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995" tabRatio="861" activeTab="9"/>
  </bookViews>
  <sheets>
    <sheet name="Прил.№1" sheetId="1" r:id="rId1"/>
    <sheet name="Пр№2" sheetId="2" r:id="rId2"/>
    <sheet name="№5" sheetId="3" r:id="rId3"/>
    <sheet name="№6" sheetId="4" r:id="rId4"/>
    <sheet name="Прил №7" sheetId="5" r:id="rId5"/>
    <sheet name="Прил №8" sheetId="6" r:id="rId6"/>
    <sheet name="Прил №9" sheetId="7" r:id="rId7"/>
    <sheet name="Прил №10" sheetId="8" r:id="rId8"/>
    <sheet name="Прил №11" sheetId="9" r:id="rId9"/>
    <sheet name="Прил №12" sheetId="10" r:id="rId10"/>
    <sheet name="Прил№15" sheetId="11" r:id="rId11"/>
    <sheet name="Прил.№16" sheetId="12" r:id="rId12"/>
  </sheets>
  <definedNames>
    <definedName name="_xlnm.Print_Area" localSheetId="7">'Прил №10'!$A$1:$L$604</definedName>
    <definedName name="_xlnm.Print_Area" localSheetId="8">'Прил №11'!$A$1:$D$475</definedName>
    <definedName name="_xlnm.Print_Area" localSheetId="9">'Прил №12'!$A$1:$E$474</definedName>
    <definedName name="_xlnm.Print_Area" localSheetId="4">'Прил №7'!$A$1:$F$538</definedName>
    <definedName name="_xlnm.Print_Area" localSheetId="5">'Прил №8'!$A$1:$G$556</definedName>
    <definedName name="_xlnm.Print_Area" localSheetId="6">'Прил №9'!$A$1:$I$636</definedName>
  </definedNames>
  <calcPr fullCalcOnLoad="1"/>
</workbook>
</file>

<file path=xl/sharedStrings.xml><?xml version="1.0" encoding="utf-8"?>
<sst xmlns="http://schemas.openxmlformats.org/spreadsheetml/2006/main" count="13927" uniqueCount="1345">
  <si>
    <t>Уменьшение прочих остатков денежных средств  бюджетов муниципальных районов</t>
  </si>
  <si>
    <t xml:space="preserve">                                                                                            Приложение №1</t>
  </si>
  <si>
    <t xml:space="preserve"> к решению Представительного  собрания </t>
  </si>
  <si>
    <t>Наименование источников финансирования дефицита бюджета</t>
  </si>
  <si>
    <t>90  00  00  00  00  0000  000</t>
  </si>
  <si>
    <t>Источники финансирования дефицита бюджетов - всего</t>
  </si>
  <si>
    <t>01  00  00  00  00  0000  000</t>
  </si>
  <si>
    <t>ИСТОЧНИКИ ВНУТРЕННЕГО ФИНАНСИРОВАНИЯ ДЕФИЦИТОВ  БЮДЖЕТОВ</t>
  </si>
  <si>
    <t>01  03  00  00  00  0000  000</t>
  </si>
  <si>
    <t>Бюджетные кредиты от других бюджетов бюджетной  системы Российской Федерации</t>
  </si>
  <si>
    <t>Получение бюджетных кредитов от  других бюджетов бюджетной системы Российской  Федерации в валюте Российской Федерации</t>
  </si>
  <si>
    <t>Получение   кредитов от других бюджетов бюджетной системы  Российской Федерации бюджетами муниципальных районов в валюте Российской 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</si>
  <si>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</si>
  <si>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</si>
  <si>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01  05  00  00  00  0000  000</t>
  </si>
  <si>
    <t>Изменение остатков средств на счетах по учету  средств бюджета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</si>
  <si>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</si>
  <si>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</si>
  <si>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</si>
  <si>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средств бюджетов</t>
  </si>
  <si>
    <t>01  05  02  01  00  0000  510</t>
  </si>
  <si>
    <t>Увеличение прочих остатков денежных средств  бюджетов</t>
  </si>
  <si>
    <t>01  05  02  01  05  0000  510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</si>
  <si>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</si>
  <si>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</si>
  <si>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</si>
  <si>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</si>
  <si>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</si>
  <si>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 бюджетов</t>
  </si>
  <si>
    <t>01  05  02  01  05  0000  610</t>
  </si>
  <si>
    <t>( в редакции решения Представительного  собрания Глушковского района Курской области</t>
  </si>
  <si>
    <t>01 02 00 00 05 0000 710</t>
  </si>
  <si>
    <t>01 02 00 00 00 0000 800</t>
  </si>
  <si>
    <t>01 02 00 00 05 0000 810</t>
  </si>
  <si>
    <t xml:space="preserve">                                    от "26"  сентября  2012г. № ___</t>
  </si>
  <si>
    <t>01  06  00  00  00  0000  000</t>
  </si>
  <si>
    <t>Иные  источники внутреннего финансирования дефицита бюджетов</t>
  </si>
  <si>
    <t>01  06  05  00  00  0000  000</t>
  </si>
  <si>
    <t>Бюджетные кредиты, предоставленные внутри страны в валюте Российской Федерации</t>
  </si>
  <si>
    <t>01  06  05  00  00  0000  600</t>
  </si>
  <si>
    <t>Возврат бюджетных  кредитов, предоставленных внутри страны  в валюте Российской Федерации</t>
  </si>
  <si>
    <t>01  06  05  02  00  0000  640</t>
  </si>
  <si>
    <t>01  06  05  02  05  0000  640</t>
  </si>
  <si>
    <t>Возврат бюджетных  кредитов, предоставленных  другим бюджетам бюджетной  системы   Российской Федерации из муниципального района  в валюте Российской Федерации</t>
  </si>
  <si>
    <t>01  06  05  02  05  2600  640</t>
  </si>
  <si>
    <t>Бюджетные кредиты, предоставленные для покрытия временных кассовых разрывов</t>
  </si>
  <si>
    <t xml:space="preserve">01  06  05  02  05  2603  640 </t>
  </si>
  <si>
    <t>Бюджетные кредиты, предоставленные для покрытия временных кассовых разрывов, возникающих 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</si>
  <si>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01  06  05  00  00  0000  500</t>
  </si>
  <si>
    <t>Предоставление бюджетных кредитов внутри страны в валюте Российской Федерации</t>
  </si>
  <si>
    <t>01  06  05  02  00  0000  540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</si>
  <si>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</si>
  <si>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01  06  05  02  05  0000  540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</si>
  <si>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Российской Федерации</t>
  </si>
  <si>
    <t>Возврат бюджетных  кредитов, предоставленных  другим бюджетам бюджетной системы   Российской Федерации  в валюте Российской Федерации</t>
  </si>
  <si>
    <t>01  06  05  02  05  2600  540</t>
  </si>
  <si>
    <t>01  06  05  02  05  2603  540</t>
  </si>
  <si>
    <t>01 02 00 00 00 0000 700</t>
  </si>
  <si>
    <t xml:space="preserve">Кредиты кредитных  организаций в валюте Российской Федерации </t>
  </si>
  <si>
    <t>01 02 00 00 00 0000 000</t>
  </si>
  <si>
    <t>Получение  кредитов  от кредитных организаций в валюте Российской Федерации</t>
  </si>
  <si>
    <t>Получение  кредитов  от кредитных организаций бюджетами муниципальных районов в валюте Российской Федерации</t>
  </si>
  <si>
    <t>Код бюджетной классификации Российской Федерации</t>
  </si>
  <si>
    <t>Сумма</t>
  </si>
  <si>
    <t>Глушковского района Курской области</t>
  </si>
  <si>
    <t>Увеличение прочих остатков денежных средств  бюджетов муниципальных районов</t>
  </si>
  <si>
    <t>Погашение кредитов, предоставленных  кредитными организациями в валюте Российской Федерации</t>
  </si>
  <si>
    <t>Погашение бюджетами муниципальных районов кредитов  от кредитных организаций в валюте Российской Федерации</t>
  </si>
  <si>
    <t xml:space="preserve">  </t>
  </si>
  <si>
    <t xml:space="preserve"> источники финансирования дефицита бюджета муниципального района "Глушковский  район" </t>
  </si>
  <si>
    <t>01  03  01  00  00  0000  700</t>
  </si>
  <si>
    <t>01  03  01  00  05  0000  710</t>
  </si>
  <si>
    <t>01  03  01  00  00  0000  800</t>
  </si>
  <si>
    <t>01  03  01  00  05  0000  810</t>
  </si>
  <si>
    <t>01  06  05  02  05  5000  640</t>
  </si>
  <si>
    <t>Бюджетные кредиты, предоставленные для частичного покрытия дефицитов бюджетов муниципальных районов</t>
  </si>
  <si>
    <t xml:space="preserve">01  06  05  02  05  5003  640 </t>
  </si>
  <si>
    <t>Бюджетные кредиты,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</si>
  <si>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>01  06  05  02  05  5000  540</t>
  </si>
  <si>
    <t>Бюджетные кредиты, предоставленные для частичного покрытия дефицитов бюджетов</t>
  </si>
  <si>
    <t>01  06  05  02  05  5003  540</t>
  </si>
  <si>
    <t>Бюджетные кредиты, предоставленные  для частичного покрытия  дефицитов бюджетов муниципальных образований,возврат  которых осуществляется муниципальными образованиями</t>
  </si>
  <si>
    <t>рублей</t>
  </si>
  <si>
    <t>Курской области на 2019 год</t>
  </si>
  <si>
    <t>"О бюджете  муниципального района "Глушковский  район" Курской области на 2019 год и плановый период 2020 и 2021 годов " от "21"  декабря 2018 года №33</t>
  </si>
  <si>
    <t xml:space="preserve"> Приложение № 15</t>
  </si>
  <si>
    <t xml:space="preserve">к решению Представительного собрания </t>
  </si>
  <si>
    <t xml:space="preserve">Глушковского района  Курской области </t>
  </si>
  <si>
    <t>"О бюджете  муниципального района "Глушковский район" Курской области на 2019 год и плановый  период 2020-2021 годов"</t>
  </si>
  <si>
    <t>от " __" декабря  2018 г. №_____</t>
  </si>
  <si>
    <t>( в редакции решения Представительного Собрания Глушковского района Курской области от "_30_" августа  2012 года № )</t>
  </si>
  <si>
    <t>Программа муниципальных внутренних  заимствований  муниципального района "Глушковский район"  Курской области  на 2019 год</t>
  </si>
  <si>
    <t>1. Привлечение внутренних заимствований</t>
  </si>
  <si>
    <t>№ п/п</t>
  </si>
  <si>
    <t>Виды заимствований</t>
  </si>
  <si>
    <t>Объем привлечения средств в 2019 году (рублей)</t>
  </si>
  <si>
    <t>1.</t>
  </si>
  <si>
    <t>Государственные ценные бумаги</t>
  </si>
  <si>
    <t>2.</t>
  </si>
  <si>
    <t>Бюджетные кредиты от других бюджетов бюджетной системы Российской Федерации</t>
  </si>
  <si>
    <t>3.</t>
  </si>
  <si>
    <t>Кредиты кредитных организаций</t>
  </si>
  <si>
    <t>Итого</t>
  </si>
  <si>
    <t>2. Погашение внутренних заимствований</t>
  </si>
  <si>
    <t>Объем погашения средств в 2009 году (тыс.руб)</t>
  </si>
  <si>
    <t>Объем погашения средств в 2019  году (рублей)</t>
  </si>
  <si>
    <t xml:space="preserve"> Приложение № 16</t>
  </si>
  <si>
    <t>"О бюджете  муниципального района "Глушковский район" Курской области на 2019 год и плановый период 2020-2021 годов"</t>
  </si>
  <si>
    <t>от " ___"  декабря  2018 г. № ___</t>
  </si>
  <si>
    <t>( в редакции решения Представительного Собрания Глушковского района Курской области от "_30_" августа 2012 года № )</t>
  </si>
  <si>
    <t xml:space="preserve">Программа муниципальных внутренних заимствований   </t>
  </si>
  <si>
    <t>муниципального района "Глушковский район"  Курской области  на плановый период 2020-2021 годов</t>
  </si>
  <si>
    <t>Объем привлечения средств в 2020 году (рублей)</t>
  </si>
  <si>
    <t>Объем привлечения средств в 2021 году (рублей)</t>
  </si>
  <si>
    <t>Объем погашения средств в 2020 году (рублей)</t>
  </si>
  <si>
    <t>Объем погашения средств в 2021 году (рублей)</t>
  </si>
  <si>
    <t xml:space="preserve">                                                                                            Приложение №2</t>
  </si>
  <si>
    <t xml:space="preserve">                                                                                                                                    к решению Представительного  собрания </t>
  </si>
  <si>
    <t xml:space="preserve">                                                                                                                                           Глушковского района Курской области</t>
  </si>
  <si>
    <t>"О бюджете  муниципального района "Глушковский  район" Курской области на 2019 год и плановый период 2020 и 2021 годов " от "21"  декабря 2018 года №_____</t>
  </si>
  <si>
    <t>Курской области на плановый период 2020 и 2021 годов</t>
  </si>
  <si>
    <t>2020</t>
  </si>
  <si>
    <t>в редакции Решения от "28"  мая  2019г. № 59</t>
  </si>
  <si>
    <t>в редакции Решения Представительного Собрания Глушковского района  Курской области от "28" май 2019 года №59</t>
  </si>
  <si>
    <r>
      <t xml:space="preserve">в редакции от  </t>
    </r>
    <r>
      <rPr>
        <b/>
        <sz val="10"/>
        <rFont val="Arial Cyr"/>
        <family val="0"/>
      </rPr>
      <t xml:space="preserve">"28"мая </t>
    </r>
    <r>
      <rPr>
        <sz val="10"/>
        <rFont val="Arial Cyr"/>
        <family val="0"/>
      </rPr>
      <t xml:space="preserve"> 2019 года №59</t>
    </r>
  </si>
  <si>
    <t>в редакции от "28" мая 2019 года №59</t>
  </si>
  <si>
    <t xml:space="preserve">                                  Приложение №  5</t>
  </si>
  <si>
    <t>к решению представительного собрания</t>
  </si>
  <si>
    <t xml:space="preserve">                                    Глушковского района Курской области</t>
  </si>
  <si>
    <t>от " _21_ "  декабря  2018г.  № 33</t>
  </si>
  <si>
    <t xml:space="preserve">"О бюджете муниципального района "Глушковский район"  </t>
  </si>
  <si>
    <t xml:space="preserve">  Курской области на 2019год и плановый период 2020 и 2021 годов. "</t>
  </si>
  <si>
    <t>( в редакции решения Представительного</t>
  </si>
  <si>
    <t>собрания Глушковского района  Курской области</t>
  </si>
  <si>
    <t>от " 28 " мая   2019г. № 59 )</t>
  </si>
  <si>
    <t>Поступление доходов  в  бюджет</t>
  </si>
  <si>
    <t xml:space="preserve">муниципального района "Глушковский район" Курской области </t>
  </si>
  <si>
    <t>в 2019 году</t>
  </si>
  <si>
    <t xml:space="preserve">  рублей</t>
  </si>
  <si>
    <t>Наименование доходов</t>
  </si>
  <si>
    <t>Сумма   на   2019 год</t>
  </si>
  <si>
    <t xml:space="preserve">        ВСЕГО</t>
  </si>
  <si>
    <t>100 00000 00 0000 000</t>
  </si>
  <si>
    <t>НАЛОГОВЫЕ И НЕНАЛОГОВЫЕ 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</si>
  <si>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</si>
  <si>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</si>
  <si>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</si>
  <si>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</si>
  <si>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</si>
  <si>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</si>
  <si>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</si>
  <si>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</si>
  <si>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</si>
  <si>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</si>
  <si>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</si>
  <si>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</si>
  <si>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103 00000 00 0000 000</t>
  </si>
  <si>
    <t>НАЛОГИ НА ТОВАРЫ (РАБОТЫ, УСЛУГИ), РЕАЛИЗУЕМЫЕ НА ТЕРРИТОРИИ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</si>
  <si>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</si>
  <si>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</si>
  <si>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</si>
  <si>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</si>
  <si>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</si>
  <si>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</si>
  <si>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</si>
  <si>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</si>
  <si>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</si>
  <si>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</si>
  <si>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</si>
  <si>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</si>
  <si>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</si>
  <si>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</si>
  <si>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</si>
  <si>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</si>
  <si>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</si>
  <si>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</si>
  <si>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</si>
  <si>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</si>
  <si>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</si>
  <si>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</si>
  <si>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</si>
  <si>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 доходы</t>
  </si>
  <si>
    <t>1 05 01011 01 0000 110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</si>
  <si>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</si>
  <si>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</si>
  <si>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</si>
  <si>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</si>
  <si>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</si>
  <si>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</si>
  <si>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105 02000 02 0000 110</t>
  </si>
  <si>
    <t>Единый налог на вмененный доход для отдельных видов деятельности</t>
  </si>
  <si>
    <t>105 02010 02 0000 110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</si>
  <si>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</si>
  <si>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</si>
  <si>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</si>
  <si>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</si>
  <si>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</si>
  <si>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</si>
  <si>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</si>
  <si>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</si>
  <si>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</si>
  <si>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</si>
  <si>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</si>
  <si>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108 00000 00 0000 000</t>
  </si>
  <si>
    <t>ГОСУДАРСТВЕННАЯ ПОШЛИНА</t>
  </si>
  <si>
    <t>108 03000 01 0000 110</t>
  </si>
  <si>
    <t>Государственная пошлина по делам, рассматриваемым в судах общей юрисдикции, мировыми судьями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</si>
  <si>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</si>
  <si>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</si>
  <si>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108 07000 01 0000 110</t>
  </si>
  <si>
    <t>Государственная пошлина за государственную регистрацию, а также совершение прочих юридически значимых действий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</si>
  <si>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</si>
  <si>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</si>
  <si>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1 08 07150 01 0000 110</t>
  </si>
  <si>
    <t>Государственная пошлина за выдачу разрешения на установку рекламной конструкции</t>
  </si>
  <si>
    <t>109 00000 00 0000 000</t>
  </si>
  <si>
    <t>ЗАДОЛЖЕННОСТЬ И ПЕРЕРАСЧЕТЫ ПО ОТМЕНЕННЫМ НАЛОГАМ, СБОРАМ И ИНЫМ ОБЯЗАТЕЛЬНЫМ ПЛАТЕЖАМ</t>
  </si>
  <si>
    <t>109 07030 05 0000 110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</si>
  <si>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</si>
  <si>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</si>
  <si>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</si>
  <si>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</si>
  <si>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</si>
  <si>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</si>
  <si>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</si>
  <si>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1 11 02000 00 0000 120</t>
  </si>
  <si>
    <t>Доходы от размещения средств бюджетов</t>
  </si>
  <si>
    <t>1 11 02033 05 0000 120</t>
  </si>
  <si>
    <t>Доходы от размещения временно свободных средств бюджетов муниципальных районов</t>
  </si>
  <si>
    <t>111 03000 00 0000 120</t>
  </si>
  <si>
    <t>Проценты, полученные от предоставления бюджетных кредитов внутри страны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</si>
  <si>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</si>
  <si>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</si>
  <si>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111 05000 00 0000 120</t>
  </si>
  <si>
    <t>Доходы, получаемые в 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</si>
  <si>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</si>
  <si>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</si>
  <si>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</si>
  <si>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</si>
  <si>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</si>
  <si>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</si>
  <si>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</si>
  <si>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  также средства от продажи права    на заключение  договоров  аренды указанных земельных  участков (за исключением земельных участков автономных учреждений)</t>
  </si>
  <si>
    <t>1 11 05025 05 0000 120</t>
  </si>
  <si>
    <t>Доходы, получаемые в виде арендной платы, а   также средства от продажи права    на заключение  договоров  аренды за земли,  находящиеся в собственности муниципальных районов (за исключением земельных участков муниципальных автономных учреждений)</t>
  </si>
  <si>
    <t>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</si>
  <si>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 созданных ими учреждений (за исключением имущества бюджетных и автономных учреждений)</t>
  </si>
  <si>
    <t>111 05035 05 0000 120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</si>
  <si>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</si>
  <si>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</si>
  <si>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</si>
  <si>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</si>
  <si>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</si>
  <si>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1 11 08000 00 0000 120</t>
  </si>
  <si>
    <t>Средства, получаемые  от передачи имущества, находящегося в государственной и 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 в залог, в доверительное управление</t>
  </si>
  <si>
    <t>1 11 08050 05 0000 120</t>
  </si>
  <si>
    <t>Средства, получаемые  от передачи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 в залог, в доверительное управление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</si>
  <si>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</si>
  <si>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</si>
  <si>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</si>
  <si>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</si>
  <si>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1 11 09045 05 0000 120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</si>
  <si>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  </t>
  </si>
  <si>
    <t>112 00000 00 0000 000</t>
  </si>
  <si>
    <t>ПЛАТЕЖИ ПРИ ПОЛЬЗОВАНИИ ПРИРОДНЫМИ РЕСУРСАМИ</t>
  </si>
  <si>
    <t>112 01000 01 0000 120</t>
  </si>
  <si>
    <t>Плата за негативное воздействие на окружающую среду</t>
  </si>
  <si>
    <t>112 01010 01 0000 120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</si>
  <si>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</si>
  <si>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</si>
  <si>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сбросы загрязняющих веществ в водные объекты</t>
  </si>
  <si>
    <t>112 01030 01 0000 120</t>
  </si>
  <si>
    <t>112 01040 01 0000 120</t>
  </si>
  <si>
    <t>Плата за размещение отходов производства и потребления</t>
  </si>
  <si>
    <t>112 01041 01 0000 120</t>
  </si>
  <si>
    <t>Плата за размещение отходов производства</t>
  </si>
  <si>
    <t>112 01042 01 0000 120</t>
  </si>
  <si>
    <t>Плата за размещение твердых коммунальных отходов</t>
  </si>
  <si>
    <t>113 00000 00 0000 000</t>
  </si>
  <si>
    <t>ДОХОДЫ ОТ ОКАЗАНИЯ ПЛАТНЫХ УСЛУГ (РАБОТ) И КОМПЕНСАЦИИ ЗАТРАТ ГОСУДАРСТВА</t>
  </si>
  <si>
    <t>113 01000 00 0000 130</t>
  </si>
  <si>
    <t xml:space="preserve">Доходы от оказания платных услуг (работ) </t>
  </si>
  <si>
    <t>113 01995 05 0000 130</t>
  </si>
  <si>
    <t>Прочие доходы от оказания платных услуг (работ) получателями средств бюджетов муниципальных районов</t>
  </si>
  <si>
    <t>114 00000 00 0000 000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</si>
  <si>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</si>
  <si>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</si>
  <si>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</si>
  <si>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1 14 01050 05 0000 410</t>
  </si>
  <si>
    <t>Доходы от продажи квартир, находящихся в собственности муниципальных районов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</si>
  <si>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</si>
  <si>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</si>
  <si>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1 14 02032 05 0000 410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</si>
  <si>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</si>
  <si>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1 14 02032 05 0000 440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</si>
  <si>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</si>
  <si>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</si>
  <si>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</si>
  <si>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</si>
  <si>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</si>
  <si>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1 14 03000 00 0000 410</t>
  </si>
  <si>
    <t>Средства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</si>
  <si>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1 14 03000 00 0000 440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</si>
  <si>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</si>
  <si>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</si>
  <si>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</si>
  <si>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</si>
  <si>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</si>
  <si>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1 14 04000 00 0000 420</t>
  </si>
  <si>
    <t>Доходы от продажи нематериальных активов</t>
  </si>
  <si>
    <t>1 14 04050 05 0000 420</t>
  </si>
  <si>
    <t xml:space="preserve">Доходы от продажи нематериальных активов, находящихся в собственности муниципальных районов </t>
  </si>
  <si>
    <t>114 06000 00 0000 430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</si>
  <si>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</si>
  <si>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114 06010 00 0000 430</t>
  </si>
  <si>
    <t>Доходы от продажи земельных участков, государственная собственность на которые не разграничена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</si>
  <si>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</si>
  <si>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</si>
  <si>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</si>
  <si>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</si>
  <si>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</si>
  <si>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</si>
  <si>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1 14 06025 05 0000 430</t>
  </si>
  <si>
    <t>Доходы  от продажи земельных участков, находящихся в собственности  муниципальных районов (за исключением земельных участков муниципальных 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</si>
  <si>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</si>
  <si>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</si>
  <si>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</si>
  <si>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</si>
  <si>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</si>
  <si>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</si>
  <si>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116 00000 00 0000 000</t>
  </si>
  <si>
    <t>ШТРАФЫ, САНКЦИИ, ВОЗМЕЩЕНИЕ УЩЕРБА</t>
  </si>
  <si>
    <t>116 03000 00 0000 140</t>
  </si>
  <si>
    <t>Денежные взыскания (штрафы) за нарушение законодательства  о налогах и сборах</t>
  </si>
  <si>
    <t>116 03010 01 0000 140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</si>
  <si>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</si>
  <si>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</si>
  <si>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</si>
  <si>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</si>
  <si>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</si>
  <si>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</si>
  <si>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</si>
  <si>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1 16 18000 00 0000 140</t>
  </si>
  <si>
    <t>Денежные взыскания (штрафы) за нарушение бюджетного законодательства Российской Федерации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</si>
  <si>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</si>
  <si>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</si>
  <si>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</si>
  <si>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</si>
  <si>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</si>
  <si>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</si>
  <si>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116 23000 00 0000 140</t>
  </si>
  <si>
    <t xml:space="preserve">Доходы от возмещения ущерба при возникновении страховых случаев </t>
  </si>
  <si>
    <t>1 16 23050 05 0000 140</t>
  </si>
  <si>
    <t>Доходы от возмещения ущерба при возникновении страховых случаев, когда выгодоприобретателями по  договорам  страхования выступают получатели средств бюджетов муниципальных районов</t>
  </si>
  <si>
    <t>116 25000 00 0000 140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</si>
  <si>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</si>
  <si>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1 16 25010 01 0000 140</t>
  </si>
  <si>
    <t>Денежные взыскания (штрафы) за нарушение законодательства о недрах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</si>
  <si>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</si>
  <si>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</si>
  <si>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116 25030 01 0000 140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</si>
  <si>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</si>
  <si>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</si>
  <si>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</si>
  <si>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</si>
  <si>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</si>
  <si>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</si>
  <si>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</si>
  <si>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1 16 25070 01 0000 140</t>
  </si>
  <si>
    <t>Денежные взыскания (штрафы) за нарушение лесного законодательства</t>
  </si>
  <si>
    <t>1 16 25074 05 0000 140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</si>
  <si>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</si>
  <si>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1 16 25080 01 0000 140</t>
  </si>
  <si>
    <t>Денежные взыскания (штрафы) за нарушение водного законодательства</t>
  </si>
  <si>
    <t>1 16 25084 05 0000 140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</si>
  <si>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</si>
  <si>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116 28000 01 0000 140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</si>
  <si>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</si>
  <si>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116 30000 01 0000 140</t>
  </si>
  <si>
    <t>Денежные взыскания (штрафы) за правонарушения в области дорожного движения</t>
  </si>
  <si>
    <t>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</si>
  <si>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</si>
  <si>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</si>
  <si>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</si>
  <si>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116 30030 01 0000 140</t>
  </si>
  <si>
    <t>Прочие денежные взыскания (штрафы) за правонарушения в области дорожного движения</t>
  </si>
  <si>
    <t>116 32000 00 0000 140</t>
  </si>
  <si>
    <t>Возмещение сумм, израсходованных незаконно или не по целевому назначению, а также доходов, полученных от их использования</t>
  </si>
  <si>
    <t>116 32050 05 0000 140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</si>
  <si>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</si>
  <si>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116 33000 00 0000 140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</si>
  <si>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</si>
  <si>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</si>
  <si>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</si>
  <si>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116 35000 00 0000 140</t>
  </si>
  <si>
    <t>Суммы по искам о возмещении вреда, причиненного окружающей среде</t>
  </si>
  <si>
    <t>116 35030 05 0000 140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</si>
  <si>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</si>
  <si>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1 16 42000 00 0000 140</t>
  </si>
  <si>
    <t>Денежные взыскания (штрафы) за нарушение условий договоров (соглашений) о предоставлении бюджетных кредитов</t>
  </si>
  <si>
    <t>116 42050 01 0000 140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</si>
  <si>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</si>
  <si>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</si>
  <si>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</si>
  <si>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116 90000 00 0000 140</t>
  </si>
  <si>
    <t>Прочие поступления от денежных взысканий (штрафов) и иных сумм в возмещение ущерба</t>
  </si>
  <si>
    <t>116 90050 05 0000 140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</si>
  <si>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</si>
  <si>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</si>
  <si>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</si>
  <si>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</si>
  <si>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</si>
  <si>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</si>
  <si>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</si>
  <si>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200 00000 00 0000 000</t>
  </si>
  <si>
    <t xml:space="preserve">Безвозмездные поступления </t>
  </si>
  <si>
    <t>202 00000 00 0000 000</t>
  </si>
  <si>
    <t xml:space="preserve">Безвозмездные поступления от других бюджетов бюджетной системы Российской Федерации </t>
  </si>
  <si>
    <t>202 10000 00 0000 150</t>
  </si>
  <si>
    <t>Дотации бюджетам бюджетной системы Российской Федерации</t>
  </si>
  <si>
    <t>202 15001 00 0000 150</t>
  </si>
  <si>
    <t>Дотации на выравнивание  бюджетной обеспеченности</t>
  </si>
  <si>
    <t>202 15001 05 0000 150</t>
  </si>
  <si>
    <t>Дотации бюджетам муниципальных районов на выравнивание  бюджетной обеспеченности</t>
  </si>
  <si>
    <t>202 15002 00 0000 150</t>
  </si>
  <si>
    <t>Дотации бюджетам на поддержку мер по обеспечению сбалансированности бюджетов</t>
  </si>
  <si>
    <t>202 15002 05 0000 150</t>
  </si>
  <si>
    <t>Дотации бюджетам муниципальных районов на поддержку мер по обеспечению сбалансированности бюджетов</t>
  </si>
  <si>
    <t>202 20000 00 0000 150</t>
  </si>
  <si>
    <t>Субсидии бюджетам бюджетной системы Российской Федерации (межбюджетные субсидии)</t>
  </si>
  <si>
    <t>2 02 20077 00 0000 150</t>
  </si>
  <si>
    <t>Субсидии бюджетам на софинансирование капитальных вложений в объекты государственной (муниципальной) собственности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</si>
  <si>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</si>
  <si>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</si>
  <si>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2 02 25027 00 0000 150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</si>
  <si>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</si>
  <si>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2 02 25027 05 0000 150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</si>
  <si>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</si>
  <si>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</si>
  <si>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</si>
  <si>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</si>
  <si>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</si>
  <si>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</si>
  <si>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</si>
  <si>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</si>
  <si>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</si>
  <si>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2 02 27567 00 0000 150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</si>
  <si>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</si>
  <si>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2 02 27567 05 0000 150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</si>
  <si>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 (водоснабжение с. Самарка)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</si>
  <si>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 (дорога в д. Колодежи)</t>
  </si>
  <si>
    <r>
      <t xml:space="preserve">Субсидии бюджетам муниципальных образований на софинансирование расходов, связанных с реализацией мероприятий по </t>
    </r>
    <r>
      <rPr>
        <b/>
        <sz val="10"/>
        <rFont val="Times New Roman"/>
        <family val="1"/>
      </rPr>
      <t>обустройству</t>
    </r>
    <r>
      <rPr>
        <sz val="10"/>
        <rFont val="Times New Roman"/>
        <family val="1"/>
      </rPr>
      <t xml:space="preserve"> сельских территорий объектами </t>
    </r>
    <r>
      <rPr>
        <b/>
        <sz val="10"/>
        <rFont val="Times New Roman"/>
        <family val="1"/>
      </rPr>
      <t>социальной и инженерной инфраструктуры (водоснабжение)</t>
    </r>
  </si>
  <si>
    <t>202 29999 00 0000 150</t>
  </si>
  <si>
    <t>Прочие субсидии</t>
  </si>
  <si>
    <t>202 29999 05 0000 151</t>
  </si>
  <si>
    <r>
      <t xml:space="preserve">Субсидии местным бюджетам на частичное возмещение расходов на предоставление мер социальной поддержки  работникам муниципальных учреждений </t>
    </r>
    <r>
      <rPr>
        <b/>
        <sz val="10"/>
        <rFont val="Times New Roman"/>
        <family val="1"/>
      </rPr>
      <t xml:space="preserve">культуры </t>
    </r>
  </si>
  <si>
    <r>
      <t xml:space="preserve">Субсидии бюджетам муниципальных образований в целях софинансирования расходных обязательств местных бюджетов по предоставлению мер социальной поддержки  работникам муниципальных учреждений </t>
    </r>
    <r>
      <rPr>
        <b/>
        <sz val="10"/>
        <rFont val="Times New Roman"/>
        <family val="1"/>
      </rPr>
      <t>образования</t>
    </r>
  </si>
  <si>
    <t>202 29999 05 0000 150</t>
  </si>
  <si>
    <t>Субсидии местным бюджетам  на реализацию проекта "Народный бюджет" в Курской области"</t>
  </si>
  <si>
    <t>Субсидии бюджетам муниципальных образований на мероприятия по внесению в Единый государственный реестр недвижимости сведений о границах  муниципальных образований и границах населенных пунктов</t>
  </si>
  <si>
    <r>
      <t xml:space="preserve">Субсидии местным бюджетам  на проведение </t>
    </r>
    <r>
      <rPr>
        <b/>
        <sz val="10"/>
        <rFont val="Times New Roman"/>
        <family val="1"/>
      </rPr>
      <t>капитального</t>
    </r>
    <r>
      <rPr>
        <sz val="10"/>
        <rFont val="Times New Roman"/>
        <family val="1"/>
      </rPr>
      <t xml:space="preserve"> ремонта  муниципальных </t>
    </r>
    <r>
      <rPr>
        <b/>
        <sz val="10"/>
        <rFont val="Times New Roman"/>
        <family val="1"/>
      </rPr>
      <t xml:space="preserve">образовательных </t>
    </r>
    <r>
      <rPr>
        <sz val="10"/>
        <rFont val="Times New Roman"/>
        <family val="1"/>
      </rPr>
      <t>организаций</t>
    </r>
  </si>
  <si>
    <r>
      <t xml:space="preserve">Субсидии, предоставляемые местным бюджетам на дополнительное финансирование мероприятий по организации </t>
    </r>
    <r>
      <rPr>
        <b/>
        <sz val="10"/>
        <rFont val="Times New Roman"/>
        <family val="1"/>
      </rPr>
      <t>питания обучающихся из малообеспеченных</t>
    </r>
    <r>
      <rPr>
        <sz val="10"/>
        <rFont val="Times New Roman"/>
        <family val="1"/>
      </rPr>
      <t xml:space="preserve"> и многодетных семей в муниципальных образовательных организациях</t>
    </r>
  </si>
  <si>
    <r>
      <t xml:space="preserve">Субсидии бюджетам муниципальных районов на  приобретение </t>
    </r>
    <r>
      <rPr>
        <b/>
        <sz val="10"/>
        <rFont val="Times New Roman"/>
        <family val="1"/>
      </rPr>
      <t>горюче-смазочных</t>
    </r>
    <r>
      <rPr>
        <sz val="10"/>
        <rFont val="Times New Roman"/>
        <family val="1"/>
      </rPr>
      <t xml:space="preserve"> материалов, для обеспечения подвоза обучающихся муниципальных общеобразовательных организаций к месту обучения и обратно</t>
    </r>
  </si>
  <si>
    <r>
      <t xml:space="preserve">Субсидии бюджетам муниципальных образований на софинансирование расходных обязательств муниципальных образований, связанных с организацией отдыха детей в </t>
    </r>
    <r>
      <rPr>
        <b/>
        <sz val="10"/>
        <rFont val="Times New Roman"/>
        <family val="1"/>
      </rPr>
      <t>каникулярное время</t>
    </r>
  </si>
  <si>
    <t>Субсидии бюджетам муниципальных образований на развитие социальной и инжинерной инфраструктуры муниципальных образований (реконструкция котельной МКДОУ "Званновский д/сад "Березка")</t>
  </si>
  <si>
    <t>Субсидии местным бюджетам на строительство (реконструкцию) автомобильных дорог общего пользования местного значения (подъездная дорога к ФАП в с. Сергеевка)</t>
  </si>
  <si>
    <t>202 30000 00 0000 150</t>
  </si>
  <si>
    <t>Субвенции бюджетам бюджетной системы Российской Федерации</t>
  </si>
  <si>
    <t>202 30013 00 0000 150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</si>
  <si>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</si>
  <si>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</si>
  <si>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</si>
  <si>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202 30027 00 0000 150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</si>
  <si>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</si>
  <si>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202 30027 05 0000 150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</si>
  <si>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</si>
  <si>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</si>
  <si>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</si>
  <si>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</si>
  <si>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</si>
  <si>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202 39998 00 0000 150</t>
  </si>
  <si>
    <t>Единая субвенция местным бюджетам</t>
  </si>
  <si>
    <t>202 39998 05 0000 150</t>
  </si>
  <si>
    <t>Единая субвенция бюджетам муниципальных районов</t>
  </si>
  <si>
    <t>202 03020 00 0000 151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</si>
  <si>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</si>
  <si>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</si>
  <si>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</si>
  <si>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202 03021 00 0000 151</t>
  </si>
  <si>
    <t>Субвенции бюджетам муниципальных образований на ежемесячное денежное вознаграждение за классное руководство</t>
  </si>
  <si>
    <t>202 03021 05 0000 151</t>
  </si>
  <si>
    <t>202 03029 00 0000 151</t>
  </si>
  <si>
    <t>202 03029 05 0000 151</t>
  </si>
  <si>
    <t>202 03046 00 0000 151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</si>
  <si>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</si>
  <si>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202 03046 05 0000 151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</si>
  <si>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 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 (из федерального бюджета)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</si>
  <si>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 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 (из областного бюджета)</t>
  </si>
  <si>
    <t>202 39999 00 0000 150</t>
  </si>
  <si>
    <t>Прочие субвенции</t>
  </si>
  <si>
    <t>202 39999 05 0000 150</t>
  </si>
  <si>
    <t>Прочие субвенции бюджетам муниципальных районов</t>
  </si>
  <si>
    <t xml:space="preserve">            в том числе:</t>
  </si>
  <si>
    <t xml:space="preserve"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 </t>
  </si>
  <si>
    <t>Субвенции местным бюджетам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</si>
  <si>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r>
      <t xml:space="preserve">Субвенции местным бюджетам  на осуществление отдельных государственных полномочий  по финансовому обеспечению расходов по предоставлению мер социальной поддержки на бесплатное жилое помещение с отоплением и освещением  работникам муниципальных </t>
    </r>
    <r>
      <rPr>
        <b/>
        <sz val="10"/>
        <rFont val="Times New Roman"/>
        <family val="1"/>
      </rPr>
      <t>образовательных учреждений</t>
    </r>
    <r>
      <rPr>
        <sz val="10"/>
        <rFont val="Times New Roman"/>
        <family val="1"/>
      </rPr>
      <t xml:space="preserve"> </t>
    </r>
  </si>
  <si>
    <t>202 39999 05 0000 151</t>
  </si>
  <si>
    <r>
      <t xml:space="preserve">Субвенции бюджетам муниципальных районов на  ежемесячное денежное вознаграждение за </t>
    </r>
    <r>
      <rPr>
        <b/>
        <sz val="10"/>
        <rFont val="Times New Roman"/>
        <family val="1"/>
      </rPr>
      <t>классное руководство</t>
    </r>
  </si>
  <si>
    <r>
      <t xml:space="preserve">Субвенции местным бюджетам на оплату труда работников общеобразовательных </t>
    </r>
    <r>
      <rPr>
        <b/>
        <sz val="10"/>
        <rFont val="Times New Roman"/>
        <family val="1"/>
      </rPr>
      <t>дошкольных учреждений,</t>
    </r>
    <r>
      <rPr>
        <sz val="10"/>
        <rFont val="Times New Roman"/>
        <family val="1"/>
      </rPr>
      <t xml:space="preserve"> расходов на учебные пособия, средства обучения, игр, игрушек  (за исключением расходов на содержание зданий и оплату коммунальных услуг, осуществляемых из местных бюджетов)</t>
    </r>
  </si>
  <si>
    <t>Субвенции бюджетам муниципальных районов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</t>
  </si>
  <si>
    <r>
      <t xml:space="preserve">Субвенции местным бюджетам на </t>
    </r>
    <r>
      <rPr>
        <b/>
        <sz val="10"/>
        <rFont val="Times New Roman"/>
        <family val="1"/>
      </rPr>
      <t>содержание работников</t>
    </r>
    <r>
      <rPr>
        <sz val="10"/>
        <rFont val="Times New Roman"/>
        <family val="1"/>
      </rPr>
      <t xml:space="preserve">,  осуществляющих переданные государственные полномочия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</t>
    </r>
    <r>
      <rPr>
        <b/>
        <sz val="10"/>
        <rFont val="Times New Roman"/>
        <family val="1"/>
      </rPr>
      <t>дошкольного</t>
    </r>
    <r>
      <rPr>
        <sz val="10"/>
        <rFont val="Times New Roman"/>
        <family val="1"/>
      </rPr>
      <t xml:space="preserve"> образования</t>
    </r>
  </si>
  <si>
    <t>Субвенции местным бюджетам на осуществление отдельных  государственных полномочий по предоставлению  работникам муниципальных учреждений культуры  мер социальной поддержки</t>
  </si>
  <si>
    <r>
      <t xml:space="preserve">Субвенции местным бюджетам  на </t>
    </r>
    <r>
      <rPr>
        <b/>
        <sz val="10"/>
        <rFont val="Times New Roman"/>
        <family val="1"/>
      </rPr>
      <t>содержание работников,</t>
    </r>
    <r>
      <rPr>
        <sz val="10"/>
        <rFont val="Times New Roman"/>
        <family val="1"/>
      </rPr>
      <t xml:space="preserve"> осуществляющих отдельные государственные полномочия по предоставлению  работникам муниципальных учреждений </t>
    </r>
    <r>
      <rPr>
        <b/>
        <sz val="10"/>
        <rFont val="Times New Roman"/>
        <family val="1"/>
      </rPr>
      <t>культуры</t>
    </r>
    <r>
      <rPr>
        <sz val="10"/>
        <rFont val="Times New Roman"/>
        <family val="1"/>
      </rPr>
      <t xml:space="preserve">  мер социальной поддержки</t>
    </r>
  </si>
  <si>
    <t>Субвенции местным бюджетам на осуществление отдельных  государственных полномочий в сфере архивного дела</t>
  </si>
  <si>
    <t>Субвенции местным бюджетам  на осуществление отдельных государственных  полномочий  по организации  и обеспечению   деятельности административных  комиссий</t>
  </si>
  <si>
    <t>Субвенции местным бюджетам на осуществление  отдельных  государственных  полномочий   по  профилактике безнадзорности и правонарушений несовершеннолетних</t>
  </si>
  <si>
    <t>Субвенции местным бюджетам на осуществление отдельных государственных полномочий в сфере трудовых отношений</t>
  </si>
  <si>
    <r>
      <t xml:space="preserve">Субвенции местным бюджетам  на оказание финансовой </t>
    </r>
    <r>
      <rPr>
        <b/>
        <sz val="10"/>
        <rFont val="Times New Roman"/>
        <family val="1"/>
      </rPr>
      <t>поддержки общественным организациям ветеранов войны</t>
    </r>
    <r>
      <rPr>
        <sz val="10"/>
        <rFont val="Times New Roman"/>
        <family val="1"/>
      </rPr>
      <t>, труда, Вооруженных сил и правоохранительных органов</t>
    </r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</si>
  <si>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</si>
  <si>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 бюджетам  муниципальных   районов    на выплату ежемесячного пособия на ребенка</t>
  </si>
  <si>
    <t>Субвенции местным бюджетам для осуществления отдельных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</t>
  </si>
  <si>
    <t xml:space="preserve">Субвенции местным бюджетам  на содержание работников, осуществляющих переданные  государственные полномочия  в сфере социальной защиты населения </t>
  </si>
  <si>
    <t>Субвенции  бюджетам  муниципальных   районов  на организацию проведения мероприятий при осуществлении деятельности по обращению с животными без владельцев</t>
  </si>
  <si>
    <t>Субвенции  бюджетам  муниципальных   районов  на 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</si>
  <si>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>Субвенции местным бюджетам на осуществление отдельных государственных полномочий по расчету и  предоставлению дотаций на выравнивание бюджетой обеспеченности поселений за счет средств областного бюджета</t>
  </si>
  <si>
    <t>202 40000 00 0000 150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</si>
  <si>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</si>
  <si>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</si>
  <si>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</si>
  <si>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</si>
  <si>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</si>
  <si>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202 45160 00 0000 150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</si>
  <si>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</si>
  <si>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202 45160 05 0000 150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</si>
  <si>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</si>
  <si>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202 49999 00 0000 150</t>
  </si>
  <si>
    <t>Прочие межбюджетные трансферты, передаваемые бюджетам</t>
  </si>
  <si>
    <t>202 49999 05 0000 150</t>
  </si>
  <si>
    <t>Прочие межбюджетные трансферты, передаваемые бюджетам муниципальных районов</t>
  </si>
  <si>
    <t>207 00000 00 0000 000</t>
  </si>
  <si>
    <t>ПРОЧИЕ БЕЗВОЗМЕЗДНЫЕ ПОСТУПЛЕНИЯ</t>
  </si>
  <si>
    <t>207 05000 05 0000 150</t>
  </si>
  <si>
    <t>Прочие безвозмездные поступления в бюджеты муниципальных районов</t>
  </si>
  <si>
    <t>207 05020 05 0000 150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</si>
  <si>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</si>
  <si>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207 05030 05 0000 150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</si>
  <si>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</si>
  <si>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</si>
  <si>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</si>
  <si>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</si>
  <si>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</si>
  <si>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</si>
  <si>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</si>
  <si>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</si>
  <si>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</si>
  <si>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</si>
  <si>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</si>
  <si>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</si>
  <si>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Приложение №  6</t>
  </si>
  <si>
    <t xml:space="preserve">                                         от " _21_ " декабря  2018г. № 33</t>
  </si>
  <si>
    <t>от " 28 "  мая  2019г. № 59 )</t>
  </si>
  <si>
    <t>Поступления доходов  в  бюджет</t>
  </si>
  <si>
    <t>в 2020-2021 годах</t>
  </si>
  <si>
    <t>Сумма  на   2020 год</t>
  </si>
  <si>
    <t>Сумма  на   2021 год</t>
  </si>
  <si>
    <t>ВСЕГО</t>
  </si>
  <si>
    <t>НАЛОГОВЫЕ  ДОХОДЫ</t>
  </si>
  <si>
    <t>105 01000 00 0000 110</t>
  </si>
  <si>
    <t>105 01010 01 0000 110</t>
  </si>
  <si>
    <t>Налог, взимаемый с налогоплательщиков, выбравших в качестве объекта налогообложения доходы</t>
  </si>
  <si>
    <t>105 01011 01 0000 110</t>
  </si>
  <si>
    <t>105 01020 01 0000 110</t>
  </si>
  <si>
    <t>105 01021 01 0000 110</t>
  </si>
  <si>
    <t>Минимальный налог, зачисляемый в бюджеты субъектов Российской Федерации</t>
  </si>
  <si>
    <t xml:space="preserve"> НЕНАЛОГОВЫЕ ДОХОДЫ</t>
  </si>
  <si>
    <t>Плата за выбросы загрязняющих веществ в атмосферный воздух передвижными объектами</t>
  </si>
  <si>
    <t>Доходы от оказания платных услуг (работ)</t>
  </si>
  <si>
    <t>202 01003 00 0000 151</t>
  </si>
  <si>
    <t>202 01003 05 0000 151</t>
  </si>
  <si>
    <t>202 02000 00 0000 151</t>
  </si>
  <si>
    <t>Субсидии бюджетам субъектов Российской Федерации и муниципальных образований (межбюджетные субсидии)</t>
  </si>
  <si>
    <t>202 02077 00 0000 151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</si>
  <si>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</si>
  <si>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</si>
  <si>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</si>
  <si>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202 02145 00 0000 151</t>
  </si>
  <si>
    <t>Субсидии бюджетам на модернизацию региональных систем общего образования</t>
  </si>
  <si>
    <t>202 02145 05 0000 151</t>
  </si>
  <si>
    <t>Субсидии бюджетам муниципальных районов на модернизацию региональных систем общего образования</t>
  </si>
  <si>
    <t>202 02999 00 0000 151</t>
  </si>
  <si>
    <t>202 02999 05 0000 151</t>
  </si>
  <si>
    <t xml:space="preserve">Субсидии местным бюджетам на частичное возмещение расходов на предоставление мер социальной поддержки  работникам муниципальных учреждений культуры </t>
  </si>
  <si>
    <t>Субсидии бюджетам муниципальных образований в целях софинансирования расходных обязательств местных бюджетов по предоставлению мер социальной поддержки  работникам муниципальных учреждений образования</t>
  </si>
  <si>
    <t>Субсидии бюджетам муниципальных образований на приобретение оборудования для школьных столовых в рамках комплекса мер по модернизации  общего образования</t>
  </si>
  <si>
    <t>Субсидии бюджетам муниципальных образований на софинансирование расходов   муниципальных образований по разработке документов территориального планирования и градостроительного зонирования</t>
  </si>
  <si>
    <t>Субсидии бюджетам муниципальных образований на проведение капитального ремонта  муниципальных образовательных учреждений</t>
  </si>
  <si>
    <t>Субсидии бюджетам муниципальных образований на дополнительное финансирование мероприятий по организации питания обучающихся в муниципальных образовательных учреждениях</t>
  </si>
  <si>
    <t>Субсидии бюджетам муниципальных районов на софинансирование расходных обязательств местных бюджетов на приобретение автобусов ГАЗ, соответствующих ГОСТ Р 51160-98, для муниципальных общеобразовательных учреждений, расположенных в сельской местности</t>
  </si>
  <si>
    <t>Субсидии бюджетам муниципальных образований на софинансирование расходных обязательств муниципальных образований, связанных с организацией отдыха детей в каникулярное время</t>
  </si>
  <si>
    <t>Субсидии местным бюджетам  на выполнение природоохранных мероприятий в рамках реализации в 2015 году подпрограммы "Экология и чистая вода в Курскоц области" на 2014-2020 годы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</si>
  <si>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Субвенции бюджетам субъектов Российской Федерации и муниципальных образований</t>
  </si>
  <si>
    <t>202 03007 00 0000 151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</si>
  <si>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</si>
  <si>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</si>
  <si>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</si>
  <si>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202 39999 00 0000 151</t>
  </si>
  <si>
    <t>Субвенции местным бюджетам на содержание работников,  осуществляющих переданные государственные полномочия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</si>
  <si>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местным бюджетам  на содержание работников, осуществляющих отдельные государственные полномочия по предоставлению  работникам муниципальных учреждений культуры  мер социальной поддержки</t>
  </si>
  <si>
    <t>Субвенции  бюджетам  муниципальных   районов  на организацию проведения мероприятий по отлову и содержанию безнадзорных животных</t>
  </si>
  <si>
    <t>Субвенции местным бюджетам на содержание работников  органов местного самоуправления, осуществляющих предоставление субсидий на возмещение заемщикам процентной ставки по полученным кредитам и займам</t>
  </si>
  <si>
    <t>202  04000  00  0000  151</t>
  </si>
  <si>
    <t>202 04012 05 0000 151</t>
  </si>
  <si>
    <t>202 04999 05 0000 151</t>
  </si>
  <si>
    <t>Приложение № 7</t>
  </si>
  <si>
    <t xml:space="preserve">к решению Представительного  собрания </t>
  </si>
  <si>
    <t xml:space="preserve"> Глушковского района Курской области</t>
  </si>
  <si>
    <t xml:space="preserve"> от 21 декабря   2018 г.  № 33</t>
  </si>
  <si>
    <t>"О бюджете муниципального района "Глушковский район" Курской области на 2019 год и плановый период 2020 и 2021 г.г."</t>
  </si>
  <si>
    <t>( в редакции решения Представительного собрания Глушковского р-на Курской области от  28.05. 2019г.  № 59 )</t>
  </si>
  <si>
    <t>Распределение  бюджетных  ассигнований  по разделам, подразделам , целевым статьям  (муниципальным программам и непрограммным направлениям деятельности), группам видов  расходов  классификации расходов бюджета муниципального района "Глушковский район"  Курской области на  2019 год</t>
  </si>
  <si>
    <t>руб.</t>
  </si>
  <si>
    <t xml:space="preserve"> Наименование</t>
  </si>
  <si>
    <t>РЗ</t>
  </si>
  <si>
    <t>ПР</t>
  </si>
  <si>
    <t>ЦСР</t>
  </si>
  <si>
    <t>ВР</t>
  </si>
  <si>
    <t xml:space="preserve">Сумма </t>
  </si>
  <si>
    <t>2</t>
  </si>
  <si>
    <t>3</t>
  </si>
  <si>
    <t>4</t>
  </si>
  <si>
    <t>5</t>
  </si>
  <si>
    <t>ВСЕГО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</si>
  <si>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</si>
  <si>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</si>
  <si>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</si>
  <si>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</si>
  <si>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муниципального образования</t>
  </si>
  <si>
    <t>71 0 00 00000</t>
  </si>
  <si>
    <t>Глава муниципального образования</t>
  </si>
  <si>
    <t>71 1 00 00000</t>
  </si>
  <si>
    <t>Обеспечение деятельности и выполнение функций органов местного самоуправления</t>
  </si>
  <si>
    <t>71 1 00 С1402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</si>
  <si>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</si>
  <si>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</si>
  <si>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</si>
  <si>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</si>
  <si>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представительного органа муниципального образования</t>
  </si>
  <si>
    <t>75 0 00 00000</t>
  </si>
  <si>
    <t>Председатель представительного органа муниципального образования</t>
  </si>
  <si>
    <t>75 1 00 00000</t>
  </si>
  <si>
    <t>75 1 00 С1402</t>
  </si>
  <si>
    <t>Аппарат  представительного органа  муниципального образования</t>
  </si>
  <si>
    <t>75 3 00 00000</t>
  </si>
  <si>
    <t>75 3 00 С1402</t>
  </si>
  <si>
    <t>Закупка товаров, работ и услуг для обеспечения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</si>
  <si>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</si>
  <si>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</si>
  <si>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 </t>
  </si>
  <si>
    <t>04</t>
  </si>
  <si>
    <t>Муниципальная программа Глушковского района Курской области «Социальная поддержка граждан в Глушковском районе Курской области»</t>
  </si>
  <si>
    <t>02 0 00 00000</t>
  </si>
  <si>
    <t>Подпрограмма  "Улучшение демографической ситуации, совершенствование социальной поддержки  семьи и детей" муниципальной программы  Глушковского района Курской области «Социальная поддержка граждан в Глушковском районе Курской области»</t>
  </si>
  <si>
    <t>02 2 00 00000</t>
  </si>
  <si>
    <t>Основное мероприятие "Обеспечение деятельности и выполнение функций органов исполнительной власти по организации и осуществлению деятельности по опеке и попечительству"</t>
  </si>
  <si>
    <t>02 2 02 00000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</si>
  <si>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</si>
  <si>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02 2 02 13170</t>
  </si>
  <si>
    <t xml:space="preserve"> Подпрограмма «Управление муниципальной программой и обеспечение условий реализации» муниципальной программы Глушковского района Курской области «Социальная поддержка граждан в Глушковском районе Курской области»</t>
  </si>
  <si>
    <t>02 3 00 00000</t>
  </si>
  <si>
    <t>Основное мероприятие "Обеспечение деятельности и исполнение функций органов исполнительной власти  в сфере социального обеспечения"</t>
  </si>
  <si>
    <t>02 3 02 00000</t>
  </si>
  <si>
    <t>Содержание работников, осуществляющих переданные государственные полномочия в сфере социальной защиты</t>
  </si>
  <si>
    <t>02 3 02 13220</t>
  </si>
  <si>
    <t>Муниципальная программа Глушковского района Курской области «Сохранение и развитие архивного дела в Глушковском  районе Курской области».</t>
  </si>
  <si>
    <t>10 0 00 00000</t>
  </si>
  <si>
    <t xml:space="preserve">Подпрограмма "Организация хранения, комплектования и использования документов Архивного фонда Курской области и иных архивных документов" муниципальной программы Глушковского района Курской области "Сохранение и развитие архивного дела в Глушковском районе Курской области"
</t>
  </si>
  <si>
    <t>10 1 00 00000</t>
  </si>
  <si>
    <t>Основное мероприятие  "Реализация  установленных  полномочий (функций) муниципального архива"</t>
  </si>
  <si>
    <t>10 1 01 00000</t>
  </si>
  <si>
    <t>Осуществление отдельных государственных полномочий в сфере архивного дела</t>
  </si>
  <si>
    <t>10 1 01 13360</t>
  </si>
  <si>
    <t>Муниципальная программа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области».</t>
  </si>
  <si>
    <t>12 0 00 00000</t>
  </si>
  <si>
    <t>Подпрограмма «Управление муниципальной программой и обеспечение условий реализации» муниципальной программы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</t>
  </si>
  <si>
    <t>12 2 00 00000</t>
  </si>
  <si>
    <t>Основное мероприятие "Обеспечение деятельности и исполнение функций органов исполнительной власти  по профилактике преступлений и иных правонарушений в Глушковском районе Курской области"</t>
  </si>
  <si>
    <t>12 2 01 00000</t>
  </si>
  <si>
    <t>Осуществление отдельных государственных полномочий по созданию и  обеспечению деятельности комиссий по делам несовершеннолетних и защите их прав</t>
  </si>
  <si>
    <t>12 2 01 13180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</si>
  <si>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</si>
  <si>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12 2 01 13480</t>
  </si>
  <si>
    <t>Обеспечение функционирования местных администраций</t>
  </si>
  <si>
    <t>73 0 00 00000</t>
  </si>
  <si>
    <t>Обеспечение деятельности администрации муниципального образования</t>
  </si>
  <si>
    <t>73 1 00 00000</t>
  </si>
  <si>
    <t>73 1 00 С1402</t>
  </si>
  <si>
    <t>Иные бюджетные ассигнования</t>
  </si>
  <si>
    <t>800</t>
  </si>
  <si>
    <t>Непрограммная деятельность органов местного самоуправления</t>
  </si>
  <si>
    <t>77 0 00 00000</t>
  </si>
  <si>
    <t>Обеспечение деятельности и выполнение функций  органов местного самоуправления</t>
  </si>
  <si>
    <t>77 1 00 00000</t>
  </si>
  <si>
    <t>Осуществление отдельных государственных полномочий в сфере трудовых отношений</t>
  </si>
  <si>
    <t>77 1 00 13310</t>
  </si>
  <si>
    <t>Закупка товаров, работ и услуг для государственных (муниципальных) нужд</t>
  </si>
  <si>
    <t>Непрограммные расходы органов местного самоуправления</t>
  </si>
  <si>
    <t>77 2 00 00000</t>
  </si>
  <si>
    <t>Содержание работников,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</t>
  </si>
  <si>
    <t>77 2 00 12712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</si>
  <si>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</si>
  <si>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</si>
  <si>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</si>
  <si>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77 2 00 51200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</si>
  <si>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</si>
  <si>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</si>
  <si>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Обеспечение деятельности контрольно-счетных органов муниципального образования</t>
  </si>
  <si>
    <t>74 0 00 00000</t>
  </si>
  <si>
    <t>Руководитель контрольно-счетного органа  муниципального образования</t>
  </si>
  <si>
    <t>74 1 00 00000</t>
  </si>
  <si>
    <t>74 1 00 С1402</t>
  </si>
  <si>
    <t>Обеспечение проведения выборов и референдумов</t>
  </si>
  <si>
    <t>07</t>
  </si>
  <si>
    <t>Организация и проведение выборов и референдумов</t>
  </si>
  <si>
    <t>77 3 00 00000</t>
  </si>
  <si>
    <t>Подготовка и проведение выборов</t>
  </si>
  <si>
    <t>77 3 00С1441</t>
  </si>
  <si>
    <t>Резервные фонды</t>
  </si>
  <si>
    <t>11</t>
  </si>
  <si>
    <t>Резервные фонды органов местного самоуправления</t>
  </si>
  <si>
    <t>78 0 00 00000</t>
  </si>
  <si>
    <t/>
  </si>
  <si>
    <t>78 1 00 00000</t>
  </si>
  <si>
    <t>Резервный фонд местной администрации</t>
  </si>
  <si>
    <t>78 1 00 С1403</t>
  </si>
  <si>
    <t>Другие общегосударственные вопросы</t>
  </si>
  <si>
    <t>13</t>
  </si>
  <si>
    <t>Муниципальная программа  Глушковского района Курской области «Социальная поддержка граждан в Глушковском   районе Курской области».</t>
  </si>
  <si>
    <t>Подпрограмма "Развитие мер социальной поддержки отдельных категорий граждан " муниципальной программы Глушковского района Курской области «Социальная поддержка граждан в Глушковском   районе Курской области»</t>
  </si>
  <si>
    <t>02 1 00 00000</t>
  </si>
  <si>
    <t>Основное мероприятие "Осуществление мер по  улучшению положения и качества жизни пожилых людей и инвалидов"</t>
  </si>
  <si>
    <t>02 1 02 00000</t>
  </si>
  <si>
    <t>Прочие мероприятия в области социальной политики</t>
  </si>
  <si>
    <t>02 1 02 С1475</t>
  </si>
  <si>
    <t>Основное мероприятие "Мероприятия, направленные на сохранение здоровья и снижение смертности населения, укрепление института семьи"</t>
  </si>
  <si>
    <t>02 2 03 00000</t>
  </si>
  <si>
    <t>Мероприятия в области улучшения демографической ситуации, совершенствования социальной поддержки семьи и детей</t>
  </si>
  <si>
    <t>02 2 03 С1474</t>
  </si>
  <si>
    <t>Подпрограмма "Управление муниципальной программой и обеспечение условий реализации" муниципальной программы Глушковского района Курской области «Социальная поддержка граждан в Глушковском   районе Курской области»</t>
  </si>
  <si>
    <t>Основное мероприятие "Поддержка органами местного самоуправления социально ориентированных некоммерческих организаций"</t>
  </si>
  <si>
    <t>02 3 01 00000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</si>
  <si>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</si>
  <si>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02 3 01 13200</t>
  </si>
  <si>
    <t>Предоставление субсидий бюджетным, автономным учреждениям и иным некоммерческим организациям</t>
  </si>
  <si>
    <t>600</t>
  </si>
  <si>
    <t>Оказание финансовой поддержки общественным организациям</t>
  </si>
  <si>
    <t>02 3 01 С1470</t>
  </si>
  <si>
    <t>Выполнение других (прочих) обязательств органа местного самоуправления</t>
  </si>
  <si>
    <t>02 3 02 С1404</t>
  </si>
  <si>
    <t>Муниципальная программа  Глушковского района Курской области «Развитие муниципальной службы в Глушковском районе Курской области г.г.»</t>
  </si>
  <si>
    <t>09 0 00 00000</t>
  </si>
  <si>
    <t>Подпрограмма «Реализация мероприятий, направленных на развитие муниципальной службы» муниципальной программы Глушковского района Курской области «Развитие муниципальной службы в Глушковском районе Курской области»</t>
  </si>
  <si>
    <t>09 1 00 00000</t>
  </si>
  <si>
    <t>Основное мероприятие "Развитие и обеспечение деятельности муниципальной службы"</t>
  </si>
  <si>
    <t>09 1 01 00000</t>
  </si>
  <si>
    <t>Мероприятия, направленные на развитие муниципальной службы</t>
  </si>
  <si>
    <t>09 1 01 С1437</t>
  </si>
  <si>
    <t>Муниципальная программа Глушковского района Курской области «Сохранение и развитие архивного дела в Глушковском  районе Курской области на 2015-2020 г.г. ».</t>
  </si>
  <si>
    <t xml:space="preserve">Подпрограмма "Организация хранения, комплектования и использования документов Архивного фонда Курской области и иных архивных документов" муниципальной программы Глушковского района Курской области "Сохранение и развитие архивного дела в Глушковском районе Курской области на 2015-2020 г.г."
</t>
  </si>
  <si>
    <t>Реализация мероприятий по формированию и содержанию муниципального архива</t>
  </si>
  <si>
    <t>10 1 01 С1438</t>
  </si>
  <si>
    <t>Муниципальная программа Глушковского района Курской области «Развитие транспортной системы, обеспечение перевозки пассажиров в Глушковском районе Курской области  и безопасности дорожного движения»</t>
  </si>
  <si>
    <t>11 0 00 00000</t>
  </si>
  <si>
    <t>Подпрограмма «Повышение безопасности дорожного движения в Глушковском районе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</si>
  <si>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11 3 00 00000</t>
  </si>
  <si>
    <t>Основное мероприятие "Повышение правового сознания и предупреждение опасного поведения участников дорожного движения"</t>
  </si>
  <si>
    <t>11 3 01 00000</t>
  </si>
  <si>
    <t>Обеспечение безопасности дорожного движения на автомобильных дорогах местного значения</t>
  </si>
  <si>
    <t>11 3 01 С1459</t>
  </si>
  <si>
    <t>Подпрограмма  «Обеспечение общественного порядка и противодействия преступности в Глушковском районе Курской области»муниципальной программы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</t>
  </si>
  <si>
    <t>12 1 00 00000</t>
  </si>
  <si>
    <t>Основное мероприятие "Обеспечение общественной безопасности и безопасности граждан на территории Глушковского района Курской области"</t>
  </si>
  <si>
    <t>12 1 01 00000</t>
  </si>
  <si>
    <t>Реализация мероприятий направленных на обеспечение правопорядка на территории муниципального образования</t>
  </si>
  <si>
    <t>12 1 01 С1435</t>
  </si>
  <si>
    <t>Создание комплексной системы мер по профилактике потребления наркотиков</t>
  </si>
  <si>
    <t>12 1 01 С1486</t>
  </si>
  <si>
    <t>Муниципальная программа Глушковского района Курской области "Развитие информационного общества в  Глушковском районе Курской области"</t>
  </si>
  <si>
    <t>20 0 00 00000</t>
  </si>
  <si>
    <t>Подпрограмма "Электронное правительство" муниципальной программы Глушковского района Курской области "Развитие информационного общества в  Глушковском районе Курской области"</t>
  </si>
  <si>
    <t>20 1 00 00000</t>
  </si>
  <si>
    <t>Основное мероприятие " Популяризация муниципальных услуг в электронном виде"</t>
  </si>
  <si>
    <t>20 1 02 00000</t>
  </si>
  <si>
    <t>Мероприятия по повышению качества и доступности муниципальных услуг, предоставляемых органами местного самоуправления</t>
  </si>
  <si>
    <t>20 1 02 С1492</t>
  </si>
  <si>
    <t>Подпрограмма "Развитие системы защиты информации в Администрации Глушковского района Курской области" муниципальной программы Глушковского района Курской области "Развитие информационного общества в  Глушковском районе Курской области"</t>
  </si>
  <si>
    <t>20 2 00 00000</t>
  </si>
  <si>
    <t>Основное мероприятие " Безопасность в информационном обществе"</t>
  </si>
  <si>
    <t>20 2 01 00000</t>
  </si>
  <si>
    <t>20 2 01 С1404</t>
  </si>
  <si>
    <t>Муниципальная программа Глушковского района Курской области "Организация деятельности органов ЗАГС Глушковского района Курской области "</t>
  </si>
  <si>
    <t>25 0 00 00000</t>
  </si>
  <si>
    <t>Подпрограмма "Повышение эффективности организации деятельности органов ЗАГС Глушковского района Курской области" муниципальной программы Глушковского района Курской области "Организация деятельности органов ЗАГС Глушковского района Курской области "</t>
  </si>
  <si>
    <t>25 1 00 00000</t>
  </si>
  <si>
    <t>Основное мероприятие "Обеспечение государственной регистрации актов гражданского состояния по Глушковскому району Курской области в соответствии с законодательством Российской Федерации, реализация государственной политики в области семейного права"</t>
  </si>
  <si>
    <t>25 1 01 00000</t>
  </si>
  <si>
    <t>Осуществление переданных полномочий Российской Федерации на государственную регистрацию актов гражданского состояния</t>
  </si>
  <si>
    <t>25 1 01 59300</t>
  </si>
  <si>
    <t>Осуществление переданных полномочий от поселений муниципальному району в сфере внутреннего муниципального контроля</t>
  </si>
  <si>
    <t>73 1 00 П1485</t>
  </si>
  <si>
    <t>Реализация государственных функций, связанных с общегосударственным управлением</t>
  </si>
  <si>
    <t>76 0 00 00000</t>
  </si>
  <si>
    <t>Выполнение других обязательств муниципального образования</t>
  </si>
  <si>
    <t>76 1 00 00000</t>
  </si>
  <si>
    <t>76 1 00 С1404</t>
  </si>
  <si>
    <t>Межбюджетные трансферты</t>
  </si>
  <si>
    <t>500</t>
  </si>
  <si>
    <t>Расходы на обеспечение деятельности (оказание услуг) муниципальных учреждений</t>
  </si>
  <si>
    <t>77 2 00 С1401</t>
  </si>
  <si>
    <t>Реализация мероприятий по распространению официальной информации</t>
  </si>
  <si>
    <t>77 2 00 С1439</t>
  </si>
  <si>
    <t>Иные межбюджетные трансферты на содержание работника, осуществляющего выполнение переданных полномочий</t>
  </si>
  <si>
    <t>77 2 00 П1490</t>
  </si>
  <si>
    <t>Резервные фонды исполнительных органов государственной власти</t>
  </si>
  <si>
    <t>84 0 00 00000</t>
  </si>
  <si>
    <t>84 1 00 00000</t>
  </si>
  <si>
    <t>Резервный фонд  Администрации Курской области</t>
  </si>
  <si>
    <t>84 1 00 10030</t>
  </si>
  <si>
    <t>Социальное обеспечение и иные выплаты населению</t>
  </si>
  <si>
    <t>300</t>
  </si>
  <si>
    <t>Национальная безопасность и правоохранительная деятельность</t>
  </si>
  <si>
    <t>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</si>
  <si>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</si>
  <si>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</si>
  <si>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Муниципальная программа Глушковского района Курской области «Защита населения и территорий от чрезвычайных ситуаций, обеспечении пожарной безопасности и безопасности людей на водных объектах в Глушковском районе Курской области» 
</t>
  </si>
  <si>
    <t>13 0 00 00000</t>
  </si>
  <si>
    <t xml:space="preserve">Подпрограмма "Снижение рисков и смягчение последствий чрезвычайных ситуаций природного и техногенного характера в Глушковском районе курской области" муниципальной программы Глушковского района Курской области «Защита населения и территорий от чрезвычайных ситуаций, обеспечении пожарной безопасности и безопасности людей на водных объектах в Глушковском районе Курской области» 
</t>
  </si>
  <si>
    <t>13 1 00 00000</t>
  </si>
  <si>
    <t>Основное мероприятие "Контороль за оборудованием и содержанием мест организованного отдыха людей на водных объектах Глушковского района"</t>
  </si>
  <si>
    <t>13 1 01 00000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</si>
  <si>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</si>
  <si>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1 01 С1460</t>
  </si>
  <si>
    <t>Основное мероприятие "Создание систем оповещения, приобретение средств связи, ЭВТ, программного и материального обеспечения для КЧС и ОПБ Администрации Глушковского района. Обеспечение функционирования региональной информационно-навигационной системы КО (РНИС)"</t>
  </si>
  <si>
    <t>13 1 02 00000</t>
  </si>
  <si>
    <t>13 1 02 С1460</t>
  </si>
  <si>
    <t>Основное мероприятие "Проведение профилактических работ, приобретение учебных пособий, средств наглядной агитации, литературы и периодических изданий по тематике ГО и ЧС"</t>
  </si>
  <si>
    <t>13 1 03 00000</t>
  </si>
  <si>
    <t>13 1 03 С1460</t>
  </si>
  <si>
    <t>Основное мероприятие "Развитие аппаратно-программного комплекса (АПК) "Безопасный город "</t>
  </si>
  <si>
    <t>13 1 04 00000</t>
  </si>
  <si>
    <t>13 1 04 С1406</t>
  </si>
  <si>
    <t>Национальная экономика</t>
  </si>
  <si>
    <t>Транспорт</t>
  </si>
  <si>
    <t>08</t>
  </si>
  <si>
    <t>Подпрограмма «Развитие пассажирских перевозок в Глушковском районе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</si>
  <si>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11 2 00 00000</t>
  </si>
  <si>
    <t>Основное мероприятие "Содействие повышению доступности пассажирских перевозок населения в границах Глушковского района Курской области"</t>
  </si>
  <si>
    <t>11 2 01 00000</t>
  </si>
  <si>
    <t>Отдельные мероприятия по другим видам транспорта</t>
  </si>
  <si>
    <t>11 2 01 С1426</t>
  </si>
  <si>
    <t>Дорожное хозяйство (дорожные фонды)</t>
  </si>
  <si>
    <t>Подпрограмма «Развитие сети автомобильных дорог  Глушковского района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</si>
  <si>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11 1 00 00000</t>
  </si>
  <si>
    <t>Основное мероприятие "Капитальный ремонт, ремонт и содержание автомобильных дорог общего пользования местного  значения"</t>
  </si>
  <si>
    <t>11 1 01 00000</t>
  </si>
  <si>
    <t xml:space="preserve">Капитальный ремонт, ремонт и содержание автомобильных дорог общего пользования местного значения </t>
  </si>
  <si>
    <t>11 1 01 С1424</t>
  </si>
  <si>
    <t>Основное мероприятие "Строительство и (или) реконструкция автомобильных дорог общего пользования местного значения"</t>
  </si>
  <si>
    <t>11 1 02 00000</t>
  </si>
  <si>
    <t>Реализация проекта "Народный бюджет"</t>
  </si>
  <si>
    <t>11 1 02 13604</t>
  </si>
  <si>
    <t>Капитальные вложения в объекты государственной (муниципальной) собственности</t>
  </si>
  <si>
    <t>400</t>
  </si>
  <si>
    <t>Мероприятия по реализации проекта "Народный бюджет"</t>
  </si>
  <si>
    <t>11 1 02 S3604</t>
  </si>
  <si>
    <t>Cтроительство (реконструкция), капитальный ремонт, ремонт и содержание автомобильных дорог общего пользования местного значения</t>
  </si>
  <si>
    <t>11 1 02 13390</t>
  </si>
  <si>
    <t>Реализация мероприятий по строительству (реконструкции), капитальному ремонту, ремонту и содержанию автомобильных дорог общего пользования местного значения</t>
  </si>
  <si>
    <t>11 1 02 S3390</t>
  </si>
  <si>
    <t xml:space="preserve">Строительство (реконструкция) автомобильных дорог общего пользования местного значения </t>
  </si>
  <si>
    <t>11 1 02 С1423</t>
  </si>
  <si>
    <t>Основное мероприятие "Обеспечение безопасности дорожного движения на автомобильных дорогах общего пользования местного значения"</t>
  </si>
  <si>
    <t>11 3 02 00000</t>
  </si>
  <si>
    <t>Разработка комплексных схем организации дорожного движения</t>
  </si>
  <si>
    <t>11 3 02 С1601</t>
  </si>
  <si>
    <t>Муниципальная программа Глушковского района Курской области "Устойчивое развитие сельских территорий Глушковского района Курской области "</t>
  </si>
  <si>
    <t>16 0 00 00000</t>
  </si>
  <si>
    <t>Подпрограмма "Социальное развитие села в Глушковском районе Курской области" муниципальной  программы Глушковского района Курской области "Устойчивое развитие сельских территорий Глушковского района Курской области на 2015-2017 г.г. и на период до 2020 г."</t>
  </si>
  <si>
    <t>16 1 00 00000</t>
  </si>
  <si>
    <t>16 1 02 00000</t>
  </si>
  <si>
    <t>Реализация мероприятий, направленных на устойчивое развитие сельских территорий</t>
  </si>
  <si>
    <t>16 1 02 L5670</t>
  </si>
  <si>
    <t>Другие вопросы в области национальной экономики</t>
  </si>
  <si>
    <t>12</t>
  </si>
  <si>
    <t>Муниципальная программа Глушковского района Курской области  «Управление муниципальным имуществом и земельными ресурсами Глушковского района Курской области»</t>
  </si>
  <si>
    <t>04 0 00 00000</t>
  </si>
  <si>
    <t>Подпрограмма «Повышение эффективности управления муниципальным имуществом и земельными ресурсами» муниципальной программы Глушковского района Курской области «Управление муниципальным имуществом и земельными ресурсами Глушковского района Курской области»</t>
  </si>
  <si>
    <t>04 1 00 00000</t>
  </si>
  <si>
    <t xml:space="preserve">Основное мероприятие Проведение муниципальной политики в области имущественных и земельных отношений на территории Глушковского района Курской области </t>
  </si>
  <si>
    <t>04 1 01 00000</t>
  </si>
  <si>
    <t>Мероприятия в области имущественных отношений</t>
  </si>
  <si>
    <t>04 1 01 С1467</t>
  </si>
  <si>
    <t>Мероприятия в области земельных отношений</t>
  </si>
  <si>
    <t>04 1 01 С1468</t>
  </si>
  <si>
    <t>Муниципальная программа Глушковского района Курской области  "Энергосбережение и повышение энергетической эффективности  Глушковского района Курской области на период 2010-2015 г.г. и на перспективу до 2020 г."</t>
  </si>
  <si>
    <t>05 0 00 00000</t>
  </si>
  <si>
    <t xml:space="preserve">Подпрограмма «Энергосбережение в муниципальном образовании  Глушковский  район  Курской области» муниципальной программы Глушковского района Курской области области  "Энергосбережение и повышение энергетической эффективности Глушковского района Курской области на период 2010-2015 года и на перспективу до 2020 года"  </t>
  </si>
  <si>
    <t>05 1 00 00000</t>
  </si>
  <si>
    <t>Основное мероприятие "Энергосбережение и повышение энергетической эффективности в бюджетной сфере"</t>
  </si>
  <si>
    <t>05 1 01 00000</t>
  </si>
  <si>
    <t>Мероприятия в области энергосбережения</t>
  </si>
  <si>
    <t>05 1 01 С1434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</si>
  <si>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 районе Курской области"</t>
  </si>
  <si>
    <t>07 0 00 00000</t>
  </si>
  <si>
    <t xml:space="preserve"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области» </t>
  </si>
  <si>
    <t>07 2 00 00000</t>
  </si>
  <si>
    <t>Основное мероприятие "Корректировка ПЗЗ, гереральных планов, координирование границ муниципальных образований "</t>
  </si>
  <si>
    <t>07 2 05 00000</t>
  </si>
  <si>
    <t xml:space="preserve">Внесение в государственный кадастр недвижимости сведений о границах муниципальных образований и границах населенных пунктов
</t>
  </si>
  <si>
    <t>07 2 05 13600</t>
  </si>
  <si>
    <t>Внесение в государственный кадастр недвижимости сведений о границах муниципальных образований и границах населенных пунктов</t>
  </si>
  <si>
    <t>07 2 05 S3600</t>
  </si>
  <si>
    <t>Иные межбюджетные трансферты на осуществление мероприятий  по  разработке документов территориального планирования и градостроительного зонирования</t>
  </si>
  <si>
    <t>07 2 05 П1416</t>
  </si>
  <si>
    <t>Муниципальная программа Глушковского района Курской области "Развитие экономики муниципального района "Глушковский  район" Курской области"</t>
  </si>
  <si>
    <t>15 0 00 00000</t>
  </si>
  <si>
    <t>Подпрограмма «Создание благоприятных условий для привлечения инвестиций в экономику Глушковского района Курской области» муниципальной программы Глушковского района Курской области «Развитие экономики муниципального района "Глушковский район" Курской области»</t>
  </si>
  <si>
    <t>15 1 00 00000</t>
  </si>
  <si>
    <t>Основное мероприятие "Участие в ежегодном Среднерусском экономическом форуме и Курской Коренской ярмарке на территории Курской области"</t>
  </si>
  <si>
    <t>15 1 01 00000</t>
  </si>
  <si>
    <t>Создание благоприятных условий для привлечения инвестиций в экономику муниципального образования</t>
  </si>
  <si>
    <t>15 1 01 С1480</t>
  </si>
  <si>
    <t>Подпрограмма "Развитие субъектов малого и среднего предпринимательства в Глушковском районе Курской области" муниципальной  программы Глушковского района Курской области «Развитие экономики муниципального района «Глушковский район» Курской области »."</t>
  </si>
  <si>
    <t>15 2 00 00000</t>
  </si>
  <si>
    <t>Основное мероприятие "Изготовление выставочных экспозиций, буклетов, образцов продукции для участия в региональных и межрегиональных выставках, конкурсах, конференциях, форумах"</t>
  </si>
  <si>
    <t>15 2 01 00000</t>
  </si>
  <si>
    <t>Обеспечение условий для развития малого и среднего предпринимательства на территории муниципального образования</t>
  </si>
  <si>
    <t>15 2 01 С1405</t>
  </si>
  <si>
    <t>Жилищно-коммунальное хозяйство</t>
  </si>
  <si>
    <t>Жилищное хозяйство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</si>
  <si>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 районе Курской области на 2015-2020 г.г."</t>
  </si>
  <si>
    <t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 на 2015-2020 г.г.»</t>
  </si>
  <si>
    <t>Основное мероприятие «Переселение граждан Глушковского района Курской области из непригодного для проживания жилищного фонда, не подпадающего под действие Федерального закона от 21 июля 2007 года № 185-ФЗ «О Фонде содействия реформированию жилищно-коммунального хозяйства»</t>
  </si>
  <si>
    <t>07 2 04 00000</t>
  </si>
  <si>
    <t>Переселение граждан в Курской области из непригодного для проживания жилищного фонда</t>
  </si>
  <si>
    <t>07 2 04 13260</t>
  </si>
  <si>
    <t>Реализация мероприятий по переселению граждан Глушковского района Курской области из непригодного для проживания жилищного фонда</t>
  </si>
  <si>
    <t>07 2 04 S3260</t>
  </si>
  <si>
    <t>Коммунальное хозяйство</t>
  </si>
  <si>
    <t xml:space="preserve"> Муниципальная программа  Глушковского района Курской области   «Охрана окружающей среды  в муниципальном образовании «Глушковский  район»  Курской области»</t>
  </si>
  <si>
    <t>06 0 00 00000</t>
  </si>
  <si>
    <t>Подпрограмма «Экология и чистая вода  в Глушковском районе Курской области» муниципальной программы  Глушковского района Курской области «Охрана окружающей среды в муниципальном образовании «Глушковский район» Курской области»</t>
  </si>
  <si>
    <t>06 1 00 00000</t>
  </si>
  <si>
    <t>Основное мероприятие "Обеспечение населения экологически чистой питьевой водой"</t>
  </si>
  <si>
    <t>Проведение текущего ремонта объектов водоснабжения муниципальной собственности</t>
  </si>
  <si>
    <t>06 1 01 12748</t>
  </si>
  <si>
    <t>Мероприятия по модернизации, реконструкции объектов систем водоснабжения и (или) водоотведения в целях обеспечения населения экологически чистой питьевой водой</t>
  </si>
  <si>
    <t>06 1 01 S2748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</si>
  <si>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районе Курской области"</t>
  </si>
  <si>
    <t>Подпрограмма «Создание условий для обеспечения доступным и комфортным жильем граждан Глушковского района Курской области » муниципальной программы  Глушковского района  Курской области программа  «Обеспечение доступным и комфортным жильем и коммунальными услугами граждан в Глушковском районе  Курской области »</t>
  </si>
  <si>
    <t>07 2 00  00000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</si>
  <si>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</si>
  <si>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>07 2 03 00000</t>
  </si>
  <si>
    <t xml:space="preserve">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 </t>
  </si>
  <si>
    <t>07 2 03 П1417</t>
  </si>
  <si>
    <t>Подпрограмма "Социальное развитие села в Глушковском районе Курской области" муниципальной  программы Глушковского района Курской области "Устойчивое развитие сельских территорий Глушковского района Курской области "</t>
  </si>
  <si>
    <t>Основное мероприятие "Строительство локальных сетей водоснабжения"</t>
  </si>
  <si>
    <t>16 1 01 00000</t>
  </si>
  <si>
    <t xml:space="preserve">Обеспечение  устойчивого  развития  сельских территорий </t>
  </si>
  <si>
    <t>16 1 01  L5670</t>
  </si>
  <si>
    <t>Осуществление  мероприятий  по  устойчивому  развитию сельских территорий за счет средств бюджета муниципального района</t>
  </si>
  <si>
    <t>16 1 01  L5671</t>
  </si>
  <si>
    <t>Осуществление  мероприятий  по  устойчивому  развитию сельских территорий за счет средств бюджета муниципального района за счет средств областного бюджета</t>
  </si>
  <si>
    <t>16 1 01  S5671</t>
  </si>
  <si>
    <t>Реализация мероприятий по устойчивому развитию сельских территорий за счет средств областного бюджета</t>
  </si>
  <si>
    <t>16 1 01  R5671</t>
  </si>
  <si>
    <t>16 1 01 П1417</t>
  </si>
  <si>
    <t>Охрана окружающей среды</t>
  </si>
  <si>
    <t>Другие вопросы в области охраны окружающей среды</t>
  </si>
  <si>
    <t>Мероприятия по обеспечению охраны окружающей среды</t>
  </si>
  <si>
    <t>77 2 00 С1469</t>
  </si>
  <si>
    <t>Образование</t>
  </si>
  <si>
    <t>Дошкольное образование</t>
  </si>
  <si>
    <t>Муниципальная программа Глушковского района Курской области "Развитие образования в Глушковском районе Курской области"</t>
  </si>
  <si>
    <t>03 0 00 00000</t>
  </si>
  <si>
    <t>Подпрограмма "Развитие дошкольного и общего образования детей" муниципальной программы Глушковского района Курской области "Развитие образования в Глушковском районе Курской области"</t>
  </si>
  <si>
    <t>03 1 00 00000</t>
  </si>
  <si>
    <t>Основное мероприятие "Реализация дошкольных образовательных программ и мероприятия по развитию системы дошкольного образования"</t>
  </si>
  <si>
    <t>03 1 01 00000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</si>
  <si>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</si>
  <si>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03 1 01 13030</t>
  </si>
  <si>
    <t>03 1 01 C1401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</si>
  <si>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</si>
  <si>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07 2 02 00000</t>
  </si>
  <si>
    <t>Развитие социальной и инженерной инфраструктуры муниципальных образований Курской области</t>
  </si>
  <si>
    <t>07 2 02 11500</t>
  </si>
  <si>
    <t xml:space="preserve">Мероприятия, направленные на  развитие социальной и инженерной инфраструктуры муниципальных образований Курской области </t>
  </si>
  <si>
    <t>07 2 02 S1500</t>
  </si>
  <si>
    <t>Общее образование</t>
  </si>
  <si>
    <t>Региональный проект "Успех каждого ребенка"</t>
  </si>
  <si>
    <t>03 1 Е2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</si>
  <si>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</si>
  <si>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1 Е2 50970</t>
  </si>
  <si>
    <t>Основное мероприятие "Реализация основных общеобразовательных программ и мероприятия по развитию системы общего образования"</t>
  </si>
  <si>
    <t>03 1 02 00000</t>
  </si>
  <si>
    <t>Реализация основных общеобразовательных  и дополнительных общеобразовательных программ в части финансирования  расходов на оплату труда  работников муниципальных общеобразовательных организаций, расходов на приобретение  учебников и учебных пособий, средств обучения, игр, игрушек (за исключением  расходов на содержание  зданий и оплату коммунальных услуг)</t>
  </si>
  <si>
    <t>03 1 02 13040</t>
  </si>
  <si>
    <t>Проведение капитального ремонта муниципальных образовательных организаций</t>
  </si>
  <si>
    <t>03 1 02 13050</t>
  </si>
  <si>
    <t>Обеспечение проведения капитального ремонта муниципальных образовательных организаций</t>
  </si>
  <si>
    <t>03 1 02 S3050</t>
  </si>
  <si>
    <t>Приобретение оборудования для школьных столовых</t>
  </si>
  <si>
    <t>03 1 02 13080</t>
  </si>
  <si>
    <t>Расходы по приобретению горюче-смазочных материалов для обеспечения подвоза  обучающихся муниципальных общеобразовательных организаций к месту  обучения и обратно</t>
  </si>
  <si>
    <t>03 1 02 S3080</t>
  </si>
  <si>
    <t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 общеобразовательных организациях</t>
  </si>
  <si>
    <t>03 1 02 13090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</si>
  <si>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</si>
  <si>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03 1 02 S3090</t>
  </si>
  <si>
    <t>Ежемесячное денежное вознаграждение за классное руководство</t>
  </si>
  <si>
    <t>03 1 02 13110</t>
  </si>
  <si>
    <t>03 1 02 C1401</t>
  </si>
  <si>
    <t>Мероприятия в области образования</t>
  </si>
  <si>
    <t>03 1 02 C1447</t>
  </si>
  <si>
    <t>Основное мероприятие "Повышение безопасности управлением транспорта, осуществляющего деятельность по перевозке школьников, с помощью спутниково-навигационной системы ГЛОНАСС по программно-аппаратному комплексу мониторингового центра"</t>
  </si>
  <si>
    <t>11 3 04 00000</t>
  </si>
  <si>
    <t>11 3 04 С1459</t>
  </si>
  <si>
    <t>Муниципальная программа  Глушковского района Курской области «Содействие занятости населения  Глушковского района Курской области »</t>
  </si>
  <si>
    <t>17 0 00 00000</t>
  </si>
  <si>
    <t>Подпрограмма "Содействие временной занятости отдельных категорий граждан" муниципальной  программы Глушковского района Курской области  "Содействие занятости населения в Глушковском районе Курской области"</t>
  </si>
  <si>
    <t>17 1 00 00000</t>
  </si>
  <si>
    <t>Основное мероприятие "Реализация мероприятий активной политики занятости населения"</t>
  </si>
  <si>
    <t>17 1 01 00000</t>
  </si>
  <si>
    <t>Развитие рынка труда, повышение эффективности занятости населения</t>
  </si>
  <si>
    <t>17 1 01 С1436</t>
  </si>
  <si>
    <t>Дополнительное образование детей</t>
  </si>
  <si>
    <t>Подпрограмма "Развитие дополнительного образования и системы воспитания детей" муниципальной программы Глушковского района Курской области "Развитие образования в Глушковском районе Курской области"</t>
  </si>
  <si>
    <t>03 2 00 00000</t>
  </si>
  <si>
    <t>Основное мероприятие "Реализация  образовательных программ дополнительного образования и мероприятия по их развитию"</t>
  </si>
  <si>
    <t>03 2 01 00000</t>
  </si>
  <si>
    <t>03 2 01 С1401</t>
  </si>
  <si>
    <t>Основное мероприятие "Развитие образования в сфере культуры и искусства"</t>
  </si>
  <si>
    <t>03 2 02 00000</t>
  </si>
  <si>
    <t>03 2 02 С1401</t>
  </si>
  <si>
    <t xml:space="preserve">Молодежная политика </t>
  </si>
  <si>
    <t>Муниципальная программа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</si>
  <si>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08 0 00 00000</t>
  </si>
  <si>
    <t>Подпрограмма "Повышение эффективности реализации молодежной политики" муниципальной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</si>
  <si>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08 1 00 00000</t>
  </si>
  <si>
    <t>Основное мероприятие "Создание условий для вовлечения молодежи в активную общественную деятельность и социальную практику,поддержка талантливой молодежи. Гражданско-патриотическое воспитание молодежи"</t>
  </si>
  <si>
    <t>08 1 01 00000</t>
  </si>
  <si>
    <t>Реализация мероприятий в сфере молодежной политики</t>
  </si>
  <si>
    <t>08 1 01 С1414</t>
  </si>
  <si>
    <t>Подпрограмма «Оздоровление и отдых детей» муниципальной 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</si>
  <si>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08 3 00 00000</t>
  </si>
  <si>
    <t>Основное мероприятие "Организация оздоровления и отдыха детей Глушковского района Курской области"</t>
  </si>
  <si>
    <t>08 3 01 00000</t>
  </si>
  <si>
    <t>Организация отдыха детей в каникулярное время</t>
  </si>
  <si>
    <t>08 3 01 13540</t>
  </si>
  <si>
    <t>Мероприятия, связанные с организацией отдыха детей в каникулярное время</t>
  </si>
  <si>
    <t>08 3 01 S3540</t>
  </si>
  <si>
    <t>Развитие системы оздоровления и отдыха детей</t>
  </si>
  <si>
    <t>08 3 01 С1458</t>
  </si>
  <si>
    <t>Основное мероприятие "Организация малозатратных форм детского отдыха"</t>
  </si>
  <si>
    <t>08 3 02 00000</t>
  </si>
  <si>
    <t>08 3 02 С1458</t>
  </si>
  <si>
    <t>Основное мероприятие "Организация деятельности по подготовке МКУ "ДОЛ "Солнышко" Глушковского района к летней оздоровительной кампании и его функционирование"</t>
  </si>
  <si>
    <t>08 3 03 00000</t>
  </si>
  <si>
    <t>08 3 03 С1401</t>
  </si>
  <si>
    <t xml:space="preserve">Расходы на выплаты персоналу в целях обеспечения выполнения функций органами местного самоуправления, казенными учреждениями </t>
  </si>
  <si>
    <t>Другие вопросы в области образования</t>
  </si>
  <si>
    <t xml:space="preserve">Подпрограмма «Обеспечение реализации муниципальной программы Глушковского района Курской области «Развитие образования в Глушковском районе Курской области и прочие мероприятия в области образования» </t>
  </si>
  <si>
    <t>03 4 00 00000</t>
  </si>
  <si>
    <t>Основное мероприятие  "Обеспечение деятельности (оказание услуг) муниципальных учреждений"</t>
  </si>
  <si>
    <t>03 4 01 00000</t>
  </si>
  <si>
    <t>03 4 01 С1401</t>
  </si>
  <si>
    <t>Основное мероприятие "Сопровождение реализации отдельных мероприятий  муниципальной программы"</t>
  </si>
  <si>
    <t>03 4 02 00000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</si>
  <si>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</si>
  <si>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03 4 02 13120</t>
  </si>
  <si>
    <t>03 4 02 С1447</t>
  </si>
  <si>
    <t>Непрограммные расходы на обеспечение деятельности муниципальных казенных учреждений</t>
  </si>
  <si>
    <t>79 0 00 00000</t>
  </si>
  <si>
    <t>Непрограммные расходы на обеспечение деятельности муниципальных казенных учреждений, не вошедшие в программные мероприятия</t>
  </si>
  <si>
    <t>79 1 00 00000</t>
  </si>
  <si>
    <t>Прочие мероприятия в области образования</t>
  </si>
  <si>
    <t>79 1 00 12420</t>
  </si>
  <si>
    <t>Культура , кинематография</t>
  </si>
  <si>
    <t>Культура</t>
  </si>
  <si>
    <t>Муниципальная программа Глушковского района Курской области "Развитие культуры в Глушковском районе Курской области"</t>
  </si>
  <si>
    <t>01 0 00 00000</t>
  </si>
  <si>
    <t>Подпрограмма "Искусство" муниципальной программы Глушковского района Курской области "Развитие культуры в Глушковском районе Курской области"</t>
  </si>
  <si>
    <t>О8</t>
  </si>
  <si>
    <t>01 1 00 00000</t>
  </si>
  <si>
    <t>Основное мероприятие "Сохранение и развитие кинообслуживания населения, традиционной народной культуры, нематериального культурного наследия Глушковского района Курской области"</t>
  </si>
  <si>
    <t>01 1 01 00000</t>
  </si>
  <si>
    <t>01 1 01 С1401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</si>
  <si>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</si>
  <si>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1 01 L4670</t>
  </si>
  <si>
    <t>Подпрограмма "Наследие" муниципальной программы Глушковского района Курской области "Развитие культуры в Глушковском районе Курской области"</t>
  </si>
  <si>
    <t>01 2 00 00000</t>
  </si>
  <si>
    <t>Основное мероприятие "Развитие библиотечного дела в Глушковском районе Курской области"</t>
  </si>
  <si>
    <t>01 2 01 00000</t>
  </si>
  <si>
    <t xml:space="preserve"> 01 2 01 С1401</t>
  </si>
  <si>
    <t>Муниципальная программа  Глушковского района Курской области «Содействие занятости населения  Глушковского района Курской области»</t>
  </si>
  <si>
    <t>Другие вопросы  в области культуры, кинематографии</t>
  </si>
  <si>
    <t>Подпрограмма "Управление муниципальной программой  и обеспечение условий реализации" муниципальной программы Глушковского района Курской области  "Развитие культуры в Глушковском районе Курской области"</t>
  </si>
  <si>
    <t>01 3 00 00000</t>
  </si>
  <si>
    <t xml:space="preserve">Основное мероприятие "Обеспечение деятельности учреждения  МКУ "Глушковская ЦБ учреждений культуры" </t>
  </si>
  <si>
    <t>01 3 01 00000</t>
  </si>
  <si>
    <t>01 3 01 С1401</t>
  </si>
  <si>
    <t>Основное мероприятие " Организация осуществления отдельных государственных полномочий по предоставлению работникам муниципальных учреждений культуры мер социальной поддержки</t>
  </si>
  <si>
    <t>01 3 02 00000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</si>
  <si>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</si>
  <si>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01 3 02 13340</t>
  </si>
  <si>
    <t>Здравоохранение</t>
  </si>
  <si>
    <t>Санитарно-эпидемиологическое благополучие</t>
  </si>
  <si>
    <t>Организация мероприятий при   осуществлении деятельности по обращению с животными без владельцев</t>
  </si>
  <si>
    <t>77 2 00 12700</t>
  </si>
  <si>
    <t>Социальная политика</t>
  </si>
  <si>
    <t>10</t>
  </si>
  <si>
    <t>Пенсионное обеспечение</t>
  </si>
  <si>
    <t>Муниципальная программа Глушковского района Курской области «Социальная поддержка граждан в Глушковском   районе Курской области».</t>
  </si>
  <si>
    <t>Подпрограмма «Развитие мер социальной поддержки отдельных категорий граждан» муниципальной программы Глушковского района Курской области «Социальная поддержка граждан в Глушковском районе Курской области»</t>
  </si>
  <si>
    <t>Основное мероприятие "Предоставление выплат пенсий за выслугу лет, доплат к пенсиям  муниципальных служащих"</t>
  </si>
  <si>
    <t>02 1 03 00000</t>
  </si>
  <si>
    <t xml:space="preserve">Выплата пенсий за выслугу лет и доплат к пенсиям муниципальных служащих </t>
  </si>
  <si>
    <t xml:space="preserve">10 </t>
  </si>
  <si>
    <t>02 1 03 С1445</t>
  </si>
  <si>
    <t>Социальное обеспечение населения</t>
  </si>
  <si>
    <t xml:space="preserve">Основное мероприятие "Оказание мер социальной поддержки по оплате жилищно-коммунальных услуг отдельным категориям граждан" </t>
  </si>
  <si>
    <t>01 3 03 00000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</si>
  <si>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</si>
  <si>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01 3  03 13350</t>
  </si>
  <si>
    <t>Муниципальная программа Глушковского района Курской области «Социальная поддержка граждан в Глушковском   районе Курской области ».</t>
  </si>
  <si>
    <t xml:space="preserve">Подпрограмма "Развитие мер социальной поддержки отдельных категорий граждан " муниципальной программы Глушковского района Курской области «Социальная поддержка граждан в Глушковском   районе Курской области </t>
  </si>
  <si>
    <t>Основное мероприятие "Предоставление социальных выплат и мер социальной поддержки отдельным категориям граждан"</t>
  </si>
  <si>
    <t>02 1 01 00000</t>
  </si>
  <si>
    <t>Обеспечение мер социальной поддержки реабилитированных лиц и лиц, признанных пострадавшими от политических репрессий</t>
  </si>
  <si>
    <t>02 1 01 11170</t>
  </si>
  <si>
    <t>Предоставление социальной поддержки отдельным категориям граждан по обеспечению продовольственными товарами</t>
  </si>
  <si>
    <t>02 1 01 11180</t>
  </si>
  <si>
    <t>Обеспечение  мер  социальной  поддержки  ветеранов  труда</t>
  </si>
  <si>
    <t>02 1 01 13150</t>
  </si>
  <si>
    <t>Обеспечение  мер  социальной  поддержки труженников тыла</t>
  </si>
  <si>
    <t>02 1 01 13160</t>
  </si>
  <si>
    <t>Основное мероприятие "Социальная поддержка работников образовательных организаций дошкольного и общего образования"</t>
  </si>
  <si>
    <t>03 1 03 00000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</si>
  <si>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 освещения работникам муниципальных образовательных организаций</t>
  </si>
  <si>
    <t>03 1 03 13070</t>
  </si>
  <si>
    <t>Основное мероприятие "Социальная поддержка работников организаций дополнительного образования"</t>
  </si>
  <si>
    <t>03 2 05 00000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</si>
  <si>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</t>
  </si>
  <si>
    <t>03 2 05 13070</t>
  </si>
  <si>
    <t xml:space="preserve">Охрана семьи и детства </t>
  </si>
  <si>
    <t>Ежемесячное пособие на ребенка</t>
  </si>
  <si>
    <t>02 1 01 11130</t>
  </si>
  <si>
    <t>Подпрограмма «Улучшение демографической ситуации, совершенствование социальной поддержки семьи и детей» муниципальной программы Глушковского района Курской области  «Социальная поддержка граждан в Глушковском районе Курской области»</t>
  </si>
  <si>
    <t xml:space="preserve"> Основное мероприятие "Осуществление государственных выплат и пособий гражданам, имеющим детей, детям-сиротам и детям, оставшимся без попечения родителей"</t>
  </si>
  <si>
    <t>02 2 01 00000</t>
  </si>
  <si>
    <t>Содержание ребенка в семье опекуна и приемной семье, а также вознаграждение, причитающееся приемному родителю</t>
  </si>
  <si>
    <t>02 2 01 13190</t>
  </si>
  <si>
    <t>Муниципальная программа  Глушковского района Курской области "Развитие образования в Глушковском районе Курской области"</t>
  </si>
  <si>
    <t>Выплата компенсации части родительской платы</t>
  </si>
  <si>
    <t>03 1 01 13000</t>
  </si>
  <si>
    <t>Физическая культура  и спорт</t>
  </si>
  <si>
    <t xml:space="preserve">Физическая культура  </t>
  </si>
  <si>
    <t>Подпрограмма «Реализация муниципальной политики в сфере физической культуры и спорта» муниципальной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</si>
  <si>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08 2 00 00000</t>
  </si>
  <si>
    <t>Основное мероприятие "Организация и проведение физкультурных и спортивных мероприятий, привлечение населения к занятиям физической культурой и массовым спортом"</t>
  </si>
  <si>
    <t>08 2 01 00000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</si>
  <si>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</si>
  <si>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2 01 С1406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</si>
  <si>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</si>
  <si>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</si>
  <si>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Муниципальная программа Глушковского района Курской области «Повышение эффективности управления финансами  Глушковского района Курской области (2015-2019 г.г.)» 
</t>
  </si>
  <si>
    <t>14 0 00 00000</t>
  </si>
  <si>
    <t>Подпрограмма "Управление муниципальным  долгом Глушковского района Курской области" муниципальной  программы Глушковского района Курской области "Повышение эффективности управления финансами Глушковского района Курской области"</t>
  </si>
  <si>
    <t>14 1 00 00000</t>
  </si>
  <si>
    <t>Основное мероприятие "Обеспечение преемлемых и экономически обоснованных объема и структуры муниципального долга Глушковского района Курской области и сокращение стоимости его обслуживания"</t>
  </si>
  <si>
    <t>14 1 01 00000</t>
  </si>
  <si>
    <t>Обслуживание муниципального долга</t>
  </si>
  <si>
    <t>14 1 01 С1465</t>
  </si>
  <si>
    <t>Обслуживание государственного (муниципального) долга</t>
  </si>
  <si>
    <t>700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</si>
  <si>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</si>
  <si>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</si>
  <si>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</si>
  <si>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Муниципальная программа Глушковского района Курской области «Повышение эффективности управления финансами  Глушковского района Курской области» 
</t>
  </si>
  <si>
    <t>Подпрограмма «Эффективная система межбюджетных отношений Глушковского района Курской области» муниципальной программы Глушковского района Курской области "Повышение эффективности управления финансами Глушковского района Курской области"</t>
  </si>
  <si>
    <t>14 2 00 00000</t>
  </si>
  <si>
    <t>Основное мероприятие "Выравнивание бюджетной обеспеченности муниципальных образований Глушковского района Курской области"</t>
  </si>
  <si>
    <t>14 2 01 00000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</si>
  <si>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</si>
  <si>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14 2 01 13450</t>
  </si>
  <si>
    <t>Приложение № 9</t>
  </si>
  <si>
    <t xml:space="preserve"> от 21 декабря  2018г.  № 33</t>
  </si>
  <si>
    <t>"О бюджете муниципального района "Глушковский район" Курской области на 2019год и плановый период 2020 и 2021 г.г. "</t>
  </si>
  <si>
    <t>( в редакции решения Представительного собрания Глушковского района Курской области от  28.05.  2019 г. № 59)</t>
  </si>
  <si>
    <t>Ведомственная структура расходов бюджета                                                                                                                                 муниципального района " Глушковский район" Курской  области   на 2019 год</t>
  </si>
  <si>
    <t>ГРБС</t>
  </si>
  <si>
    <t>Бюджет 2019 год</t>
  </si>
  <si>
    <t>КБК 207 113</t>
  </si>
  <si>
    <t>6</t>
  </si>
  <si>
    <t>7</t>
  </si>
  <si>
    <t>Администрация Глушковского района    Курской области</t>
  </si>
  <si>
    <t>001</t>
  </si>
  <si>
    <t>Муниципальная программа  Глушковского района Курской области «Социальная поддержка граждан в Глушковском   районе Курской области на 2015-2020 годы».</t>
  </si>
  <si>
    <t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для организации формирования, ведения и использования регионального банка данных о детях, оставшихся без попечения родителей</t>
  </si>
  <si>
    <t>02 2  02 13603</t>
  </si>
  <si>
    <t>Муниципальная программа Глушковского района Курской области "Организация деятельности органов ЗАГС Глушковского района Курской области"</t>
  </si>
  <si>
    <t>Подпрограмма "Энергосбережение в муниципальном образовании "Глушковский район" Курской области" муниципальной программы Глушковского района Курской области "Энергосбережение и повышение энергетической эффективности  Глушковского района Курской области на период 2010-2015 г.г. и на перспективу до 2020 г."</t>
  </si>
  <si>
    <t>06 1 00 000000</t>
  </si>
  <si>
    <t>06 1 01 000000</t>
  </si>
  <si>
    <t>Выполнение мероприятий по модернизации, реконструкции объектов систем водоснабжения и (или) водоотведения в целях обеспечения населения экологически чистой питьевой водой</t>
  </si>
  <si>
    <t xml:space="preserve">Молодежная политика  </t>
  </si>
  <si>
    <t>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</si>
  <si>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>Основное мероприятие "Мероприятия по поэтапному внедрению Всероссийского физкультурно-спортивного комплекса "Готов к труду и обороне"(ГТО)"</t>
  </si>
  <si>
    <t>08 2 02 00000</t>
  </si>
  <si>
    <t>08 2 02 С1406</t>
  </si>
  <si>
    <t xml:space="preserve">Отдел образования Администрации Глушковского района Курской области </t>
  </si>
  <si>
    <t>004</t>
  </si>
  <si>
    <t>Муниципальная программа Глушковского района Курской области  "Энергосбережение и повышение энергетической эффективности  Глушковского района Курской области"</t>
  </si>
  <si>
    <t>Подпрограмма "Энергосбережение в муниципальном образовании "Глушковский район" Курской области" муниципальной программы Глушковского района Курской области "Энергосбережение и повышение энергетической эффективности  Глушковского района Курской области"</t>
  </si>
  <si>
    <t>03 1 01 13050</t>
  </si>
  <si>
    <t>03 1 01 S3050</t>
  </si>
  <si>
    <t>Реализация мероприятийгосударственной программы Российской Федерации "Доступная среда" на 2011-2020 годы</t>
  </si>
  <si>
    <t>03 1 01 L0270</t>
  </si>
  <si>
    <t xml:space="preserve">Обеспечение создания в общеобразовательных организациях, расположенных в сельской местности, условий для занятий физической культурой и спортом </t>
  </si>
  <si>
    <t>03 1 02 R0970</t>
  </si>
  <si>
    <t>03 1 02 L0970</t>
  </si>
  <si>
    <t>03 1 02 S3060</t>
  </si>
  <si>
    <t>Приобретение горюче-смазочных материалов для обеспечения подвоза  обучающихся муниципальных общеобразовательных организаций к месту  обучения и обратно</t>
  </si>
  <si>
    <t>Предоставление мер социальной поддержки работникам муниципальных образовательных организаций</t>
  </si>
  <si>
    <t>03 1 03 13060</t>
  </si>
  <si>
    <t>Обеспечение предоставления мер социальной поддержки работникам муниципальных образовательных организаций</t>
  </si>
  <si>
    <t>03 1 03 S3060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</si>
  <si>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районе Курской области на 2015-2020 г.г."</t>
  </si>
  <si>
    <t>Подпрограмма «Создание условий для обеспечения доступным и комфортным жильем граждан Глушковского района Курской области » муниципальной программы  Глушковского района  Курской области программа  «Обеспечение доступным и комфортным жильем и коммунальными услугами граждан в Глушковском районе  Курской области на 2015-2020 г.г.»</t>
  </si>
  <si>
    <t xml:space="preserve">Отдел Культуры Администрации Глушковского района Курской области </t>
  </si>
  <si>
    <t>005</t>
  </si>
  <si>
    <t>Проведение мероприятий в области образования</t>
  </si>
  <si>
    <t>03 2 1462</t>
  </si>
  <si>
    <t xml:space="preserve">Культура </t>
  </si>
  <si>
    <t>Гранты на развитие культуры и искусства</t>
  </si>
  <si>
    <t>01 1 01 11820</t>
  </si>
  <si>
    <t>Проведение капитального ремонта учреждений культуры районов и поселений</t>
  </si>
  <si>
    <t>01 1 01 13320</t>
  </si>
  <si>
    <t>Развитие библиотечного дела</t>
  </si>
  <si>
    <t xml:space="preserve"> 01 2 01 С1442</t>
  </si>
  <si>
    <t>01 2 1307</t>
  </si>
  <si>
    <t>Приложение № 10</t>
  </si>
  <si>
    <t>к решению Представительного  собрания  Глушковского района Курской обл.</t>
  </si>
  <si>
    <t xml:space="preserve"> от 21 декабря   2018г.  № 33</t>
  </si>
  <si>
    <t>"О бюджете муниципального района "Глушковский район" Курской области на 2019 год и плановый период 2020 и 2021 г.г. "</t>
  </si>
  <si>
    <t>( в редакции решения Представительного собрания Глушковского района Курской обл. от  28 мая  2019г.  № 59)</t>
  </si>
  <si>
    <t>Ведомственная структура расходов бюджета  муниципального района " Глушковский район" Курской области                                                                                              на  плановый период 2020 и 2021 г.г.</t>
  </si>
  <si>
    <t>Бюджет 2020 год</t>
  </si>
  <si>
    <t>Сумма                      на 2020 год</t>
  </si>
  <si>
    <t>Бюджет 2021 год</t>
  </si>
  <si>
    <t>Сумма                      на 2021 год</t>
  </si>
  <si>
    <t>Условно утвержденные расходы</t>
  </si>
  <si>
    <t>Муниципальная программа Глушковского района Курской области «Социальная поддержка граждан в Глушковском районе Курской обл»</t>
  </si>
  <si>
    <t>Иные межбюджетные трансферты на осуществление переданных полномочий на  создание  объектов водоснабжения муниципальной собственности, не относящихся к объектам капитального строительства</t>
  </si>
  <si>
    <t>06 1 01 13421</t>
  </si>
  <si>
    <t>Иные межбюджетные трансферты на осуществление переданных полномочий на  осуществление мероприятий по созданию  объектов водоснабжения муниципальной собственности, не относящихся к объектам капитального строительства</t>
  </si>
  <si>
    <t>06 1 01 S3421</t>
  </si>
  <si>
    <t>06 1 01 13430</t>
  </si>
  <si>
    <t>Основное мероприятие "Строительство распределительных сетей газопровода "</t>
  </si>
  <si>
    <t>16 1 03 00000</t>
  </si>
  <si>
    <t>Иные межбюджетные трансферты на реализацию мероприятий федеральной целевой программы "Устойчивое развитие сельских территорий на 2014 - 2017 годы и на период до 2020 года"</t>
  </si>
  <si>
    <t>16 1 03 50181</t>
  </si>
  <si>
    <t xml:space="preserve">Иные межбюджетные трансферты на осуществление полномочий по устойчивому развитию сельских территорий </t>
  </si>
  <si>
    <t>16 1 03 R0181</t>
  </si>
  <si>
    <t>Иные межбюджетные трансферты на реализацию мероприятий, направленных на устойчивое развитие сельских территорий</t>
  </si>
  <si>
    <t>16 1 03 L0181</t>
  </si>
  <si>
    <t>16 1 04 50181</t>
  </si>
  <si>
    <t>16 1 01 R5671</t>
  </si>
  <si>
    <t>Обеспечение оборудованием  школьных столовых</t>
  </si>
  <si>
    <t>08 2 02 С1401</t>
  </si>
  <si>
    <t>Муниципальная программа  Глушковского района Курской области «Социальная поддержка граждан в Глушковском   районе Курской области ».</t>
  </si>
  <si>
    <t>Приложение № 11</t>
  </si>
  <si>
    <t xml:space="preserve"> от  21 декабря   2018 г.  № 33</t>
  </si>
  <si>
    <t>( в редакции решения Представительного собрания Глушковского района Курской области  от  28 мая   2019 г. № 59)</t>
  </si>
  <si>
    <t>Распределение бюджетных ассигнований по целевым статьям (муниципальным программам  Глушковского района Курской области и непрограммным направлениям деятельности), группам видов расходов на 2019 год</t>
  </si>
  <si>
    <t>01 0 0000000</t>
  </si>
  <si>
    <t xml:space="preserve"> 01 1 01 11820</t>
  </si>
  <si>
    <t xml:space="preserve"> 01 1 01 13320</t>
  </si>
  <si>
    <t xml:space="preserve"> 01 1 01 С1401</t>
  </si>
  <si>
    <t>Обеспечение условий реализации муниципальной программы</t>
  </si>
  <si>
    <t>01 3 1440</t>
  </si>
  <si>
    <t>02 1 02 С1445</t>
  </si>
  <si>
    <t xml:space="preserve"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 для организации формирования, ведения и использования регионального банка данных о детях, оставшихся без попечения родителей  </t>
  </si>
  <si>
    <t>02 2 02 13603</t>
  </si>
  <si>
    <t>Расходы на проведение капитального ремонта муниципальных дошкольных образовательных организаций</t>
  </si>
  <si>
    <t>03 1 1301</t>
  </si>
  <si>
    <t>Приобретение оборудования для базовых детских садов в рамках реализации комплексных программ поддержки развития дошкольных образовательных организаций Курской области</t>
  </si>
  <si>
    <t>03 1 1302</t>
  </si>
  <si>
    <t>Реализация мероприятий государственной программы Российской Федерации "Доступная среда" на 2011-2020 годы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</si>
  <si>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 общеобразовательных организациях</t>
  </si>
  <si>
    <t>Подпрограмма «Обеспечение качественными услугами ЖКХ населения  Глушковского  района   Курской области» муниципальной  программы  Глушковского района Курской области «Обеспечение доступным и комфортным жильем и коммунальными услугами граждан  в Глушковском районе  Курской области на 2015-2020 г.г.</t>
  </si>
  <si>
    <t>07 1 00 00000</t>
  </si>
  <si>
    <t>Основное мероприятие "Организация ритуальных услуг и содержание мест захоронения"</t>
  </si>
  <si>
    <t>07 1 01 00000</t>
  </si>
  <si>
    <t>Мероприятия по благоустройству</t>
  </si>
  <si>
    <t>07 1 01 П1433</t>
  </si>
  <si>
    <t>Основное мероприятие "Поддержание в чистоте территории населенных пунктов муниципальных образований"</t>
  </si>
  <si>
    <t>07 1 02 00000</t>
  </si>
  <si>
    <t>Мероприятия по сбору и транспортированию твердых коммунальных  отходов</t>
  </si>
  <si>
    <t>07 1 02 П1457</t>
  </si>
  <si>
    <t>07 1 1433</t>
  </si>
  <si>
    <t>Мероприятия по сбору и удалению твердых и жидких бытовых отходов</t>
  </si>
  <si>
    <t>07 1 1457</t>
  </si>
  <si>
    <t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области»</t>
  </si>
  <si>
    <t>Муниципальная программа  Глушковского района Курской области «Развитие муниципальной службы в Глушковском районе Курской области»</t>
  </si>
  <si>
    <t>Проведение Всероссийской сельскохозяйственной переписи в 2016 году</t>
  </si>
  <si>
    <t>77 2 00 53910</t>
  </si>
  <si>
    <t>77 3 00 С1441</t>
  </si>
  <si>
    <t>78 1 00 12420</t>
  </si>
  <si>
    <t>Приложение № 8</t>
  </si>
  <si>
    <t>к решению Представительного  собрания Глушковского района Курской области от  21 декабря  2018 г. № 33</t>
  </si>
  <si>
    <t>( в редакции решения Представительного собрания Глушковского   р-на Курской обл. от  28 мая  2019г.  № 59 )</t>
  </si>
  <si>
    <t>Распределение  бюджетных  ассигнований  по разделам, подразделам , целевым статьям  (муниципальным программам и непрограммным направлениям деятельности), группам видов  расходов  классификации расходов бюджета муниципального района "Глушковский район"  Курской области  на  плановый период 2020 и 2021 г.г.</t>
  </si>
  <si>
    <t xml:space="preserve"> Муниципальная программа  Глушковского района Курской области   «Охрана окружающей среды  в муниципальном образовании «Глушковский  район»  Курской области  на  2015-2020 г.г.»</t>
  </si>
  <si>
    <t>Подпрограмма «Экология и чистая вода  в Глушковском районе Курской области» муниципальной программы  Глушковского района Курской области «Охрана окружающей среды в муниципальном образовании «Глушковский район» Курской области на 2015-2020 г.г»</t>
  </si>
  <si>
    <t>Проведение мероприятий по формированию  сети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</si>
  <si>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03 1 01 13590</t>
  </si>
  <si>
    <t xml:space="preserve">Мероприятия государственной программы Российской Федерации "Доступная среда" на 2011 - 2020 годы
</t>
  </si>
  <si>
    <t xml:space="preserve">Развитие социальной и инженерной инфраструктуры муниципальных образований Курской области </t>
  </si>
  <si>
    <t>Муниципальная программа Глушковского района Курской области «Развитие транспортной системы, обеспечение перевозки пассажиров в Глушковском районе Курской области  и безопасности дорожного движения на 2015-2020 годы»</t>
  </si>
  <si>
    <t>Обеспечение проведения капитального ремонта учреждений культуры районов и поселений</t>
  </si>
  <si>
    <t xml:space="preserve"> 01 1 01 S3320</t>
  </si>
  <si>
    <t>Проведение мероприятий в области культуры</t>
  </si>
  <si>
    <t xml:space="preserve"> 01 1 01 С1463</t>
  </si>
  <si>
    <t>Муниципальная программа Глушковского района Курской области «Социальная поддержка граждан в Глушковском   районе Курской области на 2015-2020 годы».</t>
  </si>
  <si>
    <t>Основное мероприятие "Поддержка молодых семей в улучшении жилищных условий на территории Глушковского района Курской области"</t>
  </si>
  <si>
    <t>07 2 01 00000</t>
  </si>
  <si>
    <t>Иные межбюджетные трансферты на реализацию мероприятий подпрограммы "Обеспечение жильем молодых семей" федеральной целевой программы "Жилище на 2011-2015 годы</t>
  </si>
  <si>
    <t>07 2 01 50201</t>
  </si>
  <si>
    <t xml:space="preserve">Иные межбюджетные трансферты на государственную поддержку молодых семей в улучшении жилищных условий </t>
  </si>
  <si>
    <t>07 2 01 R0201</t>
  </si>
  <si>
    <t>07 2 01 L0201</t>
  </si>
  <si>
    <t>Приложение № 12</t>
  </si>
  <si>
    <t xml:space="preserve"> от  21 декабря  2018 г.  № 33</t>
  </si>
  <si>
    <t>( в редакции решения Представительного собрания Глушковского района Курской области  от    28 мая   2019г. № 59)</t>
  </si>
  <si>
    <t>Распределение бюджетных ассигнований по целевым статьям (муниципальным программам                                                                                                                 Глушковского района Курской области и непрограммным направлениям деятельности), группам видов расходов                                                                                            на  плановый период 2020 и 2021 г.г.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</si>
</sst>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_-&quot;£&quot;* #,##0.00_-;\-&quot;£&quot;* #,##0.00_-;_-&quot;£&quot;* &quot;-&quot;??_-;_-@_-"/>
    <numFmt numFmtId="174" formatCode="#,##0.000"/>
    <numFmt numFmtId="175" formatCode="0.0"/>
    <numFmt numFmtId="176" formatCode="#,##0.0"/>
    <numFmt numFmtId="177" formatCode="0.00000"/>
    <numFmt numFmtId="178" formatCode="###\ ###\ ###\ ###\ ##0.00"/>
    <numFmt numFmtId="179" formatCode="0000000"/>
  </numFmts>
  <fonts count="8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i/>
      <sz val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8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13"/>
      <color indexed="8"/>
      <name val="Times New Roman"/>
      <family val="1"/>
    </font>
    <font>
      <sz val="16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name val="Arial Ci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i/>
      <sz val="20"/>
      <color indexed="10"/>
      <name val="Times New Roman"/>
      <family val="1"/>
    </font>
    <font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3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50" fillId="0" borderId="0">
      <alignment/>
      <protection/>
    </xf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7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17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9" fontId="6" fillId="0" borderId="10" xfId="62" applyNumberFormat="1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vertical="top" wrapText="1"/>
      <protection/>
    </xf>
    <xf numFmtId="174" fontId="6" fillId="0" borderId="10" xfId="62" applyNumberFormat="1" applyFont="1" applyBorder="1" applyAlignment="1">
      <alignment/>
      <protection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6" fillId="0" borderId="10" xfId="62" applyFont="1" applyBorder="1" applyAlignment="1">
      <alignment horizontal="center" vertical="top" wrapText="1"/>
      <protection/>
    </xf>
    <xf numFmtId="49" fontId="0" fillId="0" borderId="10" xfId="62" applyNumberFormat="1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center" vertical="top" wrapText="1"/>
      <protection/>
    </xf>
    <xf numFmtId="174" fontId="0" fillId="0" borderId="10" xfId="62" applyNumberFormat="1" applyFont="1" applyBorder="1" applyAlignment="1">
      <alignment/>
      <protection/>
    </xf>
    <xf numFmtId="0" fontId="0" fillId="0" borderId="10" xfId="62" applyFont="1" applyBorder="1" applyAlignment="1">
      <alignment vertical="top" wrapText="1"/>
      <protection/>
    </xf>
    <xf numFmtId="0" fontId="0" fillId="0" borderId="11" xfId="62" applyFont="1" applyFill="1" applyBorder="1" applyAlignment="1">
      <alignment vertical="center" wrapText="1"/>
      <protection/>
    </xf>
    <xf numFmtId="0" fontId="0" fillId="0" borderId="11" xfId="62" applyFont="1" applyFill="1" applyBorder="1" applyAlignment="1">
      <alignment vertical="top" wrapText="1"/>
      <protection/>
    </xf>
    <xf numFmtId="49" fontId="0" fillId="0" borderId="10" xfId="62" applyNumberFormat="1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center" vertical="top" wrapText="1"/>
      <protection/>
    </xf>
    <xf numFmtId="0" fontId="6" fillId="0" borderId="10" xfId="62" applyFont="1" applyBorder="1" applyAlignment="1">
      <alignment wrapText="1"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2" fontId="0" fillId="0" borderId="0" xfId="0" applyNumberFormat="1" applyFill="1" applyAlignment="1">
      <alignment horizontal="right"/>
    </xf>
    <xf numFmtId="2" fontId="0" fillId="0" borderId="10" xfId="0" applyNumberFormat="1" applyFill="1" applyBorder="1" applyAlignment="1">
      <alignment horizontal="center" vertical="center" wrapText="1"/>
    </xf>
    <xf numFmtId="2" fontId="6" fillId="0" borderId="10" xfId="62" applyNumberFormat="1" applyFont="1" applyFill="1" applyBorder="1" applyAlignment="1">
      <alignment/>
      <protection/>
    </xf>
    <xf numFmtId="177" fontId="6" fillId="0" borderId="0" xfId="0" applyNumberFormat="1" applyFont="1" applyAlignment="1">
      <alignment/>
    </xf>
    <xf numFmtId="2" fontId="0" fillId="0" borderId="10" xfId="62" applyNumberFormat="1" applyFont="1" applyFill="1" applyBorder="1" applyAlignment="1">
      <alignment/>
      <protection/>
    </xf>
    <xf numFmtId="177" fontId="0" fillId="0" borderId="0" xfId="0" applyNumberFormat="1" applyAlignment="1">
      <alignment/>
    </xf>
    <xf numFmtId="2" fontId="6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3" fillId="0" borderId="10" xfId="0" applyFont="1" applyFill="1" applyBorder="1" applyAlignment="1">
      <alignment horizontal="justify" wrapText="1"/>
    </xf>
    <xf numFmtId="2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72" fontId="10" fillId="0" borderId="10" xfId="0" applyNumberFormat="1" applyFont="1" applyBorder="1" applyAlignment="1">
      <alignment horizontal="center" wrapText="1"/>
    </xf>
    <xf numFmtId="172" fontId="1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17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174" fontId="5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10" xfId="0" applyNumberFormat="1" applyFill="1" applyBorder="1" applyAlignment="1">
      <alignment vertical="center" wrapText="1"/>
    </xf>
    <xf numFmtId="174" fontId="6" fillId="0" borderId="17" xfId="62" applyNumberFormat="1" applyFont="1" applyBorder="1" applyAlignment="1">
      <alignment/>
      <protection/>
    </xf>
    <xf numFmtId="0" fontId="6" fillId="0" borderId="10" xfId="0" applyFont="1" applyBorder="1" applyAlignment="1">
      <alignment/>
    </xf>
    <xf numFmtId="174" fontId="0" fillId="0" borderId="17" xfId="62" applyNumberFormat="1" applyFont="1" applyBorder="1" applyAlignment="1">
      <alignment/>
      <protection/>
    </xf>
    <xf numFmtId="2" fontId="0" fillId="0" borderId="10" xfId="0" applyNumberFormat="1" applyBorder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174" fontId="1" fillId="0" borderId="15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5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4" fontId="16" fillId="0" borderId="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49" fontId="17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top" wrapText="1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76" fillId="0" borderId="0" xfId="0" applyFont="1" applyAlignment="1">
      <alignment vertical="top" wrapText="1"/>
    </xf>
    <xf numFmtId="0" fontId="76" fillId="0" borderId="10" xfId="0" applyFont="1" applyBorder="1" applyAlignment="1">
      <alignment vertical="top" wrapText="1"/>
    </xf>
    <xf numFmtId="0" fontId="77" fillId="0" borderId="10" xfId="33" applyNumberFormat="1" applyFont="1" applyFill="1" applyBorder="1" applyAlignment="1">
      <alignment horizontal="center" wrapText="1" readingOrder="1"/>
      <protection/>
    </xf>
    <xf numFmtId="0" fontId="78" fillId="0" borderId="10" xfId="33" applyNumberFormat="1" applyFont="1" applyFill="1" applyBorder="1" applyAlignment="1">
      <alignment horizontal="left" vertical="top" wrapText="1" readingOrder="1"/>
      <protection/>
    </xf>
    <xf numFmtId="4" fontId="14" fillId="0" borderId="10" xfId="0" applyNumberFormat="1" applyFont="1" applyFill="1" applyBorder="1" applyAlignment="1">
      <alignment horizontal="right" vertical="center" wrapText="1"/>
    </xf>
    <xf numFmtId="0" fontId="78" fillId="0" borderId="10" xfId="33" applyNumberFormat="1" applyFont="1" applyFill="1" applyBorder="1" applyAlignment="1">
      <alignment horizontal="left" wrapText="1" readingOrder="1"/>
      <protection/>
    </xf>
    <xf numFmtId="0" fontId="79" fillId="0" borderId="10" xfId="33" applyNumberFormat="1" applyFont="1" applyFill="1" applyBorder="1" applyAlignment="1">
      <alignment horizontal="left" wrapText="1" readingOrder="1"/>
      <protection/>
    </xf>
    <xf numFmtId="0" fontId="77" fillId="0" borderId="10" xfId="33" applyNumberFormat="1" applyFont="1" applyFill="1" applyBorder="1" applyAlignment="1">
      <alignment horizontal="center" vertical="center" wrapText="1" readingOrder="1"/>
      <protection/>
    </xf>
    <xf numFmtId="0" fontId="80" fillId="0" borderId="10" xfId="33" applyNumberFormat="1" applyFont="1" applyFill="1" applyBorder="1" applyAlignment="1">
      <alignment horizontal="left" vertical="top" wrapText="1" readingOrder="1"/>
      <protection/>
    </xf>
    <xf numFmtId="0" fontId="81" fillId="0" borderId="10" xfId="33" applyNumberFormat="1" applyFont="1" applyFill="1" applyBorder="1" applyAlignment="1">
      <alignment horizontal="center" wrapText="1" readingOrder="1"/>
      <protection/>
    </xf>
    <xf numFmtId="0" fontId="81" fillId="0" borderId="10" xfId="33" applyNumberFormat="1" applyFont="1" applyFill="1" applyBorder="1" applyAlignment="1">
      <alignment horizontal="left" wrapText="1" readingOrder="1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6" fillId="0" borderId="10" xfId="33" applyNumberFormat="1" applyFont="1" applyFill="1" applyBorder="1" applyAlignment="1">
      <alignment horizontal="left" vertical="top" wrapText="1" readingOrder="1"/>
      <protection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top" wrapText="1"/>
    </xf>
    <xf numFmtId="4" fontId="14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49" fontId="14" fillId="0" borderId="10" xfId="57" applyNumberFormat="1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vertical="top" wrapText="1"/>
      <protection/>
    </xf>
    <xf numFmtId="49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vertical="top" wrapText="1"/>
      <protection/>
    </xf>
    <xf numFmtId="0" fontId="1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4" fontId="16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wrapText="1"/>
    </xf>
    <xf numFmtId="0" fontId="67" fillId="0" borderId="0" xfId="0" applyFont="1" applyAlignment="1">
      <alignment/>
    </xf>
    <xf numFmtId="0" fontId="76" fillId="0" borderId="10" xfId="0" applyFont="1" applyBorder="1" applyAlignment="1">
      <alignment/>
    </xf>
    <xf numFmtId="0" fontId="76" fillId="0" borderId="10" xfId="0" applyFont="1" applyFill="1" applyBorder="1" applyAlignment="1">
      <alignment/>
    </xf>
    <xf numFmtId="0" fontId="20" fillId="0" borderId="10" xfId="0" applyFont="1" applyBorder="1" applyAlignment="1">
      <alignment vertical="center" wrapText="1"/>
    </xf>
    <xf numFmtId="0" fontId="83" fillId="0" borderId="10" xfId="33" applyNumberFormat="1" applyFont="1" applyFill="1" applyBorder="1" applyAlignment="1">
      <alignment horizontal="left" readingOrder="1"/>
      <protection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84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vertical="top" wrapText="1"/>
    </xf>
    <xf numFmtId="0" fontId="76" fillId="0" borderId="10" xfId="0" applyFont="1" applyBorder="1" applyAlignment="1">
      <alignment horizontal="center" vertical="center"/>
    </xf>
    <xf numFmtId="49" fontId="19" fillId="0" borderId="10" xfId="67" applyNumberFormat="1" applyFont="1" applyBorder="1" applyAlignment="1">
      <alignment horizontal="center"/>
      <protection/>
    </xf>
    <xf numFmtId="0" fontId="14" fillId="0" borderId="10" xfId="67" applyFont="1" applyBorder="1" applyAlignment="1">
      <alignment wrapText="1"/>
      <protection/>
    </xf>
    <xf numFmtId="4" fontId="14" fillId="0" borderId="10" xfId="0" applyNumberFormat="1" applyFont="1" applyBorder="1" applyAlignment="1">
      <alignment horizontal="right" wrapText="1"/>
    </xf>
    <xf numFmtId="49" fontId="1" fillId="0" borderId="10" xfId="67" applyNumberFormat="1" applyFont="1" applyBorder="1" applyAlignment="1">
      <alignment horizontal="center" vertical="center"/>
      <protection/>
    </xf>
    <xf numFmtId="0" fontId="1" fillId="0" borderId="10" xfId="67" applyFont="1" applyBorder="1" applyAlignment="1">
      <alignment vertical="top" wrapText="1"/>
      <protection/>
    </xf>
    <xf numFmtId="0" fontId="16" fillId="34" borderId="10" xfId="33" applyNumberFormat="1" applyFont="1" applyFill="1" applyBorder="1" applyAlignment="1">
      <alignment horizontal="center" vertical="center" wrapText="1" readingOrder="1"/>
      <protection/>
    </xf>
    <xf numFmtId="0" fontId="16" fillId="34" borderId="10" xfId="33" applyNumberFormat="1" applyFont="1" applyFill="1" applyBorder="1" applyAlignment="1">
      <alignment horizontal="left" vertical="center" wrapText="1" readingOrder="1"/>
      <protection/>
    </xf>
    <xf numFmtId="4" fontId="14" fillId="34" borderId="10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6" fillId="0" borderId="10" xfId="33" applyNumberFormat="1" applyFont="1" applyFill="1" applyBorder="1" applyAlignment="1">
      <alignment horizontal="left" vertical="center" wrapText="1" readingOrder="1"/>
      <protection/>
    </xf>
    <xf numFmtId="4" fontId="12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right" wrapText="1"/>
    </xf>
    <xf numFmtId="4" fontId="19" fillId="0" borderId="10" xfId="0" applyNumberFormat="1" applyFont="1" applyFill="1" applyBorder="1" applyAlignment="1">
      <alignment horizontal="right" wrapText="1"/>
    </xf>
    <xf numFmtId="0" fontId="14" fillId="0" borderId="10" xfId="0" applyFont="1" applyFill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49" fontId="19" fillId="0" borderId="10" xfId="65" applyNumberFormat="1" applyFont="1" applyBorder="1" applyAlignment="1">
      <alignment horizontal="center" vertical="center"/>
      <protection/>
    </xf>
    <xf numFmtId="0" fontId="14" fillId="0" borderId="10" xfId="0" applyFont="1" applyBorder="1" applyAlignment="1">
      <alignment horizontal="left" vertical="center" wrapText="1"/>
    </xf>
    <xf numFmtId="4" fontId="14" fillId="0" borderId="10" xfId="0" applyNumberFormat="1" applyFont="1" applyBorder="1" applyAlignment="1">
      <alignment wrapText="1"/>
    </xf>
    <xf numFmtId="0" fontId="14" fillId="0" borderId="10" xfId="66" applyFont="1" applyBorder="1" applyAlignment="1">
      <alignment vertical="top" wrapText="1"/>
      <protection/>
    </xf>
    <xf numFmtId="49" fontId="1" fillId="0" borderId="10" xfId="65" applyNumberFormat="1" applyFont="1" applyFill="1" applyBorder="1" applyAlignment="1">
      <alignment horizontal="center" vertical="center"/>
      <protection/>
    </xf>
    <xf numFmtId="0" fontId="1" fillId="0" borderId="10" xfId="65" applyFont="1" applyFill="1" applyBorder="1" applyAlignment="1">
      <alignment vertical="top" wrapText="1"/>
      <protection/>
    </xf>
    <xf numFmtId="4" fontId="1" fillId="0" borderId="10" xfId="0" applyNumberFormat="1" applyFont="1" applyFill="1" applyBorder="1" applyAlignment="1">
      <alignment wrapText="1"/>
    </xf>
    <xf numFmtId="0" fontId="14" fillId="0" borderId="10" xfId="58" applyFont="1" applyBorder="1" applyAlignment="1">
      <alignment vertical="center" wrapText="1"/>
      <protection/>
    </xf>
    <xf numFmtId="49" fontId="1" fillId="0" borderId="10" xfId="65" applyNumberFormat="1" applyFont="1" applyBorder="1" applyAlignment="1">
      <alignment horizontal="center" vertical="center"/>
      <protection/>
    </xf>
    <xf numFmtId="0" fontId="1" fillId="0" borderId="10" xfId="58" applyFont="1" applyBorder="1" applyAlignment="1">
      <alignment vertical="top" wrapText="1"/>
      <protection/>
    </xf>
    <xf numFmtId="0" fontId="14" fillId="0" borderId="10" xfId="0" applyFont="1" applyBorder="1" applyAlignment="1">
      <alignment horizontal="left" vertical="top" wrapText="1"/>
    </xf>
    <xf numFmtId="0" fontId="84" fillId="0" borderId="10" xfId="0" applyFont="1" applyBorder="1" applyAlignment="1">
      <alignment/>
    </xf>
    <xf numFmtId="0" fontId="82" fillId="0" borderId="10" xfId="0" applyFont="1" applyBorder="1" applyAlignment="1">
      <alignment horizontal="left" vertical="top" wrapText="1"/>
    </xf>
    <xf numFmtId="0" fontId="85" fillId="0" borderId="10" xfId="0" applyFont="1" applyBorder="1" applyAlignment="1">
      <alignment vertical="center"/>
    </xf>
    <xf numFmtId="0" fontId="76" fillId="0" borderId="10" xfId="0" applyFont="1" applyBorder="1" applyAlignment="1">
      <alignment horizontal="left" vertical="top" wrapText="1"/>
    </xf>
    <xf numFmtId="0" fontId="84" fillId="0" borderId="10" xfId="0" applyFont="1" applyBorder="1" applyAlignment="1">
      <alignment horizontal="left" vertical="top" wrapText="1"/>
    </xf>
    <xf numFmtId="0" fontId="85" fillId="0" borderId="10" xfId="0" applyFont="1" applyBorder="1" applyAlignment="1">
      <alignment horizontal="center" vertical="center"/>
    </xf>
    <xf numFmtId="0" fontId="84" fillId="0" borderId="10" xfId="0" applyFont="1" applyFill="1" applyBorder="1" applyAlignment="1">
      <alignment/>
    </xf>
    <xf numFmtId="0" fontId="84" fillId="0" borderId="10" xfId="0" applyFont="1" applyFill="1" applyBorder="1" applyAlignment="1">
      <alignment horizontal="left" vertical="top" wrapText="1"/>
    </xf>
    <xf numFmtId="0" fontId="85" fillId="0" borderId="10" xfId="0" applyFont="1" applyFill="1" applyBorder="1" applyAlignment="1">
      <alignment/>
    </xf>
    <xf numFmtId="0" fontId="76" fillId="0" borderId="10" xfId="0" applyFont="1" applyFill="1" applyBorder="1" applyAlignment="1">
      <alignment horizontal="left" vertical="top" wrapText="1"/>
    </xf>
    <xf numFmtId="0" fontId="79" fillId="0" borderId="19" xfId="33" applyNumberFormat="1" applyFont="1" applyFill="1" applyBorder="1" applyAlignment="1">
      <alignment horizontal="left" vertical="top" wrapText="1" readingOrder="1"/>
      <protection/>
    </xf>
    <xf numFmtId="0" fontId="78" fillId="0" borderId="19" xfId="33" applyNumberFormat="1" applyFont="1" applyFill="1" applyBorder="1" applyAlignment="1">
      <alignment horizontal="left" vertical="top" wrapText="1" readingOrder="1"/>
      <protection/>
    </xf>
    <xf numFmtId="0" fontId="1" fillId="0" borderId="10" xfId="0" applyFont="1" applyFill="1" applyBorder="1" applyAlignment="1">
      <alignment horizontal="left" vertical="top" wrapText="1"/>
    </xf>
    <xf numFmtId="49" fontId="19" fillId="0" borderId="10" xfId="66" applyNumberFormat="1" applyFont="1" applyBorder="1" applyAlignment="1">
      <alignment horizontal="center"/>
      <protection/>
    </xf>
    <xf numFmtId="0" fontId="14" fillId="0" borderId="10" xfId="66" applyFont="1" applyBorder="1" applyAlignment="1">
      <alignment horizontal="left" vertical="center" wrapText="1"/>
      <protection/>
    </xf>
    <xf numFmtId="49" fontId="1" fillId="0" borderId="10" xfId="66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left" vertical="top" wrapText="1"/>
    </xf>
    <xf numFmtId="0" fontId="1" fillId="0" borderId="10" xfId="65" applyFont="1" applyBorder="1" applyAlignment="1">
      <alignment horizontal="left" vertical="top" wrapText="1"/>
      <protection/>
    </xf>
    <xf numFmtId="49" fontId="1" fillId="0" borderId="10" xfId="66" applyNumberFormat="1" applyFont="1" applyFill="1" applyBorder="1" applyAlignment="1">
      <alignment horizontal="center" vertical="center"/>
      <protection/>
    </xf>
    <xf numFmtId="4" fontId="1" fillId="0" borderId="10" xfId="0" applyNumberFormat="1" applyFont="1" applyFill="1" applyBorder="1" applyAlignment="1">
      <alignment horizontal="right"/>
    </xf>
    <xf numFmtId="0" fontId="1" fillId="0" borderId="10" xfId="65" applyFont="1" applyFill="1" applyBorder="1" applyAlignment="1">
      <alignment horizontal="left" vertical="top" wrapText="1"/>
      <protection/>
    </xf>
    <xf numFmtId="4" fontId="1" fillId="0" borderId="10" xfId="0" applyNumberFormat="1" applyFont="1" applyFill="1" applyBorder="1" applyAlignment="1">
      <alignment/>
    </xf>
    <xf numFmtId="0" fontId="19" fillId="0" borderId="10" xfId="0" applyFont="1" applyBorder="1" applyAlignment="1">
      <alignment/>
    </xf>
    <xf numFmtId="4" fontId="20" fillId="0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justify" vertical="top" wrapText="1"/>
    </xf>
    <xf numFmtId="4" fontId="14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vertical="center" wrapText="1"/>
    </xf>
    <xf numFmtId="0" fontId="19" fillId="0" borderId="10" xfId="0" applyFont="1" applyBorder="1" applyAlignment="1">
      <alignment horizontal="left" vertical="top" wrapText="1"/>
    </xf>
    <xf numFmtId="49" fontId="19" fillId="0" borderId="10" xfId="61" applyNumberFormat="1" applyFont="1" applyFill="1" applyBorder="1" applyAlignment="1">
      <alignment horizontal="center" vertical="center" wrapText="1"/>
      <protection/>
    </xf>
    <xf numFmtId="49" fontId="1" fillId="0" borderId="10" xfId="61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justify" vertical="top" wrapText="1"/>
    </xf>
    <xf numFmtId="49" fontId="1" fillId="34" borderId="10" xfId="65" applyNumberFormat="1" applyFont="1" applyFill="1" applyBorder="1" applyAlignment="1">
      <alignment horizontal="center" vertical="center"/>
      <protection/>
    </xf>
    <xf numFmtId="0" fontId="1" fillId="34" borderId="10" xfId="0" applyFont="1" applyFill="1" applyBorder="1" applyAlignment="1">
      <alignment vertical="top" wrapText="1"/>
    </xf>
    <xf numFmtId="4" fontId="1" fillId="34" borderId="10" xfId="0" applyNumberFormat="1" applyFont="1" applyFill="1" applyBorder="1" applyAlignment="1">
      <alignment wrapText="1"/>
    </xf>
    <xf numFmtId="0" fontId="14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23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0" xfId="66" applyFont="1" applyFill="1" applyBorder="1" applyAlignment="1">
      <alignment vertical="top" wrapText="1"/>
      <protection/>
    </xf>
    <xf numFmtId="49" fontId="1" fillId="0" borderId="10" xfId="63" applyNumberFormat="1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top" wrapText="1"/>
      <protection/>
    </xf>
    <xf numFmtId="0" fontId="1" fillId="0" borderId="10" xfId="63" applyFont="1" applyBorder="1" applyAlignment="1">
      <alignment vertical="top" wrapText="1"/>
      <protection/>
    </xf>
    <xf numFmtId="0" fontId="1" fillId="0" borderId="10" xfId="68" applyFont="1" applyBorder="1" applyAlignment="1">
      <alignment vertical="top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wrapText="1"/>
    </xf>
    <xf numFmtId="0" fontId="6" fillId="0" borderId="0" xfId="0" applyFont="1" applyFill="1" applyAlignment="1">
      <alignment/>
    </xf>
    <xf numFmtId="0" fontId="1" fillId="0" borderId="10" xfId="65" applyFont="1" applyBorder="1" applyAlignment="1">
      <alignment horizontal="left" wrapText="1"/>
      <protection/>
    </xf>
    <xf numFmtId="4" fontId="1" fillId="35" borderId="10" xfId="0" applyNumberFormat="1" applyFont="1" applyFill="1" applyBorder="1" applyAlignment="1">
      <alignment vertical="center" wrapText="1"/>
    </xf>
    <xf numFmtId="0" fontId="1" fillId="0" borderId="10" xfId="66" applyFont="1" applyFill="1" applyBorder="1" applyAlignment="1">
      <alignment horizontal="left" vertical="top" wrapText="1"/>
      <protection/>
    </xf>
    <xf numFmtId="49" fontId="19" fillId="0" borderId="10" xfId="60" applyNumberFormat="1" applyFont="1" applyBorder="1" applyAlignment="1">
      <alignment horizontal="center"/>
      <protection/>
    </xf>
    <xf numFmtId="0" fontId="14" fillId="0" borderId="10" xfId="60" applyFont="1" applyBorder="1" applyAlignment="1">
      <alignment vertical="center"/>
      <protection/>
    </xf>
    <xf numFmtId="0" fontId="84" fillId="0" borderId="20" xfId="0" applyFont="1" applyBorder="1" applyAlignment="1">
      <alignment vertical="center"/>
    </xf>
    <xf numFmtId="0" fontId="84" fillId="0" borderId="20" xfId="0" applyFont="1" applyBorder="1" applyAlignment="1">
      <alignment vertical="top" wrapText="1"/>
    </xf>
    <xf numFmtId="0" fontId="85" fillId="0" borderId="20" xfId="0" applyFont="1" applyBorder="1" applyAlignment="1">
      <alignment vertical="center"/>
    </xf>
    <xf numFmtId="0" fontId="76" fillId="0" borderId="20" xfId="0" applyFont="1" applyBorder="1" applyAlignment="1">
      <alignment vertical="top" wrapText="1"/>
    </xf>
    <xf numFmtId="4" fontId="14" fillId="35" borderId="10" xfId="0" applyNumberFormat="1" applyFont="1" applyFill="1" applyBorder="1" applyAlignment="1">
      <alignment wrapText="1"/>
    </xf>
    <xf numFmtId="4" fontId="1" fillId="35" borderId="10" xfId="0" applyNumberFormat="1" applyFont="1" applyFill="1" applyBorder="1" applyAlignment="1">
      <alignment wrapText="1"/>
    </xf>
    <xf numFmtId="0" fontId="84" fillId="0" borderId="10" xfId="0" applyFont="1" applyBorder="1" applyAlignment="1">
      <alignment horizontal="center"/>
    </xf>
    <xf numFmtId="0" fontId="84" fillId="0" borderId="10" xfId="0" applyFont="1" applyBorder="1" applyAlignment="1">
      <alignment wrapText="1"/>
    </xf>
    <xf numFmtId="0" fontId="85" fillId="0" borderId="10" xfId="0" applyFont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4" fontId="19" fillId="35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vertical="center"/>
    </xf>
    <xf numFmtId="4" fontId="15" fillId="35" borderId="10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wrapText="1"/>
    </xf>
    <xf numFmtId="0" fontId="84" fillId="0" borderId="21" xfId="0" applyFont="1" applyBorder="1" applyAlignment="1">
      <alignment horizontal="center" vertical="center"/>
    </xf>
    <xf numFmtId="0" fontId="84" fillId="0" borderId="21" xfId="0" applyFont="1" applyBorder="1" applyAlignment="1">
      <alignment vertical="top" wrapText="1"/>
    </xf>
    <xf numFmtId="4" fontId="19" fillId="0" borderId="22" xfId="0" applyNumberFormat="1" applyFont="1" applyFill="1" applyBorder="1" applyAlignment="1">
      <alignment vertical="center" wrapText="1"/>
    </xf>
    <xf numFmtId="0" fontId="85" fillId="0" borderId="20" xfId="0" applyFont="1" applyBorder="1" applyAlignment="1">
      <alignment horizontal="center" vertical="center"/>
    </xf>
    <xf numFmtId="0" fontId="85" fillId="0" borderId="20" xfId="0" applyFont="1" applyBorder="1" applyAlignment="1">
      <alignment wrapText="1"/>
    </xf>
    <xf numFmtId="0" fontId="79" fillId="0" borderId="23" xfId="0" applyNumberFormat="1" applyFont="1" applyFill="1" applyBorder="1" applyAlignment="1">
      <alignment horizontal="center" vertical="center" wrapText="1"/>
    </xf>
    <xf numFmtId="0" fontId="84" fillId="0" borderId="20" xfId="0" applyFont="1" applyBorder="1" applyAlignment="1">
      <alignment horizontal="left" vertical="top" wrapText="1"/>
    </xf>
    <xf numFmtId="4" fontId="83" fillId="0" borderId="10" xfId="0" applyNumberFormat="1" applyFont="1" applyFill="1" applyBorder="1" applyAlignment="1">
      <alignment vertical="center" wrapText="1"/>
    </xf>
    <xf numFmtId="0" fontId="76" fillId="0" borderId="20" xfId="0" applyFont="1" applyBorder="1" applyAlignment="1">
      <alignment horizontal="center" vertical="center"/>
    </xf>
    <xf numFmtId="0" fontId="85" fillId="0" borderId="20" xfId="0" applyFont="1" applyBorder="1" applyAlignment="1">
      <alignment vertical="top" wrapText="1"/>
    </xf>
    <xf numFmtId="4" fontId="78" fillId="0" borderId="10" xfId="0" applyNumberFormat="1" applyFont="1" applyFill="1" applyBorder="1" applyAlignment="1">
      <alignment vertical="center" wrapText="1"/>
    </xf>
    <xf numFmtId="4" fontId="19" fillId="0" borderId="10" xfId="0" applyNumberFormat="1" applyFont="1" applyBorder="1" applyAlignment="1">
      <alignment wrapText="1"/>
    </xf>
    <xf numFmtId="4" fontId="0" fillId="0" borderId="0" xfId="0" applyNumberFormat="1" applyAlignment="1">
      <alignment horizontal="right" vertical="center"/>
    </xf>
    <xf numFmtId="174" fontId="0" fillId="0" borderId="0" xfId="0" applyNumberFormat="1" applyAlignment="1">
      <alignment horizontal="right" vertic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 vertical="top" wrapText="1"/>
    </xf>
    <xf numFmtId="4" fontId="13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center" vertical="center" wrapText="1"/>
    </xf>
    <xf numFmtId="4" fontId="19" fillId="0" borderId="17" xfId="0" applyNumberFormat="1" applyFont="1" applyBorder="1" applyAlignment="1">
      <alignment horizontal="right" vertical="center" wrapText="1"/>
    </xf>
    <xf numFmtId="4" fontId="20" fillId="0" borderId="0" xfId="0" applyNumberFormat="1" applyFont="1" applyBorder="1" applyAlignment="1">
      <alignment horizontal="right" vertical="center" wrapText="1"/>
    </xf>
    <xf numFmtId="0" fontId="19" fillId="13" borderId="10" xfId="0" applyFont="1" applyFill="1" applyBorder="1" applyAlignment="1">
      <alignment horizontal="center" vertical="center" wrapText="1"/>
    </xf>
    <xf numFmtId="0" fontId="14" fillId="13" borderId="10" xfId="0" applyFont="1" applyFill="1" applyBorder="1" applyAlignment="1">
      <alignment vertical="center" wrapText="1"/>
    </xf>
    <xf numFmtId="4" fontId="19" fillId="13" borderId="10" xfId="0" applyNumberFormat="1" applyFont="1" applyFill="1" applyBorder="1" applyAlignment="1">
      <alignment horizontal="right" vertical="center" wrapText="1"/>
    </xf>
    <xf numFmtId="4" fontId="20" fillId="13" borderId="0" xfId="0" applyNumberFormat="1" applyFont="1" applyFill="1" applyBorder="1" applyAlignment="1">
      <alignment horizontal="right" vertical="center" wrapText="1"/>
    </xf>
    <xf numFmtId="0" fontId="0" fillId="13" borderId="0" xfId="0" applyFill="1" applyAlignment="1">
      <alignment/>
    </xf>
    <xf numFmtId="0" fontId="19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vertical="center" wrapText="1"/>
    </xf>
    <xf numFmtId="4" fontId="19" fillId="36" borderId="10" xfId="0" applyNumberFormat="1" applyFont="1" applyFill="1" applyBorder="1" applyAlignment="1">
      <alignment horizontal="right" vertical="center" wrapText="1"/>
    </xf>
    <xf numFmtId="4" fontId="20" fillId="36" borderId="0" xfId="0" applyNumberFormat="1" applyFont="1" applyFill="1" applyBorder="1" applyAlignment="1">
      <alignment horizontal="right" vertical="center" wrapText="1"/>
    </xf>
    <xf numFmtId="0" fontId="0" fillId="36" borderId="0" xfId="0" applyFill="1" applyAlignment="1">
      <alignment/>
    </xf>
    <xf numFmtId="0" fontId="19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4" fontId="20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wrapText="1"/>
    </xf>
    <xf numFmtId="4" fontId="1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wrapText="1"/>
    </xf>
    <xf numFmtId="4" fontId="14" fillId="33" borderId="0" xfId="0" applyNumberFormat="1" applyFont="1" applyFill="1" applyBorder="1" applyAlignment="1">
      <alignment horizontal="right" vertical="center" wrapText="1"/>
    </xf>
    <xf numFmtId="49" fontId="1" fillId="36" borderId="10" xfId="57" applyNumberFormat="1" applyFont="1" applyFill="1" applyBorder="1" applyAlignment="1">
      <alignment horizontal="center" vertical="center" wrapText="1"/>
      <protection/>
    </xf>
    <xf numFmtId="4" fontId="1" fillId="36" borderId="10" xfId="0" applyNumberFormat="1" applyFont="1" applyFill="1" applyBorder="1" applyAlignment="1">
      <alignment horizontal="right" vertical="center" wrapText="1"/>
    </xf>
    <xf numFmtId="4" fontId="1" fillId="36" borderId="0" xfId="0" applyNumberFormat="1" applyFont="1" applyFill="1" applyBorder="1" applyAlignment="1">
      <alignment horizontal="right" vertical="center" wrapText="1"/>
    </xf>
    <xf numFmtId="0" fontId="0" fillId="36" borderId="0" xfId="0" applyFont="1" applyFill="1" applyAlignment="1">
      <alignment/>
    </xf>
    <xf numFmtId="4" fontId="16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10" xfId="33" applyNumberFormat="1" applyFont="1" applyFill="1" applyBorder="1" applyAlignment="1">
      <alignment horizontal="left" vertical="center" wrapText="1" readingOrder="1"/>
      <protection/>
    </xf>
    <xf numFmtId="0" fontId="1" fillId="0" borderId="10" xfId="0" applyFont="1" applyBorder="1" applyAlignment="1">
      <alignment vertical="center"/>
    </xf>
    <xf numFmtId="0" fontId="86" fillId="0" borderId="0" xfId="0" applyFont="1" applyAlignment="1">
      <alignment wrapText="1"/>
    </xf>
    <xf numFmtId="0" fontId="18" fillId="0" borderId="10" xfId="0" applyFont="1" applyBorder="1" applyAlignment="1">
      <alignment wrapText="1"/>
    </xf>
    <xf numFmtId="0" fontId="82" fillId="0" borderId="10" xfId="0" applyFont="1" applyBorder="1" applyAlignment="1">
      <alignment vertical="top" wrapText="1"/>
    </xf>
    <xf numFmtId="49" fontId="19" fillId="0" borderId="10" xfId="67" applyNumberFormat="1" applyFont="1" applyBorder="1" applyAlignment="1">
      <alignment horizontal="center" vertical="center"/>
      <protection/>
    </xf>
    <xf numFmtId="0" fontId="14" fillId="0" borderId="10" xfId="67" applyFont="1" applyBorder="1" applyAlignment="1">
      <alignment vertical="top" wrapText="1"/>
      <protection/>
    </xf>
    <xf numFmtId="4" fontId="14" fillId="34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4" fontId="18" fillId="0" borderId="0" xfId="0" applyNumberFormat="1" applyFont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right" wrapText="1"/>
    </xf>
    <xf numFmtId="4" fontId="19" fillId="0" borderId="0" xfId="0" applyNumberFormat="1" applyFont="1" applyFill="1" applyBorder="1" applyAlignment="1">
      <alignment wrapText="1"/>
    </xf>
    <xf numFmtId="4" fontId="14" fillId="0" borderId="0" xfId="0" applyNumberFormat="1" applyFont="1" applyBorder="1" applyAlignment="1">
      <alignment wrapText="1"/>
    </xf>
    <xf numFmtId="0" fontId="14" fillId="0" borderId="10" xfId="66" applyFont="1" applyBorder="1" applyAlignment="1">
      <alignment vertical="center" wrapText="1"/>
      <protection/>
    </xf>
    <xf numFmtId="4" fontId="1" fillId="0" borderId="0" xfId="0" applyNumberFormat="1" applyFont="1" applyBorder="1" applyAlignment="1">
      <alignment wrapText="1"/>
    </xf>
    <xf numFmtId="0" fontId="1" fillId="0" borderId="10" xfId="65" applyFont="1" applyFill="1" applyBorder="1" applyAlignment="1">
      <alignment wrapText="1"/>
      <protection/>
    </xf>
    <xf numFmtId="4" fontId="1" fillId="0" borderId="0" xfId="0" applyNumberFormat="1" applyFont="1" applyFill="1" applyBorder="1" applyAlignment="1">
      <alignment wrapText="1"/>
    </xf>
    <xf numFmtId="0" fontId="1" fillId="0" borderId="10" xfId="58" applyFont="1" applyBorder="1" applyAlignment="1">
      <alignment vertical="center" wrapText="1"/>
      <protection/>
    </xf>
    <xf numFmtId="0" fontId="14" fillId="0" borderId="10" xfId="0" applyFont="1" applyBorder="1" applyAlignment="1">
      <alignment horizontal="justify" vertical="top" wrapText="1"/>
    </xf>
    <xf numFmtId="4" fontId="14" fillId="0" borderId="0" xfId="0" applyNumberFormat="1" applyFont="1" applyFill="1" applyBorder="1" applyAlignment="1">
      <alignment wrapText="1"/>
    </xf>
    <xf numFmtId="49" fontId="14" fillId="0" borderId="10" xfId="66" applyNumberFormat="1" applyFont="1" applyBorder="1" applyAlignment="1">
      <alignment horizontal="center" vertical="center"/>
      <protection/>
    </xf>
    <xf numFmtId="0" fontId="14" fillId="0" borderId="10" xfId="59" applyFont="1" applyBorder="1" applyAlignment="1">
      <alignment vertical="top" wrapText="1"/>
      <protection/>
    </xf>
    <xf numFmtId="4" fontId="1" fillId="0" borderId="10" xfId="0" applyNumberFormat="1" applyFont="1" applyBorder="1" applyAlignment="1">
      <alignment vertical="top" wrapText="1"/>
    </xf>
    <xf numFmtId="49" fontId="14" fillId="0" borderId="10" xfId="59" applyNumberFormat="1" applyFont="1" applyBorder="1" applyAlignment="1">
      <alignment horizontal="center"/>
      <protection/>
    </xf>
    <xf numFmtId="4" fontId="1" fillId="0" borderId="10" xfId="59" applyNumberFormat="1" applyFont="1" applyBorder="1" applyAlignment="1">
      <alignment vertical="top" wrapText="1"/>
      <protection/>
    </xf>
    <xf numFmtId="49" fontId="1" fillId="0" borderId="10" xfId="59" applyNumberFormat="1" applyFont="1" applyBorder="1" applyAlignment="1">
      <alignment horizontal="center"/>
      <protection/>
    </xf>
    <xf numFmtId="49" fontId="19" fillId="0" borderId="10" xfId="66" applyNumberFormat="1" applyFont="1" applyBorder="1" applyAlignment="1">
      <alignment horizontal="center" vertical="center"/>
      <protection/>
    </xf>
    <xf numFmtId="0" fontId="14" fillId="0" borderId="10" xfId="66" applyFont="1" applyBorder="1" applyAlignment="1">
      <alignment wrapText="1"/>
      <protection/>
    </xf>
    <xf numFmtId="0" fontId="1" fillId="0" borderId="10" xfId="65" applyFont="1" applyBorder="1" applyAlignment="1">
      <alignment vertical="top" wrapText="1"/>
      <protection/>
    </xf>
    <xf numFmtId="4" fontId="1" fillId="0" borderId="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justify" vertical="top" wrapText="1"/>
    </xf>
    <xf numFmtId="4" fontId="20" fillId="0" borderId="0" xfId="0" applyNumberFormat="1" applyFont="1" applyFill="1" applyBorder="1" applyAlignment="1">
      <alignment wrapText="1"/>
    </xf>
    <xf numFmtId="0" fontId="1" fillId="0" borderId="10" xfId="61" applyFont="1" applyFill="1" applyBorder="1" applyAlignment="1">
      <alignment vertical="top" wrapText="1"/>
      <protection/>
    </xf>
    <xf numFmtId="0" fontId="1" fillId="37" borderId="10" xfId="61" applyFont="1" applyFill="1" applyBorder="1" applyAlignment="1">
      <alignment vertical="top" wrapText="1"/>
      <protection/>
    </xf>
    <xf numFmtId="4" fontId="1" fillId="34" borderId="0" xfId="0" applyNumberFormat="1" applyFont="1" applyFill="1" applyBorder="1" applyAlignment="1">
      <alignment wrapText="1"/>
    </xf>
    <xf numFmtId="0" fontId="1" fillId="0" borderId="10" xfId="66" applyFont="1" applyFill="1" applyBorder="1" applyAlignment="1">
      <alignment vertical="top" wrapText="1"/>
      <protection/>
    </xf>
    <xf numFmtId="4" fontId="1" fillId="35" borderId="0" xfId="0" applyNumberFormat="1" applyFont="1" applyFill="1" applyBorder="1" applyAlignment="1">
      <alignment wrapText="1"/>
    </xf>
    <xf numFmtId="49" fontId="20" fillId="0" borderId="10" xfId="60" applyNumberFormat="1" applyFont="1" applyBorder="1" applyAlignment="1">
      <alignment horizontal="center"/>
      <protection/>
    </xf>
    <xf numFmtId="0" fontId="14" fillId="0" borderId="10" xfId="60" applyFont="1" applyBorder="1" applyAlignment="1">
      <alignment/>
      <protection/>
    </xf>
    <xf numFmtId="49" fontId="1" fillId="0" borderId="10" xfId="64" applyNumberFormat="1" applyFont="1" applyBorder="1" applyAlignment="1">
      <alignment horizontal="center" vertical="center" wrapText="1"/>
      <protection/>
    </xf>
    <xf numFmtId="0" fontId="1" fillId="0" borderId="10" xfId="64" applyFont="1" applyBorder="1" applyAlignment="1">
      <alignment vertical="top" wrapText="1"/>
      <protection/>
    </xf>
    <xf numFmtId="0" fontId="1" fillId="0" borderId="10" xfId="60" applyFont="1" applyBorder="1" applyAlignment="1">
      <alignment vertical="top" wrapText="1"/>
      <protection/>
    </xf>
    <xf numFmtId="4" fontId="14" fillId="35" borderId="0" xfId="0" applyNumberFormat="1" applyFont="1" applyFill="1" applyBorder="1" applyAlignment="1">
      <alignment wrapText="1"/>
    </xf>
    <xf numFmtId="4" fontId="0" fillId="0" borderId="0" xfId="0" applyNumberFormat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1" fillId="0" borderId="0" xfId="54" applyFont="1" applyAlignment="1">
      <alignment horizontal="right"/>
      <protection/>
    </xf>
    <xf numFmtId="0" fontId="11" fillId="0" borderId="0" xfId="54" applyFont="1" applyAlignment="1">
      <alignment horizontal="right" wrapText="1"/>
      <protection/>
    </xf>
    <xf numFmtId="0" fontId="12" fillId="0" borderId="0" xfId="0" applyFont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2" fillId="0" borderId="0" xfId="0" applyFont="1" applyFill="1" applyAlignment="1">
      <alignment horizontal="center"/>
    </xf>
    <xf numFmtId="0" fontId="11" fillId="0" borderId="0" xfId="54" applyFont="1" applyFill="1" applyAlignment="1">
      <alignment horizontal="right"/>
      <protection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1" fillId="38" borderId="0" xfId="0" applyFont="1" applyFill="1" applyAlignment="1">
      <alignment/>
    </xf>
    <xf numFmtId="49" fontId="1" fillId="38" borderId="0" xfId="0" applyNumberFormat="1" applyFont="1" applyFill="1" applyAlignment="1">
      <alignment/>
    </xf>
    <xf numFmtId="49" fontId="1" fillId="38" borderId="0" xfId="0" applyNumberFormat="1" applyFont="1" applyFill="1" applyAlignment="1">
      <alignment horizontal="right"/>
    </xf>
    <xf numFmtId="0" fontId="1" fillId="38" borderId="0" xfId="0" applyFont="1" applyFill="1" applyAlignment="1">
      <alignment horizontal="right"/>
    </xf>
    <xf numFmtId="0" fontId="1" fillId="38" borderId="0" xfId="0" applyFont="1" applyFill="1" applyAlignment="1">
      <alignment wrapText="1"/>
    </xf>
    <xf numFmtId="9" fontId="1" fillId="38" borderId="0" xfId="73" applyFont="1" applyFill="1" applyAlignment="1">
      <alignment/>
    </xf>
    <xf numFmtId="0" fontId="2" fillId="38" borderId="0" xfId="0" applyFont="1" applyFill="1" applyAlignment="1">
      <alignment horizontal="right"/>
    </xf>
    <xf numFmtId="0" fontId="1" fillId="38" borderId="0" xfId="0" applyFont="1" applyFill="1" applyAlignment="1">
      <alignment/>
    </xf>
    <xf numFmtId="174" fontId="2" fillId="38" borderId="0" xfId="0" applyNumberFormat="1" applyFont="1" applyFill="1" applyAlignment="1">
      <alignment horizontal="right"/>
    </xf>
    <xf numFmtId="0" fontId="1" fillId="38" borderId="0" xfId="0" applyFont="1" applyFill="1" applyAlignment="1">
      <alignment horizontal="left"/>
    </xf>
    <xf numFmtId="49" fontId="1" fillId="38" borderId="0" xfId="0" applyNumberFormat="1" applyFont="1" applyFill="1" applyAlignment="1">
      <alignment horizontal="left" wrapText="1"/>
    </xf>
    <xf numFmtId="0" fontId="1" fillId="38" borderId="0" xfId="0" applyFont="1" applyFill="1" applyAlignment="1">
      <alignment horizontal="left" wrapText="1"/>
    </xf>
    <xf numFmtId="0" fontId="1" fillId="38" borderId="0" xfId="0" applyFont="1" applyFill="1" applyAlignment="1">
      <alignment horizontal="left" wrapText="1"/>
    </xf>
    <xf numFmtId="0" fontId="2" fillId="38" borderId="0" xfId="0" applyFont="1" applyFill="1" applyAlignment="1">
      <alignment horizontal="center" wrapText="1"/>
    </xf>
    <xf numFmtId="49" fontId="11" fillId="38" borderId="0" xfId="0" applyNumberFormat="1" applyFont="1" applyFill="1" applyAlignment="1">
      <alignment horizontal="center"/>
    </xf>
    <xf numFmtId="49" fontId="1" fillId="38" borderId="0" xfId="0" applyNumberFormat="1" applyFont="1" applyFill="1" applyBorder="1" applyAlignment="1">
      <alignment horizontal="right"/>
    </xf>
    <xf numFmtId="4" fontId="2" fillId="38" borderId="0" xfId="0" applyNumberFormat="1" applyFont="1" applyFill="1" applyBorder="1" applyAlignment="1">
      <alignment horizontal="right"/>
    </xf>
    <xf numFmtId="0" fontId="1" fillId="38" borderId="26" xfId="0" applyFont="1" applyFill="1" applyBorder="1" applyAlignment="1">
      <alignment horizontal="center" vertical="center" wrapText="1"/>
    </xf>
    <xf numFmtId="49" fontId="11" fillId="38" borderId="27" xfId="0" applyNumberFormat="1" applyFont="1" applyFill="1" applyBorder="1" applyAlignment="1">
      <alignment horizontal="center" vertical="center" wrapText="1"/>
    </xf>
    <xf numFmtId="49" fontId="11" fillId="38" borderId="27" xfId="0" applyNumberFormat="1" applyFont="1" applyFill="1" applyBorder="1" applyAlignment="1">
      <alignment horizontal="center" vertical="center"/>
    </xf>
    <xf numFmtId="4" fontId="2" fillId="38" borderId="28" xfId="0" applyNumberFormat="1" applyFont="1" applyFill="1" applyBorder="1" applyAlignment="1">
      <alignment horizontal="center" vertical="center" wrapText="1"/>
    </xf>
    <xf numFmtId="0" fontId="2" fillId="38" borderId="0" xfId="0" applyFont="1" applyFill="1" applyAlignment="1">
      <alignment/>
    </xf>
    <xf numFmtId="0" fontId="1" fillId="38" borderId="29" xfId="0" applyFont="1" applyFill="1" applyBorder="1" applyAlignment="1">
      <alignment horizontal="center" vertical="center" wrapText="1"/>
    </xf>
    <xf numFmtId="49" fontId="11" fillId="38" borderId="30" xfId="0" applyNumberFormat="1" applyFont="1" applyFill="1" applyBorder="1" applyAlignment="1">
      <alignment horizontal="center" vertical="center" wrapText="1"/>
    </xf>
    <xf numFmtId="49" fontId="11" fillId="38" borderId="30" xfId="0" applyNumberFormat="1" applyFont="1" applyFill="1" applyBorder="1" applyAlignment="1">
      <alignment horizontal="center" vertical="center"/>
    </xf>
    <xf numFmtId="4" fontId="2" fillId="38" borderId="31" xfId="0" applyNumberFormat="1" applyFont="1" applyFill="1" applyBorder="1" applyAlignment="1">
      <alignment horizontal="center" vertical="center" wrapText="1"/>
    </xf>
    <xf numFmtId="49" fontId="1" fillId="38" borderId="32" xfId="0" applyNumberFormat="1" applyFont="1" applyFill="1" applyBorder="1" applyAlignment="1">
      <alignment horizontal="center" vertical="center" wrapText="1"/>
    </xf>
    <xf numFmtId="49" fontId="17" fillId="38" borderId="22" xfId="0" applyNumberFormat="1" applyFont="1" applyFill="1" applyBorder="1" applyAlignment="1">
      <alignment horizontal="center" vertical="center" wrapText="1"/>
    </xf>
    <xf numFmtId="49" fontId="17" fillId="38" borderId="22" xfId="0" applyNumberFormat="1" applyFont="1" applyFill="1" applyBorder="1" applyAlignment="1">
      <alignment horizontal="center" vertical="center"/>
    </xf>
    <xf numFmtId="3" fontId="17" fillId="38" borderId="33" xfId="0" applyNumberFormat="1" applyFont="1" applyFill="1" applyBorder="1" applyAlignment="1">
      <alignment horizontal="right" vertical="center" wrapText="1"/>
    </xf>
    <xf numFmtId="49" fontId="17" fillId="38" borderId="0" xfId="0" applyNumberFormat="1" applyFont="1" applyFill="1" applyAlignment="1">
      <alignment/>
    </xf>
    <xf numFmtId="0" fontId="1" fillId="38" borderId="34" xfId="0" applyFont="1" applyFill="1" applyBorder="1" applyAlignment="1">
      <alignment horizontal="left" wrapText="1"/>
    </xf>
    <xf numFmtId="49" fontId="3" fillId="38" borderId="10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right"/>
    </xf>
    <xf numFmtId="4" fontId="3" fillId="38" borderId="35" xfId="0" applyNumberFormat="1" applyFont="1" applyFill="1" applyBorder="1" applyAlignment="1">
      <alignment horizontal="right"/>
    </xf>
    <xf numFmtId="0" fontId="46" fillId="38" borderId="0" xfId="0" applyFont="1" applyFill="1" applyAlignment="1">
      <alignment/>
    </xf>
    <xf numFmtId="2" fontId="46" fillId="38" borderId="0" xfId="0" applyNumberFormat="1" applyFont="1" applyFill="1" applyAlignment="1">
      <alignment/>
    </xf>
    <xf numFmtId="4" fontId="46" fillId="38" borderId="0" xfId="0" applyNumberFormat="1" applyFont="1" applyFill="1" applyAlignment="1">
      <alignment/>
    </xf>
    <xf numFmtId="0" fontId="1" fillId="38" borderId="34" xfId="0" applyFont="1" applyFill="1" applyBorder="1" applyAlignment="1">
      <alignment wrapText="1"/>
    </xf>
    <xf numFmtId="0" fontId="16" fillId="38" borderId="34" xfId="0" applyFont="1" applyFill="1" applyBorder="1" applyAlignment="1">
      <alignment wrapText="1"/>
    </xf>
    <xf numFmtId="4" fontId="1" fillId="38" borderId="0" xfId="0" applyNumberFormat="1" applyFont="1" applyFill="1" applyAlignment="1">
      <alignment/>
    </xf>
    <xf numFmtId="0" fontId="16" fillId="38" borderId="34" xfId="0" applyFont="1" applyFill="1" applyBorder="1" applyAlignment="1">
      <alignment horizontal="left" wrapText="1"/>
    </xf>
    <xf numFmtId="0" fontId="23" fillId="38" borderId="10" xfId="0" applyFont="1" applyFill="1" applyBorder="1" applyAlignment="1">
      <alignment horizontal="center" wrapText="1"/>
    </xf>
    <xf numFmtId="49" fontId="3" fillId="38" borderId="10" xfId="61" applyNumberFormat="1" applyFont="1" applyFill="1" applyBorder="1" applyAlignment="1">
      <alignment horizontal="right" wrapText="1"/>
      <protection/>
    </xf>
    <xf numFmtId="49" fontId="47" fillId="38" borderId="10" xfId="0" applyNumberFormat="1" applyFont="1" applyFill="1" applyBorder="1" applyAlignment="1">
      <alignment horizontal="center"/>
    </xf>
    <xf numFmtId="0" fontId="48" fillId="38" borderId="10" xfId="0" applyFont="1" applyFill="1" applyBorder="1" applyAlignment="1">
      <alignment horizontal="center" wrapText="1"/>
    </xf>
    <xf numFmtId="49" fontId="47" fillId="38" borderId="10" xfId="61" applyNumberFormat="1" applyFont="1" applyFill="1" applyBorder="1" applyAlignment="1">
      <alignment horizontal="right" wrapText="1"/>
      <protection/>
    </xf>
    <xf numFmtId="4" fontId="47" fillId="38" borderId="35" xfId="0" applyNumberFormat="1" applyFont="1" applyFill="1" applyBorder="1" applyAlignment="1">
      <alignment horizontal="right"/>
    </xf>
    <xf numFmtId="0" fontId="49" fillId="38" borderId="0" xfId="0" applyFont="1" applyFill="1" applyAlignment="1">
      <alignment/>
    </xf>
    <xf numFmtId="49" fontId="1" fillId="38" borderId="34" xfId="0" applyNumberFormat="1" applyFont="1" applyFill="1" applyBorder="1" applyAlignment="1">
      <alignment horizontal="left" vertical="top" wrapText="1"/>
    </xf>
    <xf numFmtId="179" fontId="1" fillId="38" borderId="34" xfId="0" applyNumberFormat="1" applyFont="1" applyFill="1" applyBorder="1" applyAlignment="1" applyProtection="1">
      <alignment horizontal="left" wrapText="1"/>
      <protection hidden="1"/>
    </xf>
    <xf numFmtId="49" fontId="47" fillId="38" borderId="10" xfId="0" applyNumberFormat="1" applyFont="1" applyFill="1" applyBorder="1" applyAlignment="1">
      <alignment horizontal="right"/>
    </xf>
    <xf numFmtId="0" fontId="1" fillId="38" borderId="34" xfId="0" applyFont="1" applyFill="1" applyBorder="1" applyAlignment="1">
      <alignment horizontal="left" vertical="top" wrapText="1"/>
    </xf>
    <xf numFmtId="0" fontId="1" fillId="38" borderId="34" xfId="0" applyFont="1" applyFill="1" applyBorder="1" applyAlignment="1">
      <alignment vertical="top" wrapText="1"/>
    </xf>
    <xf numFmtId="4" fontId="3" fillId="38" borderId="35" xfId="61" applyNumberFormat="1" applyFont="1" applyFill="1" applyBorder="1" applyAlignment="1">
      <alignment horizontal="right" wrapText="1"/>
      <protection/>
    </xf>
    <xf numFmtId="0" fontId="1" fillId="38" borderId="34" xfId="0" applyFont="1" applyFill="1" applyBorder="1" applyAlignment="1">
      <alignment horizontal="justify" vertical="top" wrapText="1"/>
    </xf>
    <xf numFmtId="0" fontId="16" fillId="38" borderId="36" xfId="0" applyFont="1" applyFill="1" applyBorder="1" applyAlignment="1">
      <alignment horizontal="left" wrapText="1"/>
    </xf>
    <xf numFmtId="0" fontId="3" fillId="38" borderId="10" xfId="0" applyFont="1" applyFill="1" applyBorder="1" applyAlignment="1">
      <alignment horizontal="center" wrapText="1"/>
    </xf>
    <xf numFmtId="0" fontId="1" fillId="38" borderId="37" xfId="0" applyFont="1" applyFill="1" applyBorder="1" applyAlignment="1">
      <alignment/>
    </xf>
    <xf numFmtId="0" fontId="23" fillId="38" borderId="10" xfId="0" applyFont="1" applyFill="1" applyBorder="1" applyAlignment="1">
      <alignment horizontal="right" wrapText="1"/>
    </xf>
    <xf numFmtId="0" fontId="16" fillId="38" borderId="34" xfId="0" applyFont="1" applyFill="1" applyBorder="1" applyAlignment="1">
      <alignment vertical="top" wrapText="1"/>
    </xf>
    <xf numFmtId="49" fontId="3" fillId="38" borderId="10" xfId="0" applyNumberFormat="1" applyFont="1" applyFill="1" applyBorder="1" applyAlignment="1">
      <alignment horizontal="center" wrapText="1"/>
    </xf>
    <xf numFmtId="179" fontId="1" fillId="38" borderId="34" xfId="0" applyNumberFormat="1" applyFont="1" applyFill="1" applyBorder="1" applyAlignment="1" applyProtection="1">
      <alignment horizontal="left" vertical="top" wrapText="1"/>
      <protection hidden="1"/>
    </xf>
    <xf numFmtId="2" fontId="16" fillId="38" borderId="34" xfId="0" applyNumberFormat="1" applyFont="1" applyFill="1" applyBorder="1" applyAlignment="1">
      <alignment vertical="center" wrapText="1"/>
    </xf>
    <xf numFmtId="2" fontId="16" fillId="38" borderId="34" xfId="0" applyNumberFormat="1" applyFont="1" applyFill="1" applyBorder="1" applyAlignment="1">
      <alignment horizontal="left" vertical="center" wrapText="1"/>
    </xf>
    <xf numFmtId="2" fontId="1" fillId="38" borderId="34" xfId="0" applyNumberFormat="1" applyFont="1" applyFill="1" applyBorder="1" applyAlignment="1">
      <alignment horizontal="left" vertical="top" wrapText="1"/>
    </xf>
    <xf numFmtId="0" fontId="16" fillId="38" borderId="34" xfId="0" applyFont="1" applyFill="1" applyBorder="1" applyAlignment="1">
      <alignment horizontal="justify" vertical="top" wrapText="1"/>
    </xf>
    <xf numFmtId="0" fontId="16" fillId="38" borderId="34" xfId="0" applyFont="1" applyFill="1" applyBorder="1" applyAlignment="1">
      <alignment horizontal="left" vertical="top" wrapText="1"/>
    </xf>
    <xf numFmtId="49" fontId="3" fillId="38" borderId="10" xfId="0" applyNumberFormat="1" applyFont="1" applyFill="1" applyBorder="1" applyAlignment="1">
      <alignment horizontal="right" wrapText="1"/>
    </xf>
    <xf numFmtId="49" fontId="47" fillId="38" borderId="10" xfId="0" applyNumberFormat="1" applyFont="1" applyFill="1" applyBorder="1" applyAlignment="1">
      <alignment horizontal="center" wrapText="1"/>
    </xf>
    <xf numFmtId="49" fontId="47" fillId="38" borderId="10" xfId="0" applyNumberFormat="1" applyFont="1" applyFill="1" applyBorder="1" applyAlignment="1">
      <alignment horizontal="right" wrapText="1"/>
    </xf>
    <xf numFmtId="0" fontId="1" fillId="38" borderId="38" xfId="0" applyFont="1" applyFill="1" applyBorder="1" applyAlignment="1">
      <alignment vertical="center" wrapText="1"/>
    </xf>
    <xf numFmtId="49" fontId="3" fillId="38" borderId="10" xfId="61" applyNumberFormat="1" applyFont="1" applyFill="1" applyBorder="1" applyAlignment="1">
      <alignment horizontal="center" wrapText="1"/>
      <protection/>
    </xf>
    <xf numFmtId="0" fontId="1" fillId="38" borderId="34" xfId="0" applyFont="1" applyFill="1" applyBorder="1" applyAlignment="1">
      <alignment/>
    </xf>
    <xf numFmtId="2" fontId="16" fillId="38" borderId="34" xfId="0" applyNumberFormat="1" applyFont="1" applyFill="1" applyBorder="1" applyAlignment="1">
      <alignment vertical="top" wrapText="1"/>
    </xf>
    <xf numFmtId="2" fontId="16" fillId="38" borderId="34" xfId="0" applyNumberFormat="1" applyFont="1" applyFill="1" applyBorder="1" applyAlignment="1">
      <alignment horizontal="left" vertical="top" wrapText="1"/>
    </xf>
    <xf numFmtId="2" fontId="16" fillId="38" borderId="34" xfId="75" applyNumberFormat="1" applyFont="1" applyFill="1" applyBorder="1" applyAlignment="1">
      <alignment vertical="top" wrapText="1"/>
      <protection/>
    </xf>
    <xf numFmtId="2" fontId="16" fillId="38" borderId="34" xfId="75" applyNumberFormat="1" applyFont="1" applyFill="1" applyBorder="1" applyAlignment="1">
      <alignment horizontal="left" vertical="center" wrapText="1"/>
      <protection/>
    </xf>
    <xf numFmtId="0" fontId="1" fillId="38" borderId="37" xfId="0" applyFont="1" applyFill="1" applyBorder="1" applyAlignment="1">
      <alignment wrapText="1"/>
    </xf>
    <xf numFmtId="0" fontId="3" fillId="38" borderId="34" xfId="0" applyFont="1" applyFill="1" applyBorder="1" applyAlignment="1">
      <alignment wrapText="1"/>
    </xf>
    <xf numFmtId="0" fontId="23" fillId="38" borderId="34" xfId="0" applyFont="1" applyFill="1" applyBorder="1" applyAlignment="1">
      <alignment horizontal="left" wrapText="1"/>
    </xf>
    <xf numFmtId="2" fontId="16" fillId="38" borderId="34" xfId="75" applyNumberFormat="1" applyFont="1" applyFill="1" applyBorder="1" applyAlignment="1">
      <alignment horizontal="left" vertical="top" wrapText="1"/>
      <protection/>
    </xf>
    <xf numFmtId="2" fontId="48" fillId="38" borderId="34" xfId="75" applyNumberFormat="1" applyFont="1" applyFill="1" applyBorder="1" applyAlignment="1">
      <alignment horizontal="left" vertical="center" wrapText="1"/>
      <protection/>
    </xf>
    <xf numFmtId="179" fontId="1" fillId="38" borderId="34" xfId="55" applyNumberFormat="1" applyFont="1" applyFill="1" applyBorder="1" applyAlignment="1" applyProtection="1">
      <alignment horizontal="left" vertical="top" wrapText="1"/>
      <protection hidden="1"/>
    </xf>
    <xf numFmtId="2" fontId="1" fillId="38" borderId="34" xfId="0" applyNumberFormat="1" applyFont="1" applyFill="1" applyBorder="1" applyAlignment="1">
      <alignment horizontal="left" vertical="center" wrapText="1"/>
    </xf>
    <xf numFmtId="4" fontId="49" fillId="38" borderId="0" xfId="0" applyNumberFormat="1" applyFont="1" applyFill="1" applyAlignment="1">
      <alignment/>
    </xf>
    <xf numFmtId="2" fontId="16" fillId="38" borderId="34" xfId="0" applyNumberFormat="1" applyFont="1" applyFill="1" applyBorder="1" applyAlignment="1">
      <alignment wrapText="1"/>
    </xf>
    <xf numFmtId="0" fontId="2" fillId="38" borderId="10" xfId="0" applyFont="1" applyFill="1" applyBorder="1" applyAlignment="1">
      <alignment horizontal="center" wrapText="1"/>
    </xf>
    <xf numFmtId="49" fontId="47" fillId="38" borderId="10" xfId="61" applyNumberFormat="1" applyFont="1" applyFill="1" applyBorder="1" applyAlignment="1">
      <alignment horizontal="center" wrapText="1"/>
      <protection/>
    </xf>
    <xf numFmtId="0" fontId="1" fillId="38" borderId="34" xfId="0" applyFont="1" applyFill="1" applyBorder="1" applyAlignment="1">
      <alignment horizontal="justify"/>
    </xf>
    <xf numFmtId="0" fontId="1" fillId="38" borderId="34" xfId="0" applyFont="1" applyFill="1" applyBorder="1" applyAlignment="1" applyProtection="1">
      <alignment horizontal="left" wrapText="1"/>
      <protection/>
    </xf>
    <xf numFmtId="0" fontId="1" fillId="38" borderId="34" xfId="0" applyFont="1" applyFill="1" applyBorder="1" applyAlignment="1">
      <alignment horizontal="justify" vertical="top"/>
    </xf>
    <xf numFmtId="179" fontId="15" fillId="38" borderId="34" xfId="55" applyNumberFormat="1" applyFont="1" applyFill="1" applyBorder="1" applyAlignment="1" applyProtection="1">
      <alignment horizontal="left" vertical="top" wrapText="1"/>
      <protection hidden="1"/>
    </xf>
    <xf numFmtId="0" fontId="1" fillId="0" borderId="34" xfId="0" applyFont="1" applyBorder="1" applyAlignment="1">
      <alignment/>
    </xf>
    <xf numFmtId="0" fontId="16" fillId="38" borderId="34" xfId="0" applyFont="1" applyFill="1" applyBorder="1" applyAlignment="1">
      <alignment vertical="center" wrapText="1"/>
    </xf>
    <xf numFmtId="2" fontId="16" fillId="38" borderId="34" xfId="75" applyNumberFormat="1" applyFont="1" applyFill="1" applyBorder="1" applyAlignment="1">
      <alignment vertical="center" wrapText="1"/>
      <protection/>
    </xf>
    <xf numFmtId="0" fontId="1" fillId="38" borderId="34" xfId="69" applyFont="1" applyFill="1" applyBorder="1" applyAlignment="1">
      <alignment horizontal="left" wrapText="1"/>
      <protection/>
    </xf>
    <xf numFmtId="179" fontId="15" fillId="38" borderId="34" xfId="55" applyNumberFormat="1" applyFont="1" applyFill="1" applyBorder="1" applyAlignment="1" applyProtection="1">
      <alignment horizontal="left" wrapText="1"/>
      <protection hidden="1"/>
    </xf>
    <xf numFmtId="0" fontId="16" fillId="38" borderId="39" xfId="0" applyFont="1" applyFill="1" applyBorder="1" applyAlignment="1">
      <alignment wrapText="1"/>
    </xf>
    <xf numFmtId="0" fontId="23" fillId="38" borderId="10" xfId="0" applyFont="1" applyFill="1" applyBorder="1" applyAlignment="1">
      <alignment horizontal="center" vertical="top" wrapText="1"/>
    </xf>
    <xf numFmtId="49" fontId="16" fillId="38" borderId="34" xfId="0" applyNumberFormat="1" applyFont="1" applyFill="1" applyBorder="1" applyAlignment="1">
      <alignment horizontal="left" vertical="top" wrapText="1"/>
    </xf>
    <xf numFmtId="49" fontId="1" fillId="38" borderId="34" xfId="0" applyNumberFormat="1" applyFont="1" applyFill="1" applyBorder="1" applyAlignment="1">
      <alignment wrapText="1"/>
    </xf>
    <xf numFmtId="0" fontId="1" fillId="38" borderId="37" xfId="0" applyFont="1" applyFill="1" applyBorder="1" applyAlignment="1">
      <alignment vertical="top" wrapText="1"/>
    </xf>
    <xf numFmtId="2" fontId="16" fillId="38" borderId="38" xfId="0" applyNumberFormat="1" applyFont="1" applyFill="1" applyBorder="1" applyAlignment="1">
      <alignment horizontal="left" vertical="center" wrapText="1"/>
    </xf>
    <xf numFmtId="49" fontId="1" fillId="38" borderId="34" xfId="0" applyNumberFormat="1" applyFont="1" applyFill="1" applyBorder="1" applyAlignment="1">
      <alignment vertical="top" wrapText="1"/>
    </xf>
    <xf numFmtId="0" fontId="16" fillId="38" borderId="36" xfId="0" applyFont="1" applyFill="1" applyBorder="1" applyAlignment="1">
      <alignment vertical="top" wrapText="1"/>
    </xf>
    <xf numFmtId="4" fontId="3" fillId="38" borderId="40" xfId="0" applyNumberFormat="1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47" fillId="38" borderId="10" xfId="0" applyFont="1" applyFill="1" applyBorder="1" applyAlignment="1">
      <alignment horizontal="center"/>
    </xf>
    <xf numFmtId="0" fontId="16" fillId="38" borderId="36" xfId="0" applyFont="1" applyFill="1" applyBorder="1" applyAlignment="1">
      <alignment wrapText="1"/>
    </xf>
    <xf numFmtId="0" fontId="1" fillId="38" borderId="29" xfId="0" applyFont="1" applyFill="1" applyBorder="1" applyAlignment="1">
      <alignment horizontal="justify"/>
    </xf>
    <xf numFmtId="49" fontId="3" fillId="38" borderId="30" xfId="0" applyNumberFormat="1" applyFont="1" applyFill="1" applyBorder="1" applyAlignment="1">
      <alignment horizontal="center"/>
    </xf>
    <xf numFmtId="49" fontId="3" fillId="38" borderId="30" xfId="61" applyNumberFormat="1" applyFont="1" applyFill="1" applyBorder="1" applyAlignment="1">
      <alignment horizontal="right" wrapText="1"/>
      <protection/>
    </xf>
    <xf numFmtId="4" fontId="3" fillId="38" borderId="41" xfId="0" applyNumberFormat="1" applyFont="1" applyFill="1" applyBorder="1" applyAlignment="1">
      <alignment horizontal="right"/>
    </xf>
    <xf numFmtId="49" fontId="3" fillId="38" borderId="0" xfId="0" applyNumberFormat="1" applyFont="1" applyFill="1" applyAlignment="1">
      <alignment horizontal="center"/>
    </xf>
    <xf numFmtId="49" fontId="3" fillId="38" borderId="0" xfId="0" applyNumberFormat="1" applyFont="1" applyFill="1" applyAlignment="1">
      <alignment horizontal="right"/>
    </xf>
    <xf numFmtId="4" fontId="3" fillId="38" borderId="0" xfId="0" applyNumberFormat="1" applyFont="1" applyFill="1" applyAlignment="1">
      <alignment horizontal="right"/>
    </xf>
    <xf numFmtId="49" fontId="11" fillId="38" borderId="0" xfId="0" applyNumberFormat="1" applyFont="1" applyFill="1" applyAlignment="1">
      <alignment horizontal="right"/>
    </xf>
    <xf numFmtId="4" fontId="2" fillId="38" borderId="0" xfId="0" applyNumberFormat="1" applyFont="1" applyFill="1" applyAlignment="1">
      <alignment horizontal="right"/>
    </xf>
    <xf numFmtId="4" fontId="3" fillId="38" borderId="0" xfId="0" applyNumberFormat="1" applyFont="1" applyFill="1" applyAlignment="1">
      <alignment/>
    </xf>
    <xf numFmtId="4" fontId="3" fillId="38" borderId="0" xfId="0" applyNumberFormat="1" applyFont="1" applyFill="1" applyAlignment="1">
      <alignment/>
    </xf>
    <xf numFmtId="174" fontId="2" fillId="38" borderId="0" xfId="0" applyNumberFormat="1" applyFont="1" applyFill="1" applyAlignment="1">
      <alignment/>
    </xf>
    <xf numFmtId="0" fontId="51" fillId="38" borderId="0" xfId="0" applyFont="1" applyFill="1" applyAlignment="1">
      <alignment wrapText="1"/>
    </xf>
    <xf numFmtId="0" fontId="52" fillId="38" borderId="0" xfId="0" applyFont="1" applyFill="1" applyAlignment="1">
      <alignment wrapText="1"/>
    </xf>
    <xf numFmtId="49" fontId="1" fillId="38" borderId="0" xfId="0" applyNumberFormat="1" applyFont="1" applyFill="1" applyAlignment="1">
      <alignment horizontal="left" vertical="top" wrapText="1"/>
    </xf>
    <xf numFmtId="4" fontId="1" fillId="38" borderId="0" xfId="0" applyNumberFormat="1" applyFont="1" applyFill="1" applyAlignment="1">
      <alignment horizontal="right" wrapText="1"/>
    </xf>
    <xf numFmtId="44" fontId="53" fillId="38" borderId="0" xfId="44" applyFont="1" applyFill="1" applyAlignment="1">
      <alignment horizontal="center" wrapText="1"/>
    </xf>
    <xf numFmtId="4" fontId="3" fillId="38" borderId="0" xfId="0" applyNumberFormat="1" applyFont="1" applyFill="1" applyBorder="1" applyAlignment="1">
      <alignment horizontal="right"/>
    </xf>
    <xf numFmtId="4" fontId="3" fillId="38" borderId="0" xfId="0" applyNumberFormat="1" applyFont="1" applyFill="1" applyAlignment="1">
      <alignment horizontal="center"/>
    </xf>
    <xf numFmtId="4" fontId="3" fillId="38" borderId="27" xfId="0" applyNumberFormat="1" applyFont="1" applyFill="1" applyBorder="1" applyAlignment="1">
      <alignment horizontal="right" vertical="center" wrapText="1"/>
    </xf>
    <xf numFmtId="4" fontId="3" fillId="38" borderId="27" xfId="0" applyNumberFormat="1" applyFont="1" applyFill="1" applyBorder="1" applyAlignment="1">
      <alignment horizontal="center" vertical="center" wrapText="1"/>
    </xf>
    <xf numFmtId="4" fontId="3" fillId="38" borderId="28" xfId="0" applyNumberFormat="1" applyFont="1" applyFill="1" applyBorder="1" applyAlignment="1">
      <alignment horizontal="center" vertical="center" wrapText="1"/>
    </xf>
    <xf numFmtId="4" fontId="3" fillId="38" borderId="30" xfId="0" applyNumberFormat="1" applyFont="1" applyFill="1" applyBorder="1" applyAlignment="1">
      <alignment horizontal="right" vertical="center" wrapText="1"/>
    </xf>
    <xf numFmtId="4" fontId="3" fillId="38" borderId="30" xfId="0" applyNumberFormat="1" applyFont="1" applyFill="1" applyBorder="1" applyAlignment="1">
      <alignment horizontal="center" vertical="center" wrapText="1"/>
    </xf>
    <xf numFmtId="4" fontId="3" fillId="38" borderId="31" xfId="0" applyNumberFormat="1" applyFont="1" applyFill="1" applyBorder="1" applyAlignment="1">
      <alignment horizontal="center" vertical="center" wrapText="1"/>
    </xf>
    <xf numFmtId="49" fontId="11" fillId="38" borderId="32" xfId="0" applyNumberFormat="1" applyFont="1" applyFill="1" applyBorder="1" applyAlignment="1">
      <alignment horizontal="center" vertical="center" wrapText="1"/>
    </xf>
    <xf numFmtId="4" fontId="47" fillId="38" borderId="22" xfId="0" applyNumberFormat="1" applyFont="1" applyFill="1" applyBorder="1" applyAlignment="1">
      <alignment horizontal="right" vertical="center" wrapText="1"/>
    </xf>
    <xf numFmtId="4" fontId="47" fillId="38" borderId="22" xfId="0" applyNumberFormat="1" applyFont="1" applyFill="1" applyBorder="1" applyAlignment="1">
      <alignment horizontal="center" vertical="center" wrapText="1"/>
    </xf>
    <xf numFmtId="4" fontId="17" fillId="38" borderId="33" xfId="0" applyNumberFormat="1" applyFont="1" applyFill="1" applyBorder="1" applyAlignment="1">
      <alignment horizontal="right" vertical="center" wrapText="1"/>
    </xf>
    <xf numFmtId="0" fontId="2" fillId="38" borderId="34" xfId="0" applyFont="1" applyFill="1" applyBorder="1" applyAlignment="1">
      <alignment horizontal="left" wrapText="1"/>
    </xf>
    <xf numFmtId="4" fontId="3" fillId="38" borderId="10" xfId="0" applyNumberFormat="1" applyFont="1" applyFill="1" applyBorder="1" applyAlignment="1">
      <alignment horizontal="right"/>
    </xf>
    <xf numFmtId="4" fontId="3" fillId="38" borderId="10" xfId="0" applyNumberFormat="1" applyFont="1" applyFill="1" applyBorder="1" applyAlignment="1">
      <alignment horizontal="center"/>
    </xf>
    <xf numFmtId="4" fontId="47" fillId="38" borderId="10" xfId="0" applyNumberFormat="1" applyFont="1" applyFill="1" applyBorder="1" applyAlignment="1">
      <alignment horizontal="right"/>
    </xf>
    <xf numFmtId="179" fontId="1" fillId="38" borderId="34" xfId="55" applyNumberFormat="1" applyFont="1" applyFill="1" applyBorder="1" applyAlignment="1" applyProtection="1">
      <alignment horizontal="left" wrapText="1"/>
      <protection hidden="1"/>
    </xf>
    <xf numFmtId="4" fontId="47" fillId="38" borderId="10" xfId="0" applyNumberFormat="1" applyFont="1" applyFill="1" applyBorder="1" applyAlignment="1">
      <alignment horizontal="center"/>
    </xf>
    <xf numFmtId="4" fontId="3" fillId="38" borderId="10" xfId="61" applyNumberFormat="1" applyFont="1" applyFill="1" applyBorder="1" applyAlignment="1">
      <alignment horizontal="right" wrapText="1"/>
      <protection/>
    </xf>
    <xf numFmtId="0" fontId="1" fillId="38" borderId="10" xfId="0" applyFont="1" applyFill="1" applyBorder="1" applyAlignment="1">
      <alignment horizontal="justify" vertical="top" wrapText="1"/>
    </xf>
    <xf numFmtId="0" fontId="1" fillId="38" borderId="34" xfId="61" applyFont="1" applyFill="1" applyBorder="1" applyAlignment="1">
      <alignment horizontal="justify" vertical="top" wrapText="1"/>
      <protection/>
    </xf>
    <xf numFmtId="0" fontId="3" fillId="0" borderId="37" xfId="0" applyFont="1" applyBorder="1" applyAlignment="1">
      <alignment/>
    </xf>
    <xf numFmtId="4" fontId="3" fillId="38" borderId="42" xfId="0" applyNumberFormat="1" applyFont="1" applyFill="1" applyBorder="1" applyAlignment="1">
      <alignment horizontal="center"/>
    </xf>
    <xf numFmtId="49" fontId="23" fillId="38" borderId="10" xfId="0" applyNumberFormat="1" applyFont="1" applyFill="1" applyBorder="1" applyAlignment="1">
      <alignment horizontal="center"/>
    </xf>
    <xf numFmtId="2" fontId="1" fillId="38" borderId="34" xfId="75" applyNumberFormat="1" applyFont="1" applyFill="1" applyBorder="1" applyAlignment="1">
      <alignment horizontal="left" vertical="top" wrapText="1"/>
      <protection/>
    </xf>
    <xf numFmtId="0" fontId="16" fillId="38" borderId="10" xfId="0" applyFont="1" applyFill="1" applyBorder="1" applyAlignment="1">
      <alignment vertical="top" wrapText="1"/>
    </xf>
    <xf numFmtId="4" fontId="3" fillId="38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 vertical="top" wrapText="1"/>
    </xf>
    <xf numFmtId="0" fontId="16" fillId="38" borderId="10" xfId="0" applyFont="1" applyFill="1" applyBorder="1" applyAlignment="1">
      <alignment horizontal="justify" vertical="top" wrapText="1"/>
    </xf>
    <xf numFmtId="2" fontId="1" fillId="38" borderId="34" xfId="75" applyNumberFormat="1" applyFont="1" applyFill="1" applyBorder="1" applyAlignment="1">
      <alignment horizontal="left" vertical="center" wrapText="1"/>
      <protection/>
    </xf>
    <xf numFmtId="2" fontId="16" fillId="38" borderId="34" xfId="75" applyNumberFormat="1" applyFont="1" applyFill="1" applyBorder="1" applyAlignment="1">
      <alignment wrapText="1"/>
      <protection/>
    </xf>
    <xf numFmtId="0" fontId="24" fillId="38" borderId="34" xfId="0" applyFont="1" applyFill="1" applyBorder="1" applyAlignment="1">
      <alignment horizontal="left" wrapText="1"/>
    </xf>
    <xf numFmtId="0" fontId="1" fillId="38" borderId="34" xfId="43" applyFont="1" applyFill="1" applyBorder="1" applyAlignment="1" applyProtection="1">
      <alignment horizontal="left" wrapText="1"/>
      <protection/>
    </xf>
    <xf numFmtId="179" fontId="1" fillId="38" borderId="10" xfId="55" applyNumberFormat="1" applyFont="1" applyFill="1" applyBorder="1" applyAlignment="1" applyProtection="1">
      <alignment horizontal="left" vertical="top" wrapText="1"/>
      <protection hidden="1"/>
    </xf>
    <xf numFmtId="2" fontId="23" fillId="38" borderId="34" xfId="75" applyNumberFormat="1" applyFont="1" applyFill="1" applyBorder="1" applyAlignment="1">
      <alignment horizontal="left" vertical="center" wrapText="1"/>
      <protection/>
    </xf>
    <xf numFmtId="4" fontId="3" fillId="38" borderId="17" xfId="0" applyNumberFormat="1" applyFont="1" applyFill="1" applyBorder="1" applyAlignment="1">
      <alignment horizontal="right"/>
    </xf>
    <xf numFmtId="2" fontId="16" fillId="38" borderId="38" xfId="75" applyNumberFormat="1" applyFont="1" applyFill="1" applyBorder="1" applyAlignment="1">
      <alignment horizontal="left" vertical="center" wrapText="1"/>
      <protection/>
    </xf>
    <xf numFmtId="4" fontId="3" fillId="38" borderId="42" xfId="0" applyNumberFormat="1" applyFont="1" applyFill="1" applyBorder="1" applyAlignment="1">
      <alignment horizontal="right"/>
    </xf>
    <xf numFmtId="4" fontId="3" fillId="38" borderId="22" xfId="0" applyNumberFormat="1" applyFont="1" applyFill="1" applyBorder="1" applyAlignment="1">
      <alignment horizontal="right"/>
    </xf>
    <xf numFmtId="179" fontId="15" fillId="38" borderId="10" xfId="55" applyNumberFormat="1" applyFont="1" applyFill="1" applyBorder="1" applyAlignment="1" applyProtection="1">
      <alignment horizontal="left" vertical="top" wrapText="1"/>
      <protection hidden="1"/>
    </xf>
    <xf numFmtId="4" fontId="47" fillId="38" borderId="42" xfId="0" applyNumberFormat="1" applyFont="1" applyFill="1" applyBorder="1" applyAlignment="1">
      <alignment horizontal="right"/>
    </xf>
    <xf numFmtId="179" fontId="1" fillId="39" borderId="34" xfId="55" applyNumberFormat="1" applyFont="1" applyFill="1" applyBorder="1" applyAlignment="1" applyProtection="1">
      <alignment horizontal="left" vertical="top" wrapText="1"/>
      <protection hidden="1"/>
    </xf>
    <xf numFmtId="0" fontId="1" fillId="38" borderId="37" xfId="0" applyFont="1" applyFill="1" applyBorder="1" applyAlignment="1">
      <alignment horizontal="justify"/>
    </xf>
    <xf numFmtId="0" fontId="24" fillId="38" borderId="34" xfId="0" applyFont="1" applyFill="1" applyBorder="1" applyAlignment="1">
      <alignment wrapText="1"/>
    </xf>
    <xf numFmtId="4" fontId="3" fillId="38" borderId="10" xfId="0" applyNumberFormat="1" applyFont="1" applyFill="1" applyBorder="1" applyAlignment="1">
      <alignment/>
    </xf>
    <xf numFmtId="0" fontId="23" fillId="38" borderId="36" xfId="0" applyFont="1" applyFill="1" applyBorder="1" applyAlignment="1">
      <alignment wrapText="1"/>
    </xf>
    <xf numFmtId="0" fontId="1" fillId="38" borderId="32" xfId="0" applyFont="1" applyFill="1" applyBorder="1" applyAlignment="1">
      <alignment vertical="top" wrapText="1"/>
    </xf>
    <xf numFmtId="49" fontId="3" fillId="38" borderId="22" xfId="0" applyNumberFormat="1" applyFont="1" applyFill="1" applyBorder="1" applyAlignment="1">
      <alignment horizontal="center"/>
    </xf>
    <xf numFmtId="49" fontId="3" fillId="38" borderId="22" xfId="0" applyNumberFormat="1" applyFont="1" applyFill="1" applyBorder="1" applyAlignment="1">
      <alignment horizontal="right"/>
    </xf>
    <xf numFmtId="4" fontId="3" fillId="38" borderId="33" xfId="0" applyNumberFormat="1" applyFont="1" applyFill="1" applyBorder="1" applyAlignment="1">
      <alignment horizontal="right"/>
    </xf>
    <xf numFmtId="49" fontId="1" fillId="38" borderId="29" xfId="0" applyNumberFormat="1" applyFont="1" applyFill="1" applyBorder="1" applyAlignment="1">
      <alignment vertical="top" wrapText="1"/>
    </xf>
    <xf numFmtId="49" fontId="3" fillId="38" borderId="30" xfId="0" applyNumberFormat="1" applyFont="1" applyFill="1" applyBorder="1" applyAlignment="1">
      <alignment horizontal="right"/>
    </xf>
    <xf numFmtId="4" fontId="3" fillId="38" borderId="30" xfId="0" applyNumberFormat="1" applyFont="1" applyFill="1" applyBorder="1" applyAlignment="1">
      <alignment horizontal="right"/>
    </xf>
    <xf numFmtId="4" fontId="3" fillId="38" borderId="30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/>
    </xf>
    <xf numFmtId="4" fontId="3" fillId="38" borderId="10" xfId="0" applyNumberFormat="1" applyFont="1" applyFill="1" applyBorder="1" applyAlignment="1">
      <alignment horizontal="right" vertical="center" wrapText="1"/>
    </xf>
    <xf numFmtId="4" fontId="3" fillId="38" borderId="10" xfId="0" applyNumberFormat="1" applyFont="1" applyFill="1" applyBorder="1" applyAlignment="1">
      <alignment horizontal="center" vertical="center" wrapText="1"/>
    </xf>
    <xf numFmtId="49" fontId="1" fillId="38" borderId="10" xfId="0" applyNumberFormat="1" applyFont="1" applyFill="1" applyBorder="1" applyAlignment="1">
      <alignment horizontal="center" vertical="center" wrapText="1"/>
    </xf>
    <xf numFmtId="49" fontId="17" fillId="38" borderId="10" xfId="0" applyNumberFormat="1" applyFont="1" applyFill="1" applyBorder="1" applyAlignment="1">
      <alignment horizontal="center" vertical="center" wrapText="1"/>
    </xf>
    <xf numFmtId="49" fontId="17" fillId="38" borderId="10" xfId="0" applyNumberFormat="1" applyFont="1" applyFill="1" applyBorder="1" applyAlignment="1">
      <alignment horizontal="center" vertical="center"/>
    </xf>
    <xf numFmtId="4" fontId="47" fillId="38" borderId="10" xfId="0" applyNumberFormat="1" applyFont="1" applyFill="1" applyBorder="1" applyAlignment="1">
      <alignment horizontal="right" vertical="center" wrapText="1"/>
    </xf>
    <xf numFmtId="4" fontId="47" fillId="38" borderId="10" xfId="0" applyNumberFormat="1" applyFont="1" applyFill="1" applyBorder="1" applyAlignment="1">
      <alignment horizontal="center" vertical="center" wrapText="1"/>
    </xf>
    <xf numFmtId="4" fontId="17" fillId="38" borderId="10" xfId="0" applyNumberFormat="1" applyFont="1" applyFill="1" applyBorder="1" applyAlignment="1">
      <alignment horizontal="right" vertical="center" wrapText="1"/>
    </xf>
    <xf numFmtId="3" fontId="17" fillId="38" borderId="10" xfId="0" applyNumberFormat="1" applyFont="1" applyFill="1" applyBorder="1" applyAlignment="1">
      <alignment horizontal="right" vertical="center" wrapText="1"/>
    </xf>
    <xf numFmtId="0" fontId="1" fillId="38" borderId="10" xfId="0" applyFont="1" applyFill="1" applyBorder="1" applyAlignment="1">
      <alignment horizontal="left" wrapText="1"/>
    </xf>
    <xf numFmtId="0" fontId="1" fillId="38" borderId="10" xfId="0" applyFont="1" applyFill="1" applyBorder="1" applyAlignment="1">
      <alignment wrapText="1"/>
    </xf>
    <xf numFmtId="0" fontId="16" fillId="38" borderId="10" xfId="0" applyFont="1" applyFill="1" applyBorder="1" applyAlignment="1">
      <alignment wrapText="1"/>
    </xf>
    <xf numFmtId="0" fontId="16" fillId="38" borderId="10" xfId="0" applyFont="1" applyFill="1" applyBorder="1" applyAlignment="1">
      <alignment horizontal="left" wrapText="1"/>
    </xf>
    <xf numFmtId="49" fontId="1" fillId="38" borderId="10" xfId="0" applyNumberFormat="1" applyFont="1" applyFill="1" applyBorder="1" applyAlignment="1">
      <alignment horizontal="left" vertical="top" wrapText="1"/>
    </xf>
    <xf numFmtId="179" fontId="1" fillId="38" borderId="10" xfId="0" applyNumberFormat="1" applyFont="1" applyFill="1" applyBorder="1" applyAlignment="1" applyProtection="1">
      <alignment horizontal="left" wrapText="1"/>
      <protection hidden="1"/>
    </xf>
    <xf numFmtId="0" fontId="1" fillId="38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/>
    </xf>
    <xf numFmtId="179" fontId="1" fillId="38" borderId="10" xfId="0" applyNumberFormat="1" applyFont="1" applyFill="1" applyBorder="1" applyAlignment="1" applyProtection="1">
      <alignment horizontal="left" vertical="top" wrapText="1"/>
      <protection hidden="1"/>
    </xf>
    <xf numFmtId="2" fontId="16" fillId="38" borderId="10" xfId="0" applyNumberFormat="1" applyFont="1" applyFill="1" applyBorder="1" applyAlignment="1">
      <alignment vertical="center" wrapText="1"/>
    </xf>
    <xf numFmtId="2" fontId="16" fillId="38" borderId="10" xfId="0" applyNumberFormat="1" applyFont="1" applyFill="1" applyBorder="1" applyAlignment="1">
      <alignment horizontal="left" vertical="center" wrapText="1"/>
    </xf>
    <xf numFmtId="2" fontId="1" fillId="38" borderId="10" xfId="0" applyNumberFormat="1" applyFont="1" applyFill="1" applyBorder="1" applyAlignment="1">
      <alignment horizontal="left" vertical="top" wrapText="1"/>
    </xf>
    <xf numFmtId="0" fontId="16" fillId="38" borderId="10" xfId="0" applyFont="1" applyFill="1" applyBorder="1" applyAlignment="1">
      <alignment horizontal="left" vertical="top" wrapText="1"/>
    </xf>
    <xf numFmtId="0" fontId="1" fillId="38" borderId="10" xfId="0" applyFont="1" applyFill="1" applyBorder="1" applyAlignment="1">
      <alignment vertical="center" wrapText="1"/>
    </xf>
    <xf numFmtId="0" fontId="1" fillId="38" borderId="10" xfId="0" applyFont="1" applyFill="1" applyBorder="1" applyAlignment="1">
      <alignment/>
    </xf>
    <xf numFmtId="2" fontId="16" fillId="38" borderId="10" xfId="0" applyNumberFormat="1" applyFont="1" applyFill="1" applyBorder="1" applyAlignment="1">
      <alignment vertical="top" wrapText="1"/>
    </xf>
    <xf numFmtId="2" fontId="16" fillId="38" borderId="10" xfId="0" applyNumberFormat="1" applyFont="1" applyFill="1" applyBorder="1" applyAlignment="1">
      <alignment horizontal="left" vertical="top" wrapText="1"/>
    </xf>
    <xf numFmtId="2" fontId="1" fillId="38" borderId="10" xfId="0" applyNumberFormat="1" applyFont="1" applyFill="1" applyBorder="1" applyAlignment="1">
      <alignment horizontal="left" vertical="center" wrapText="1"/>
    </xf>
    <xf numFmtId="2" fontId="16" fillId="38" borderId="10" xfId="0" applyNumberFormat="1" applyFont="1" applyFill="1" applyBorder="1" applyAlignment="1">
      <alignment wrapText="1"/>
    </xf>
    <xf numFmtId="0" fontId="1" fillId="38" borderId="10" xfId="0" applyFont="1" applyFill="1" applyBorder="1" applyAlignment="1">
      <alignment horizontal="justify"/>
    </xf>
    <xf numFmtId="0" fontId="1" fillId="38" borderId="10" xfId="0" applyFont="1" applyFill="1" applyBorder="1" applyAlignment="1" applyProtection="1">
      <alignment horizontal="left" wrapText="1"/>
      <protection/>
    </xf>
    <xf numFmtId="4" fontId="3" fillId="40" borderId="10" xfId="0" applyNumberFormat="1" applyFont="1" applyFill="1" applyBorder="1" applyAlignment="1">
      <alignment horizontal="right"/>
    </xf>
    <xf numFmtId="49" fontId="1" fillId="38" borderId="10" xfId="0" applyNumberFormat="1" applyFont="1" applyFill="1" applyBorder="1" applyAlignment="1">
      <alignment vertical="top" wrapText="1"/>
    </xf>
    <xf numFmtId="0" fontId="16" fillId="38" borderId="10" xfId="0" applyFont="1" applyFill="1" applyBorder="1" applyAlignment="1">
      <alignment vertical="center" wrapText="1"/>
    </xf>
    <xf numFmtId="179" fontId="1" fillId="39" borderId="10" xfId="0" applyNumberFormat="1" applyFont="1" applyFill="1" applyBorder="1" applyAlignment="1" applyProtection="1">
      <alignment horizontal="left" vertical="top" wrapText="1"/>
      <protection hidden="1"/>
    </xf>
    <xf numFmtId="4" fontId="3" fillId="36" borderId="10" xfId="0" applyNumberFormat="1" applyFont="1" applyFill="1" applyBorder="1" applyAlignment="1">
      <alignment horizontal="right"/>
    </xf>
    <xf numFmtId="49" fontId="16" fillId="38" borderId="10" xfId="0" applyNumberFormat="1" applyFont="1" applyFill="1" applyBorder="1" applyAlignment="1">
      <alignment horizontal="left" vertical="top" wrapText="1"/>
    </xf>
    <xf numFmtId="49" fontId="1" fillId="38" borderId="10" xfId="0" applyNumberFormat="1" applyFont="1" applyFill="1" applyBorder="1" applyAlignment="1">
      <alignment wrapText="1"/>
    </xf>
    <xf numFmtId="49" fontId="3" fillId="38" borderId="0" xfId="0" applyNumberFormat="1" applyFont="1" applyFill="1" applyAlignment="1">
      <alignment/>
    </xf>
    <xf numFmtId="4" fontId="2" fillId="38" borderId="0" xfId="0" applyNumberFormat="1" applyFont="1" applyFill="1" applyAlignment="1">
      <alignment/>
    </xf>
    <xf numFmtId="0" fontId="3" fillId="38" borderId="0" xfId="0" applyFont="1" applyFill="1" applyAlignment="1">
      <alignment/>
    </xf>
    <xf numFmtId="49" fontId="1" fillId="38" borderId="0" xfId="0" applyNumberFormat="1" applyFont="1" applyFill="1" applyAlignment="1">
      <alignment wrapText="1"/>
    </xf>
    <xf numFmtId="0" fontId="3" fillId="38" borderId="0" xfId="0" applyFont="1" applyFill="1" applyAlignment="1">
      <alignment horizontal="left" wrapText="1"/>
    </xf>
    <xf numFmtId="4" fontId="2" fillId="38" borderId="0" xfId="0" applyNumberFormat="1" applyFont="1" applyFill="1" applyAlignment="1">
      <alignment wrapText="1"/>
    </xf>
    <xf numFmtId="4" fontId="1" fillId="38" borderId="0" xfId="0" applyNumberFormat="1" applyFont="1" applyFill="1" applyAlignment="1">
      <alignment wrapText="1"/>
    </xf>
    <xf numFmtId="0" fontId="55" fillId="38" borderId="0" xfId="0" applyFont="1" applyFill="1" applyAlignment="1">
      <alignment horizontal="center" vertical="center" wrapText="1"/>
    </xf>
    <xf numFmtId="0" fontId="1" fillId="38" borderId="0" xfId="0" applyFont="1" applyFill="1" applyBorder="1" applyAlignment="1">
      <alignment horizontal="right"/>
    </xf>
    <xf numFmtId="0" fontId="1" fillId="38" borderId="43" xfId="0" applyFont="1" applyFill="1" applyBorder="1" applyAlignment="1">
      <alignment horizontal="center" vertical="center" wrapText="1"/>
    </xf>
    <xf numFmtId="49" fontId="3" fillId="38" borderId="44" xfId="0" applyNumberFormat="1" applyFont="1" applyFill="1" applyBorder="1" applyAlignment="1">
      <alignment horizontal="center" vertical="center"/>
    </xf>
    <xf numFmtId="49" fontId="11" fillId="38" borderId="44" xfId="0" applyNumberFormat="1" applyFont="1" applyFill="1" applyBorder="1" applyAlignment="1">
      <alignment horizontal="right" vertical="center"/>
    </xf>
    <xf numFmtId="0" fontId="1" fillId="38" borderId="45" xfId="0" applyFont="1" applyFill="1" applyBorder="1" applyAlignment="1">
      <alignment horizontal="center" vertical="center" wrapText="1"/>
    </xf>
    <xf numFmtId="49" fontId="3" fillId="38" borderId="46" xfId="0" applyNumberFormat="1" applyFont="1" applyFill="1" applyBorder="1" applyAlignment="1">
      <alignment horizontal="center" vertical="center"/>
    </xf>
    <xf numFmtId="49" fontId="11" fillId="38" borderId="46" xfId="0" applyNumberFormat="1" applyFont="1" applyFill="1" applyBorder="1" applyAlignment="1">
      <alignment horizontal="right" vertical="center"/>
    </xf>
    <xf numFmtId="49" fontId="15" fillId="38" borderId="32" xfId="0" applyNumberFormat="1" applyFont="1" applyFill="1" applyBorder="1" applyAlignment="1">
      <alignment horizontal="center" vertical="center" wrapText="1"/>
    </xf>
    <xf numFmtId="49" fontId="15" fillId="38" borderId="22" xfId="0" applyNumberFormat="1" applyFont="1" applyFill="1" applyBorder="1" applyAlignment="1">
      <alignment horizontal="center" vertical="center"/>
    </xf>
    <xf numFmtId="4" fontId="15" fillId="38" borderId="33" xfId="0" applyNumberFormat="1" applyFont="1" applyFill="1" applyBorder="1" applyAlignment="1">
      <alignment horizontal="center" vertical="center" wrapText="1"/>
    </xf>
    <xf numFmtId="49" fontId="11" fillId="38" borderId="0" xfId="0" applyNumberFormat="1" applyFont="1" applyFill="1" applyAlignment="1">
      <alignment/>
    </xf>
    <xf numFmtId="4" fontId="17" fillId="38" borderId="0" xfId="0" applyNumberFormat="1" applyFont="1" applyFill="1" applyAlignment="1">
      <alignment/>
    </xf>
    <xf numFmtId="49" fontId="2" fillId="38" borderId="10" xfId="0" applyNumberFormat="1" applyFont="1" applyFill="1" applyBorder="1" applyAlignment="1">
      <alignment horizontal="right"/>
    </xf>
    <xf numFmtId="4" fontId="2" fillId="38" borderId="35" xfId="0" applyNumberFormat="1" applyFont="1" applyFill="1" applyBorder="1" applyAlignment="1">
      <alignment/>
    </xf>
    <xf numFmtId="174" fontId="3" fillId="38" borderId="0" xfId="0" applyNumberFormat="1" applyFont="1" applyFill="1" applyAlignment="1">
      <alignment/>
    </xf>
    <xf numFmtId="174" fontId="1" fillId="38" borderId="0" xfId="0" applyNumberFormat="1" applyFont="1" applyFill="1" applyAlignment="1">
      <alignment/>
    </xf>
    <xf numFmtId="4" fontId="3" fillId="38" borderId="35" xfId="0" applyNumberFormat="1" applyFont="1" applyFill="1" applyBorder="1" applyAlignment="1">
      <alignment/>
    </xf>
    <xf numFmtId="174" fontId="49" fillId="38" borderId="0" xfId="0" applyNumberFormat="1" applyFont="1" applyFill="1" applyAlignment="1">
      <alignment/>
    </xf>
    <xf numFmtId="0" fontId="1" fillId="38" borderId="34" xfId="43" applyFont="1" applyFill="1" applyBorder="1" applyAlignment="1" applyProtection="1">
      <alignment horizontal="justify"/>
      <protection/>
    </xf>
    <xf numFmtId="4" fontId="3" fillId="38" borderId="0" xfId="0" applyNumberFormat="1" applyFont="1" applyFill="1" applyBorder="1" applyAlignment="1">
      <alignment/>
    </xf>
    <xf numFmtId="0" fontId="1" fillId="38" borderId="0" xfId="0" applyFont="1" applyFill="1" applyBorder="1" applyAlignment="1">
      <alignment/>
    </xf>
    <xf numFmtId="4" fontId="47" fillId="38" borderId="0" xfId="0" applyNumberFormat="1" applyFont="1" applyFill="1" applyBorder="1" applyAlignment="1">
      <alignment/>
    </xf>
    <xf numFmtId="4" fontId="3" fillId="38" borderId="33" xfId="0" applyNumberFormat="1" applyFont="1" applyFill="1" applyBorder="1" applyAlignment="1">
      <alignment/>
    </xf>
    <xf numFmtId="0" fontId="56" fillId="38" borderId="0" xfId="0" applyFont="1" applyFill="1" applyAlignment="1">
      <alignment horizontal="center"/>
    </xf>
    <xf numFmtId="0" fontId="57" fillId="38" borderId="0" xfId="0" applyFont="1" applyFill="1" applyAlignment="1">
      <alignment horizontal="center"/>
    </xf>
    <xf numFmtId="0" fontId="3" fillId="38" borderId="0" xfId="0" applyFont="1" applyFill="1" applyAlignment="1">
      <alignment horizontal="center"/>
    </xf>
    <xf numFmtId="49" fontId="1" fillId="38" borderId="32" xfId="0" applyNumberFormat="1" applyFont="1" applyFill="1" applyBorder="1" applyAlignment="1">
      <alignment vertical="top" wrapText="1"/>
    </xf>
    <xf numFmtId="4" fontId="2" fillId="38" borderId="33" xfId="0" applyNumberFormat="1" applyFont="1" applyFill="1" applyBorder="1" applyAlignment="1">
      <alignment/>
    </xf>
    <xf numFmtId="0" fontId="1" fillId="38" borderId="32" xfId="0" applyFont="1" applyFill="1" applyBorder="1" applyAlignment="1">
      <alignment wrapText="1"/>
    </xf>
    <xf numFmtId="0" fontId="23" fillId="38" borderId="22" xfId="0" applyFont="1" applyFill="1" applyBorder="1" applyAlignment="1">
      <alignment horizontal="center" wrapText="1"/>
    </xf>
    <xf numFmtId="0" fontId="23" fillId="38" borderId="22" xfId="0" applyFont="1" applyFill="1" applyBorder="1" applyAlignment="1">
      <alignment horizontal="right" wrapText="1"/>
    </xf>
    <xf numFmtId="0" fontId="3" fillId="38" borderId="22" xfId="0" applyFont="1" applyFill="1" applyBorder="1" applyAlignment="1">
      <alignment horizontal="center" wrapText="1"/>
    </xf>
    <xf numFmtId="49" fontId="3" fillId="38" borderId="22" xfId="61" applyNumberFormat="1" applyFont="1" applyFill="1" applyBorder="1" applyAlignment="1">
      <alignment horizontal="right" wrapText="1"/>
      <protection/>
    </xf>
    <xf numFmtId="0" fontId="1" fillId="38" borderId="0" xfId="0" applyFont="1" applyFill="1" applyAlignment="1">
      <alignment horizontal="center"/>
    </xf>
    <xf numFmtId="0" fontId="1" fillId="38" borderId="45" xfId="0" applyFont="1" applyFill="1" applyBorder="1" applyAlignment="1">
      <alignment/>
    </xf>
    <xf numFmtId="0" fontId="3" fillId="38" borderId="46" xfId="0" applyFont="1" applyFill="1" applyBorder="1" applyAlignment="1">
      <alignment horizontal="center" wrapText="1"/>
    </xf>
    <xf numFmtId="49" fontId="3" fillId="38" borderId="46" xfId="61" applyNumberFormat="1" applyFont="1" applyFill="1" applyBorder="1" applyAlignment="1">
      <alignment horizontal="right" wrapText="1"/>
      <protection/>
    </xf>
    <xf numFmtId="4" fontId="2" fillId="38" borderId="31" xfId="0" applyNumberFormat="1" applyFont="1" applyFill="1" applyBorder="1" applyAlignment="1">
      <alignment/>
    </xf>
    <xf numFmtId="0" fontId="3" fillId="38" borderId="0" xfId="0" applyFont="1" applyFill="1" applyAlignment="1">
      <alignment/>
    </xf>
    <xf numFmtId="9" fontId="1" fillId="38" borderId="0" xfId="73" applyFont="1" applyFill="1" applyAlignment="1">
      <alignment horizontal="left" wrapText="1"/>
    </xf>
    <xf numFmtId="0" fontId="2" fillId="38" borderId="0" xfId="44" applyNumberFormat="1" applyFont="1" applyFill="1" applyAlignment="1">
      <alignment horizontal="center" wrapText="1"/>
    </xf>
    <xf numFmtId="0" fontId="2" fillId="38" borderId="0" xfId="44" applyNumberFormat="1" applyFont="1" applyFill="1" applyAlignment="1">
      <alignment horizontal="left" wrapText="1"/>
    </xf>
    <xf numFmtId="4" fontId="2" fillId="38" borderId="0" xfId="44" applyNumberFormat="1" applyFont="1" applyFill="1" applyAlignment="1">
      <alignment horizontal="left" wrapText="1"/>
    </xf>
    <xf numFmtId="4" fontId="3" fillId="38" borderId="47" xfId="0" applyNumberFormat="1" applyFont="1" applyFill="1" applyBorder="1" applyAlignment="1">
      <alignment horizontal="center" vertical="center" wrapText="1"/>
    </xf>
    <xf numFmtId="4" fontId="3" fillId="38" borderId="41" xfId="0" applyNumberFormat="1" applyFont="1" applyFill="1" applyBorder="1" applyAlignment="1">
      <alignment horizontal="center" vertical="center" wrapText="1"/>
    </xf>
    <xf numFmtId="49" fontId="11" fillId="38" borderId="22" xfId="0" applyNumberFormat="1" applyFont="1" applyFill="1" applyBorder="1" applyAlignment="1">
      <alignment horizontal="center" vertical="center" wrapText="1"/>
    </xf>
    <xf numFmtId="49" fontId="11" fillId="38" borderId="22" xfId="0" applyNumberFormat="1" applyFont="1" applyFill="1" applyBorder="1" applyAlignment="1">
      <alignment horizontal="center" vertical="center"/>
    </xf>
    <xf numFmtId="3" fontId="11" fillId="38" borderId="22" xfId="0" applyNumberFormat="1" applyFont="1" applyFill="1" applyBorder="1" applyAlignment="1">
      <alignment horizontal="right" vertical="center" wrapText="1"/>
    </xf>
    <xf numFmtId="3" fontId="11" fillId="38" borderId="33" xfId="0" applyNumberFormat="1" applyFont="1" applyFill="1" applyBorder="1" applyAlignment="1">
      <alignment horizontal="right" vertical="center" wrapText="1"/>
    </xf>
    <xf numFmtId="4" fontId="3" fillId="38" borderId="48" xfId="0" applyNumberFormat="1" applyFont="1" applyFill="1" applyBorder="1" applyAlignment="1">
      <alignment horizontal="right"/>
    </xf>
    <xf numFmtId="4" fontId="3" fillId="38" borderId="35" xfId="0" applyNumberFormat="1" applyFont="1" applyFill="1" applyBorder="1" applyAlignment="1">
      <alignment/>
    </xf>
    <xf numFmtId="2" fontId="16" fillId="38" borderId="34" xfId="75" applyNumberFormat="1" applyFont="1" applyFill="1" applyBorder="1" applyAlignment="1">
      <alignment horizontal="left" wrapText="1"/>
      <protection/>
    </xf>
    <xf numFmtId="49" fontId="3" fillId="38" borderId="10" xfId="0" applyNumberFormat="1" applyFont="1" applyFill="1" applyBorder="1" applyAlignment="1">
      <alignment horizontal="center" vertical="center"/>
    </xf>
    <xf numFmtId="49" fontId="11" fillId="38" borderId="10" xfId="0" applyNumberFormat="1" applyFont="1" applyFill="1" applyBorder="1" applyAlignment="1">
      <alignment horizontal="right" vertical="center"/>
    </xf>
    <xf numFmtId="49" fontId="15" fillId="38" borderId="10" xfId="0" applyNumberFormat="1" applyFont="1" applyFill="1" applyBorder="1" applyAlignment="1">
      <alignment horizontal="center" vertical="center" wrapText="1"/>
    </xf>
    <xf numFmtId="49" fontId="15" fillId="38" borderId="10" xfId="0" applyNumberFormat="1" applyFont="1" applyFill="1" applyBorder="1" applyAlignment="1">
      <alignment horizontal="center" vertical="center"/>
    </xf>
    <xf numFmtId="4" fontId="15" fillId="38" borderId="10" xfId="0" applyNumberFormat="1" applyFont="1" applyFill="1" applyBorder="1" applyAlignment="1">
      <alignment horizontal="center" vertical="center" wrapText="1"/>
    </xf>
    <xf numFmtId="3" fontId="15" fillId="38" borderId="10" xfId="0" applyNumberFormat="1" applyFont="1" applyFill="1" applyBorder="1" applyAlignment="1">
      <alignment horizontal="center" vertical="center" wrapText="1"/>
    </xf>
    <xf numFmtId="4" fontId="17" fillId="38" borderId="0" xfId="0" applyNumberFormat="1" applyFont="1" applyFill="1" applyBorder="1" applyAlignment="1">
      <alignment/>
    </xf>
    <xf numFmtId="49" fontId="17" fillId="38" borderId="0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4" fontId="1" fillId="38" borderId="0" xfId="0" applyNumberFormat="1" applyFont="1" applyFill="1" applyBorder="1" applyAlignment="1">
      <alignment/>
    </xf>
    <xf numFmtId="0" fontId="46" fillId="38" borderId="0" xfId="0" applyFont="1" applyFill="1" applyBorder="1" applyAlignment="1">
      <alignment/>
    </xf>
    <xf numFmtId="174" fontId="3" fillId="38" borderId="0" xfId="0" applyNumberFormat="1" applyFont="1" applyFill="1" applyBorder="1" applyAlignment="1">
      <alignment/>
    </xf>
    <xf numFmtId="174" fontId="1" fillId="38" borderId="0" xfId="0" applyNumberFormat="1" applyFont="1" applyFill="1" applyBorder="1" applyAlignment="1">
      <alignment/>
    </xf>
    <xf numFmtId="179" fontId="1" fillId="38" borderId="10" xfId="55" applyNumberFormat="1" applyFont="1" applyFill="1" applyBorder="1" applyAlignment="1" applyProtection="1">
      <alignment horizontal="left" wrapText="1"/>
      <protection hidden="1"/>
    </xf>
    <xf numFmtId="2" fontId="16" fillId="38" borderId="10" xfId="75" applyNumberFormat="1" applyFont="1" applyFill="1" applyBorder="1" applyAlignment="1">
      <alignment horizontal="left" vertical="center" wrapText="1"/>
      <protection/>
    </xf>
    <xf numFmtId="0" fontId="1" fillId="38" borderId="10" xfId="69" applyFont="1" applyFill="1" applyBorder="1" applyAlignment="1">
      <alignment horizontal="left" wrapText="1"/>
      <protection/>
    </xf>
    <xf numFmtId="0" fontId="24" fillId="38" borderId="10" xfId="0" applyFont="1" applyFill="1" applyBorder="1" applyAlignment="1">
      <alignment horizontal="left" wrapText="1"/>
    </xf>
    <xf numFmtId="2" fontId="16" fillId="38" borderId="10" xfId="75" applyNumberFormat="1" applyFont="1" applyFill="1" applyBorder="1" applyAlignment="1">
      <alignment vertical="center" wrapText="1"/>
      <protection/>
    </xf>
    <xf numFmtId="2" fontId="1" fillId="38" borderId="10" xfId="75" applyNumberFormat="1" applyFont="1" applyFill="1" applyBorder="1" applyAlignment="1">
      <alignment horizontal="left" vertical="center" wrapText="1"/>
      <protection/>
    </xf>
    <xf numFmtId="2" fontId="16" fillId="38" borderId="10" xfId="75" applyNumberFormat="1" applyFont="1" applyFill="1" applyBorder="1" applyAlignment="1">
      <alignment wrapText="1"/>
      <protection/>
    </xf>
    <xf numFmtId="0" fontId="1" fillId="38" borderId="10" xfId="43" applyFont="1" applyFill="1" applyBorder="1" applyAlignment="1" applyProtection="1">
      <alignment horizontal="left" wrapText="1"/>
      <protection/>
    </xf>
    <xf numFmtId="0" fontId="1" fillId="38" borderId="10" xfId="43" applyFont="1" applyFill="1" applyBorder="1" applyAlignment="1" applyProtection="1">
      <alignment horizontal="justify"/>
      <protection/>
    </xf>
    <xf numFmtId="2" fontId="16" fillId="38" borderId="10" xfId="75" applyNumberFormat="1" applyFont="1" applyFill="1" applyBorder="1" applyAlignment="1">
      <alignment horizontal="left" wrapText="1"/>
      <protection/>
    </xf>
    <xf numFmtId="4" fontId="2" fillId="38" borderId="10" xfId="0" applyNumberFormat="1" applyFont="1" applyFill="1" applyBorder="1" applyAlignment="1">
      <alignment horizontal="right"/>
    </xf>
    <xf numFmtId="2" fontId="16" fillId="38" borderId="10" xfId="75" applyNumberFormat="1" applyFont="1" applyFill="1" applyBorder="1" applyAlignment="1">
      <alignment vertical="top" wrapText="1"/>
      <protection/>
    </xf>
    <xf numFmtId="2" fontId="16" fillId="38" borderId="10" xfId="75" applyNumberFormat="1" applyFont="1" applyFill="1" applyBorder="1" applyAlignment="1">
      <alignment horizontal="left" vertical="top" wrapText="1"/>
      <protection/>
    </xf>
    <xf numFmtId="2" fontId="23" fillId="38" borderId="10" xfId="75" applyNumberFormat="1" applyFont="1" applyFill="1" applyBorder="1" applyAlignment="1">
      <alignment horizontal="left" vertical="center" wrapText="1"/>
      <protection/>
    </xf>
    <xf numFmtId="179" fontId="3" fillId="38" borderId="10" xfId="55" applyNumberFormat="1" applyFont="1" applyFill="1" applyBorder="1" applyAlignment="1" applyProtection="1">
      <alignment horizontal="left" vertical="top" wrapText="1"/>
      <protection hidden="1"/>
    </xf>
    <xf numFmtId="0" fontId="3" fillId="38" borderId="10" xfId="0" applyFont="1" applyFill="1" applyBorder="1" applyAlignment="1">
      <alignment horizontal="justify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01.04.09г." xfId="56"/>
    <cellStyle name="Обычный_01.04.10г." xfId="57"/>
    <cellStyle name="Обычный_27.07.09" xfId="58"/>
    <cellStyle name="Обычный_28.10.11г." xfId="59"/>
    <cellStyle name="Обычный_30.04.10г." xfId="60"/>
    <cellStyle name="Обычный_Лист1" xfId="61"/>
    <cellStyle name="Обычный_Пр.1 30.04." xfId="62"/>
    <cellStyle name="Обычный_Пр.4 30.05.08г." xfId="63"/>
    <cellStyle name="Обычный_Прил.3." xfId="64"/>
    <cellStyle name="Обычный_Прил.4" xfId="65"/>
    <cellStyle name="Обычный_Прил.4." xfId="66"/>
    <cellStyle name="Обычный_сент." xfId="67"/>
    <cellStyle name="Обычный_Ут. на остатки" xfId="68"/>
    <cellStyle name="Обычный_уточненное прилож№1 б-та2002г.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Стиль 1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68B05322DA1BBA42282C9440EEF08E6CC43410E37U6VAM" TargetMode="External" /><Relationship Id="rId2" Type="http://schemas.openxmlformats.org/officeDocument/2006/relationships/hyperlink" Target="consultantplus://offline/ref=C6EF3AE28B6C46D1117CBBA251A07B11C6C7C5768D606C8B0E322DA1BBA42282C9440EEF08E6CC43400230U6VFM" TargetMode="Externa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68B05322DA1BBA42282C9440EEF08E6CC43410E37U6VAM" TargetMode="External" /><Relationship Id="rId2" Type="http://schemas.openxmlformats.org/officeDocument/2006/relationships/hyperlink" Target="consultantplus://offline/ref=C6EF3AE28B6C46D1117CBBA251A07B11C6C7C5768D606C8B0E322DA1BBA42282C9440EEF08E6CC43400230U6VFM" TargetMode="Externa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0">
      <selection activeCell="C34" sqref="C34"/>
    </sheetView>
  </sheetViews>
  <sheetFormatPr defaultColWidth="9.00390625" defaultRowHeight="12.75"/>
  <cols>
    <col min="1" max="1" width="28.125" style="0" customWidth="1"/>
    <col min="2" max="2" width="44.625" style="0" customWidth="1"/>
    <col min="3" max="3" width="17.625" style="38" customWidth="1"/>
    <col min="4" max="4" width="0.12890625" style="0" hidden="1" customWidth="1"/>
    <col min="5" max="5" width="10.375" style="0" customWidth="1"/>
    <col min="6" max="6" width="9.125" style="0" hidden="1" customWidth="1"/>
    <col min="7" max="7" width="10.125" style="0" hidden="1" customWidth="1"/>
    <col min="8" max="8" width="15.375" style="0" customWidth="1"/>
    <col min="9" max="9" width="19.125" style="28" customWidth="1"/>
    <col min="10" max="10" width="12.25390625" style="0" customWidth="1"/>
    <col min="11" max="11" width="18.125" style="28" customWidth="1"/>
    <col min="12" max="12" width="11.875" style="0" customWidth="1"/>
  </cols>
  <sheetData>
    <row r="1" spans="1:11" s="1" customFormat="1" ht="15.75">
      <c r="A1" s="391" t="s">
        <v>1</v>
      </c>
      <c r="B1" s="391"/>
      <c r="C1" s="391"/>
      <c r="D1" s="3"/>
      <c r="I1" s="26"/>
      <c r="K1" s="26"/>
    </row>
    <row r="2" spans="1:11" s="1" customFormat="1" ht="12.75">
      <c r="A2" s="392" t="s">
        <v>2</v>
      </c>
      <c r="B2" s="392"/>
      <c r="C2" s="392"/>
      <c r="D2" s="4"/>
      <c r="I2" s="26"/>
      <c r="K2" s="26"/>
    </row>
    <row r="3" spans="1:11" s="1" customFormat="1" ht="12.75">
      <c r="A3" s="392" t="s">
        <v>64</v>
      </c>
      <c r="B3" s="392"/>
      <c r="C3" s="392"/>
      <c r="D3" s="4"/>
      <c r="I3" s="26"/>
      <c r="K3" s="26"/>
    </row>
    <row r="4" spans="1:11" s="11" customFormat="1" ht="39.75" customHeight="1">
      <c r="A4" s="4"/>
      <c r="B4" s="393" t="s">
        <v>84</v>
      </c>
      <c r="C4" s="393"/>
      <c r="D4" s="4"/>
      <c r="I4" s="27"/>
      <c r="K4" s="27"/>
    </row>
    <row r="5" spans="1:11" s="11" customFormat="1" ht="28.5" customHeight="1" hidden="1">
      <c r="A5" s="4"/>
      <c r="B5" s="393" t="s">
        <v>30</v>
      </c>
      <c r="C5" s="393"/>
      <c r="D5" s="4"/>
      <c r="I5" s="27"/>
      <c r="K5" s="27"/>
    </row>
    <row r="6" spans="1:11" s="11" customFormat="1" ht="12.75" hidden="1">
      <c r="A6" s="4"/>
      <c r="B6" s="394" t="s">
        <v>34</v>
      </c>
      <c r="C6" s="394"/>
      <c r="I6" s="27"/>
      <c r="K6" s="27"/>
    </row>
    <row r="7" spans="1:4" ht="12.75" customHeight="1">
      <c r="A7" s="2"/>
      <c r="B7" s="387" t="s">
        <v>122</v>
      </c>
      <c r="C7" s="387"/>
      <c r="D7" s="2"/>
    </row>
    <row r="8" spans="1:4" ht="9.75" customHeight="1">
      <c r="A8" s="388" t="s">
        <v>68</v>
      </c>
      <c r="B8" s="388"/>
      <c r="C8" s="388"/>
      <c r="D8" s="388"/>
    </row>
    <row r="9" spans="1:4" ht="38.25" customHeight="1">
      <c r="A9" s="389" t="s">
        <v>69</v>
      </c>
      <c r="B9" s="389"/>
      <c r="C9" s="389"/>
      <c r="D9" s="389"/>
    </row>
    <row r="10" spans="1:4" ht="15.75" customHeight="1">
      <c r="A10" s="388" t="s">
        <v>83</v>
      </c>
      <c r="B10" s="388"/>
      <c r="C10" s="388"/>
      <c r="D10" s="388"/>
    </row>
    <row r="11" ht="13.5" customHeight="1">
      <c r="C11" s="29" t="s">
        <v>82</v>
      </c>
    </row>
    <row r="12" spans="1:3" ht="38.25" customHeight="1">
      <c r="A12" s="7" t="s">
        <v>62</v>
      </c>
      <c r="B12" s="7" t="s">
        <v>3</v>
      </c>
      <c r="C12" s="30" t="s">
        <v>63</v>
      </c>
    </row>
    <row r="13" spans="1:3" ht="12.75" customHeight="1">
      <c r="A13" s="7">
        <v>1</v>
      </c>
      <c r="B13" s="7">
        <v>2</v>
      </c>
      <c r="C13" s="39">
        <v>3</v>
      </c>
    </row>
    <row r="14" spans="1:11" s="5" customFormat="1" ht="1.5" customHeight="1" hidden="1">
      <c r="A14" s="8" t="s">
        <v>4</v>
      </c>
      <c r="B14" s="9" t="s">
        <v>5</v>
      </c>
      <c r="C14" s="31">
        <f>C15+C35</f>
        <v>7081804.590000033</v>
      </c>
      <c r="D14" s="10" t="e">
        <f>D15</f>
        <v>#REF!</v>
      </c>
      <c r="I14" s="32"/>
      <c r="K14" s="32"/>
    </row>
    <row r="15" spans="1:4" ht="26.25" customHeight="1">
      <c r="A15" s="15" t="s">
        <v>6</v>
      </c>
      <c r="B15" s="16" t="s">
        <v>7</v>
      </c>
      <c r="C15" s="33">
        <f>C21+C26+C16+C35</f>
        <v>7081804.590000033</v>
      </c>
      <c r="D15" s="17" t="e">
        <f>#REF!+D21+D26</f>
        <v>#REF!</v>
      </c>
    </row>
    <row r="16" spans="1:4" ht="0.75" customHeight="1">
      <c r="A16" s="8" t="s">
        <v>59</v>
      </c>
      <c r="B16" s="14" t="s">
        <v>58</v>
      </c>
      <c r="C16" s="33">
        <f>C17+C20</f>
        <v>0</v>
      </c>
      <c r="D16" s="17"/>
    </row>
    <row r="17" spans="1:4" ht="26.25" customHeight="1" hidden="1">
      <c r="A17" s="15" t="s">
        <v>57</v>
      </c>
      <c r="B17" s="16" t="s">
        <v>60</v>
      </c>
      <c r="C17" s="33">
        <f>C18</f>
        <v>0</v>
      </c>
      <c r="D17" s="17"/>
    </row>
    <row r="18" spans="1:4" ht="39" customHeight="1" hidden="1">
      <c r="A18" s="21" t="s">
        <v>31</v>
      </c>
      <c r="B18" s="16" t="s">
        <v>61</v>
      </c>
      <c r="C18" s="33">
        <v>0</v>
      </c>
      <c r="D18" s="17"/>
    </row>
    <row r="19" spans="1:4" ht="39" customHeight="1" hidden="1">
      <c r="A19" s="21" t="s">
        <v>32</v>
      </c>
      <c r="B19" s="22" t="s">
        <v>66</v>
      </c>
      <c r="C19" s="33">
        <v>0</v>
      </c>
      <c r="D19" s="17"/>
    </row>
    <row r="20" spans="1:4" ht="39" customHeight="1" hidden="1">
      <c r="A20" s="21" t="s">
        <v>33</v>
      </c>
      <c r="B20" s="22" t="s">
        <v>67</v>
      </c>
      <c r="C20" s="33">
        <v>0</v>
      </c>
      <c r="D20" s="17"/>
    </row>
    <row r="21" spans="1:11" ht="42" customHeight="1">
      <c r="A21" s="8" t="s">
        <v>8</v>
      </c>
      <c r="B21" s="23" t="s">
        <v>9</v>
      </c>
      <c r="C21" s="31">
        <f>C22+C24</f>
        <v>-8000000</v>
      </c>
      <c r="D21" s="17">
        <f>D22+D24</f>
        <v>-3544.7309999999998</v>
      </c>
      <c r="J21" s="387"/>
      <c r="K21" s="387"/>
    </row>
    <row r="22" spans="1:11" ht="40.5" customHeight="1">
      <c r="A22" s="21" t="s">
        <v>70</v>
      </c>
      <c r="B22" s="18" t="s">
        <v>10</v>
      </c>
      <c r="C22" s="33">
        <f>C23</f>
        <v>0</v>
      </c>
      <c r="D22" s="17">
        <f>D23</f>
        <v>21657</v>
      </c>
      <c r="J22" s="390"/>
      <c r="K22" s="390"/>
    </row>
    <row r="23" spans="1:12" ht="52.5" customHeight="1">
      <c r="A23" s="21" t="s">
        <v>71</v>
      </c>
      <c r="B23" s="18" t="s">
        <v>11</v>
      </c>
      <c r="C23" s="33"/>
      <c r="D23" s="17">
        <v>21657</v>
      </c>
      <c r="G23" s="6"/>
      <c r="H23" s="28"/>
      <c r="I23" s="34"/>
      <c r="J23" s="34"/>
      <c r="K23" s="34"/>
      <c r="L23" s="2"/>
    </row>
    <row r="24" spans="1:10" ht="39.75" customHeight="1">
      <c r="A24" s="21" t="s">
        <v>72</v>
      </c>
      <c r="B24" s="18" t="s">
        <v>12</v>
      </c>
      <c r="C24" s="33">
        <v>-8000000</v>
      </c>
      <c r="D24" s="17">
        <f>D25</f>
        <v>-25201.731</v>
      </c>
      <c r="H24" s="28"/>
      <c r="J24" s="28"/>
    </row>
    <row r="25" spans="1:11" ht="51">
      <c r="A25" s="21" t="s">
        <v>73</v>
      </c>
      <c r="B25" s="18" t="s">
        <v>13</v>
      </c>
      <c r="C25" s="33">
        <v>-8000000</v>
      </c>
      <c r="D25" s="17">
        <v>-25201.731</v>
      </c>
      <c r="H25" s="28"/>
      <c r="I25" s="28">
        <v>565650249.77</v>
      </c>
      <c r="K25"/>
    </row>
    <row r="26" spans="1:9" ht="25.5" customHeight="1">
      <c r="A26" s="8" t="s">
        <v>14</v>
      </c>
      <c r="B26" s="9" t="s">
        <v>15</v>
      </c>
      <c r="C26" s="31">
        <f>C27+C31</f>
        <v>15081804.590000033</v>
      </c>
      <c r="D26" s="17" t="e">
        <f>D27+D31</f>
        <v>#REF!</v>
      </c>
      <c r="H26" s="6"/>
      <c r="I26" s="28">
        <v>572732054.36</v>
      </c>
    </row>
    <row r="27" spans="1:9" ht="12.75">
      <c r="A27" s="15" t="s">
        <v>16</v>
      </c>
      <c r="B27" s="18" t="s">
        <v>17</v>
      </c>
      <c r="C27" s="33">
        <f>C28</f>
        <v>-567650249.77</v>
      </c>
      <c r="D27" s="17">
        <f>D32</f>
        <v>0</v>
      </c>
      <c r="H27" s="28"/>
      <c r="I27" s="28">
        <f>I25-I26</f>
        <v>-7081804.590000033</v>
      </c>
    </row>
    <row r="28" spans="1:8" ht="21" customHeight="1">
      <c r="A28" s="15" t="s">
        <v>18</v>
      </c>
      <c r="B28" s="19" t="s">
        <v>19</v>
      </c>
      <c r="C28" s="33">
        <f>C29</f>
        <v>-567650249.77</v>
      </c>
      <c r="D28" s="17"/>
      <c r="H28" s="6"/>
    </row>
    <row r="29" spans="1:4" ht="25.5">
      <c r="A29" s="15" t="s">
        <v>20</v>
      </c>
      <c r="B29" s="18" t="s">
        <v>21</v>
      </c>
      <c r="C29" s="33">
        <f>C30</f>
        <v>-567650249.77</v>
      </c>
      <c r="D29" s="17"/>
    </row>
    <row r="30" spans="1:8" ht="25.5">
      <c r="A30" s="15" t="s">
        <v>22</v>
      </c>
      <c r="B30" s="18" t="s">
        <v>65</v>
      </c>
      <c r="C30" s="33">
        <f>-565650249.77-C37</f>
        <v>-567650249.77</v>
      </c>
      <c r="D30" s="17"/>
      <c r="H30" s="6"/>
    </row>
    <row r="31" spans="1:4" ht="14.25" customHeight="1">
      <c r="A31" s="15" t="s">
        <v>23</v>
      </c>
      <c r="B31" s="18" t="s">
        <v>24</v>
      </c>
      <c r="C31" s="33">
        <f>C32</f>
        <v>582732054.36</v>
      </c>
      <c r="D31" s="17" t="e">
        <f>#REF!</f>
        <v>#REF!</v>
      </c>
    </row>
    <row r="32" spans="1:8" ht="12.75">
      <c r="A32" s="15" t="s">
        <v>25</v>
      </c>
      <c r="B32" s="20" t="s">
        <v>26</v>
      </c>
      <c r="C32" s="33">
        <f>C33</f>
        <v>582732054.36</v>
      </c>
      <c r="D32" s="17"/>
      <c r="H32" s="6"/>
    </row>
    <row r="33" spans="1:4" ht="25.5">
      <c r="A33" s="15" t="s">
        <v>27</v>
      </c>
      <c r="B33" s="18" t="s">
        <v>28</v>
      </c>
      <c r="C33" s="33">
        <f>C34</f>
        <v>582732054.36</v>
      </c>
      <c r="D33" s="17"/>
    </row>
    <row r="34" spans="1:10" ht="25.5">
      <c r="A34" s="15" t="s">
        <v>29</v>
      </c>
      <c r="B34" s="18" t="s">
        <v>0</v>
      </c>
      <c r="C34" s="33">
        <f>580732054.36-C44</f>
        <v>582732054.36</v>
      </c>
      <c r="D34" s="17">
        <v>274680.758</v>
      </c>
      <c r="H34" s="6"/>
      <c r="J34" s="5"/>
    </row>
    <row r="35" spans="1:3" ht="25.5">
      <c r="A35" s="24" t="s">
        <v>35</v>
      </c>
      <c r="B35" s="25" t="s">
        <v>36</v>
      </c>
      <c r="C35" s="35">
        <f>C36</f>
        <v>0</v>
      </c>
    </row>
    <row r="36" spans="1:3" ht="38.25">
      <c r="A36" s="24" t="s">
        <v>37</v>
      </c>
      <c r="B36" s="25" t="s">
        <v>38</v>
      </c>
      <c r="C36" s="35">
        <f>C37+C44</f>
        <v>0</v>
      </c>
    </row>
    <row r="37" spans="1:3" ht="27.75" customHeight="1">
      <c r="A37" s="12" t="s">
        <v>39</v>
      </c>
      <c r="B37" s="13" t="s">
        <v>40</v>
      </c>
      <c r="C37" s="36">
        <f>C41+C43</f>
        <v>2000000</v>
      </c>
    </row>
    <row r="38" spans="1:3" ht="55.5" customHeight="1">
      <c r="A38" s="12" t="s">
        <v>41</v>
      </c>
      <c r="B38" s="13" t="s">
        <v>54</v>
      </c>
      <c r="C38" s="36">
        <f>C39</f>
        <v>2000000</v>
      </c>
    </row>
    <row r="39" spans="1:3" ht="51">
      <c r="A39" s="12" t="s">
        <v>42</v>
      </c>
      <c r="B39" s="13" t="s">
        <v>43</v>
      </c>
      <c r="C39" s="36">
        <f>C40</f>
        <v>2000000</v>
      </c>
    </row>
    <row r="40" spans="1:3" ht="25.5">
      <c r="A40" s="12" t="s">
        <v>44</v>
      </c>
      <c r="B40" s="13" t="s">
        <v>45</v>
      </c>
      <c r="C40" s="36">
        <f>C41</f>
        <v>2000000</v>
      </c>
    </row>
    <row r="41" spans="1:3" ht="76.5">
      <c r="A41" s="12" t="s">
        <v>46</v>
      </c>
      <c r="B41" s="13" t="s">
        <v>47</v>
      </c>
      <c r="C41" s="36">
        <v>2000000</v>
      </c>
    </row>
    <row r="42" spans="1:3" ht="45">
      <c r="A42" s="12" t="s">
        <v>74</v>
      </c>
      <c r="B42" s="37" t="s">
        <v>75</v>
      </c>
      <c r="C42" s="36">
        <v>0</v>
      </c>
    </row>
    <row r="43" spans="1:3" ht="75">
      <c r="A43" s="12" t="s">
        <v>76</v>
      </c>
      <c r="B43" s="37" t="s">
        <v>77</v>
      </c>
      <c r="C43" s="36">
        <v>0</v>
      </c>
    </row>
    <row r="44" spans="1:3" ht="25.5">
      <c r="A44" s="12" t="s">
        <v>48</v>
      </c>
      <c r="B44" s="13" t="s">
        <v>49</v>
      </c>
      <c r="C44" s="36">
        <f>C45</f>
        <v>-2000000</v>
      </c>
    </row>
    <row r="45" spans="1:3" ht="38.25">
      <c r="A45" s="12" t="s">
        <v>50</v>
      </c>
      <c r="B45" s="13" t="s">
        <v>51</v>
      </c>
      <c r="C45" s="36">
        <f>C46</f>
        <v>-2000000</v>
      </c>
    </row>
    <row r="46" spans="1:3" ht="51">
      <c r="A46" s="12" t="s">
        <v>52</v>
      </c>
      <c r="B46" s="13" t="s">
        <v>53</v>
      </c>
      <c r="C46" s="36">
        <f>C47+C49</f>
        <v>-2000000</v>
      </c>
    </row>
    <row r="47" spans="1:3" ht="25.5">
      <c r="A47" s="12" t="s">
        <v>55</v>
      </c>
      <c r="B47" s="13" t="s">
        <v>45</v>
      </c>
      <c r="C47" s="36">
        <v>-2000000</v>
      </c>
    </row>
    <row r="48" spans="1:3" ht="25.5">
      <c r="A48" s="12" t="s">
        <v>56</v>
      </c>
      <c r="B48" s="13" t="s">
        <v>45</v>
      </c>
      <c r="C48" s="36">
        <v>-2000000</v>
      </c>
    </row>
    <row r="49" spans="1:3" ht="25.5">
      <c r="A49" s="12" t="s">
        <v>78</v>
      </c>
      <c r="B49" s="13" t="s">
        <v>79</v>
      </c>
      <c r="C49" s="36">
        <v>0</v>
      </c>
    </row>
    <row r="50" spans="1:3" ht="48.75" customHeight="1">
      <c r="A50" s="12" t="s">
        <v>80</v>
      </c>
      <c r="B50" s="13" t="s">
        <v>81</v>
      </c>
      <c r="C50" s="36">
        <v>0</v>
      </c>
    </row>
    <row r="61" ht="12.75">
      <c r="B61" s="5"/>
    </row>
    <row r="62" ht="12.75">
      <c r="B62" s="5"/>
    </row>
    <row r="69" ht="12.75">
      <c r="B69" s="5"/>
    </row>
  </sheetData>
  <sheetProtection/>
  <mergeCells count="12">
    <mergeCell ref="A1:C1"/>
    <mergeCell ref="A2:C2"/>
    <mergeCell ref="A3:C3"/>
    <mergeCell ref="B4:C4"/>
    <mergeCell ref="B5:C5"/>
    <mergeCell ref="B6:C6"/>
    <mergeCell ref="B7:C7"/>
    <mergeCell ref="A8:D8"/>
    <mergeCell ref="A9:D9"/>
    <mergeCell ref="A10:D10"/>
    <mergeCell ref="J21:K21"/>
    <mergeCell ref="J22:K22"/>
  </mergeCells>
  <printOptions/>
  <pageMargins left="0.3937007874015748" right="0.3937007874015748" top="0" bottom="0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4"/>
  <sheetViews>
    <sheetView tabSelected="1"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68.625" style="417" customWidth="1"/>
    <col min="2" max="2" width="16.625" style="527" customWidth="1"/>
    <col min="3" max="3" width="6.375" style="530" customWidth="1"/>
    <col min="4" max="4" width="16.625" style="635" customWidth="1"/>
    <col min="5" max="5" width="17.25390625" style="635" customWidth="1"/>
    <col min="6" max="6" width="18.125" style="413" customWidth="1"/>
    <col min="7" max="7" width="18.00390625" style="413" customWidth="1"/>
    <col min="8" max="8" width="18.375" style="413" customWidth="1"/>
    <col min="9" max="16384" width="9.125" style="413" customWidth="1"/>
  </cols>
  <sheetData>
    <row r="1" spans="2:3" ht="15.75">
      <c r="B1" s="634" t="s">
        <v>1341</v>
      </c>
      <c r="C1" s="414"/>
    </row>
    <row r="2" spans="2:7" ht="15.75" customHeight="1">
      <c r="B2" s="634" t="s">
        <v>614</v>
      </c>
      <c r="C2" s="414"/>
      <c r="F2" s="434"/>
      <c r="G2" s="434"/>
    </row>
    <row r="3" spans="2:7" ht="15.75">
      <c r="B3" s="636" t="s">
        <v>615</v>
      </c>
      <c r="C3" s="420"/>
      <c r="F3" s="434"/>
      <c r="G3" s="434"/>
    </row>
    <row r="4" spans="1:7" ht="18" customHeight="1">
      <c r="A4" s="535"/>
      <c r="B4" s="636" t="s">
        <v>1342</v>
      </c>
      <c r="C4" s="420"/>
      <c r="F4" s="434"/>
      <c r="G4" s="434"/>
    </row>
    <row r="5" spans="1:9" ht="33.75" customHeight="1">
      <c r="A5" s="637"/>
      <c r="B5" s="423" t="s">
        <v>617</v>
      </c>
      <c r="C5" s="423"/>
      <c r="D5" s="423"/>
      <c r="E5" s="423"/>
      <c r="F5" s="637"/>
      <c r="G5" s="637"/>
      <c r="H5" s="637"/>
      <c r="I5" s="637"/>
    </row>
    <row r="6" spans="1:11" ht="36.75" customHeight="1">
      <c r="A6" s="536"/>
      <c r="B6" s="424" t="s">
        <v>1343</v>
      </c>
      <c r="C6" s="424"/>
      <c r="D6" s="424"/>
      <c r="E6" s="424"/>
      <c r="F6" s="417"/>
      <c r="G6" s="417"/>
      <c r="H6" s="417"/>
      <c r="I6" s="417"/>
      <c r="J6" s="637"/>
      <c r="K6" s="637"/>
    </row>
    <row r="7" spans="2:9" ht="15.75">
      <c r="B7" s="638"/>
      <c r="C7" s="425"/>
      <c r="D7" s="639"/>
      <c r="E7" s="639"/>
      <c r="F7" s="640"/>
      <c r="G7" s="417"/>
      <c r="H7" s="417"/>
      <c r="I7" s="417"/>
    </row>
    <row r="8" spans="1:11" ht="54" customHeight="1">
      <c r="A8" s="641" t="s">
        <v>1344</v>
      </c>
      <c r="B8" s="641"/>
      <c r="C8" s="641"/>
      <c r="D8" s="641"/>
      <c r="E8" s="641"/>
      <c r="F8" s="641"/>
      <c r="G8" s="641"/>
      <c r="H8" s="641"/>
      <c r="I8" s="641"/>
      <c r="J8" s="641"/>
      <c r="K8" s="641"/>
    </row>
    <row r="9" spans="3:5" ht="17.25" customHeight="1">
      <c r="C9" s="642"/>
      <c r="D9" s="429"/>
      <c r="E9" s="429" t="s">
        <v>620</v>
      </c>
    </row>
    <row r="10" spans="1:6" ht="27" customHeight="1">
      <c r="A10" s="594" t="s">
        <v>621</v>
      </c>
      <c r="B10" s="694" t="s">
        <v>624</v>
      </c>
      <c r="C10" s="695" t="s">
        <v>625</v>
      </c>
      <c r="D10" s="598" t="s">
        <v>1257</v>
      </c>
      <c r="E10" s="598" t="s">
        <v>1259</v>
      </c>
      <c r="F10" s="533"/>
    </row>
    <row r="11" spans="1:5" ht="3.75" customHeight="1">
      <c r="A11" s="594"/>
      <c r="B11" s="694"/>
      <c r="C11" s="695"/>
      <c r="D11" s="598"/>
      <c r="E11" s="598"/>
    </row>
    <row r="12" spans="1:8" s="443" customFormat="1" ht="12.75" customHeight="1">
      <c r="A12" s="696">
        <v>1</v>
      </c>
      <c r="B12" s="697" t="s">
        <v>627</v>
      </c>
      <c r="C12" s="697" t="s">
        <v>628</v>
      </c>
      <c r="D12" s="698" t="s">
        <v>629</v>
      </c>
      <c r="E12" s="699">
        <v>5</v>
      </c>
      <c r="F12" s="700"/>
      <c r="G12" s="701"/>
      <c r="H12" s="701"/>
    </row>
    <row r="13" spans="1:8" s="448" customFormat="1" ht="20.25">
      <c r="A13" s="606" t="s">
        <v>631</v>
      </c>
      <c r="B13" s="445"/>
      <c r="C13" s="654"/>
      <c r="D13" s="702">
        <f>D15+D52+D101+D187+D194+D199+D210+D252+D284+D289+D297+D319+D348+D357+D366+D398+D404+D408+D414+D420+D429+D434+D459+D467+D384++D334+D389+D464+D14</f>
        <v>437017848</v>
      </c>
      <c r="E13" s="702">
        <f>E15+E52+E101+E187+E194+E199+E210+E252+E284+E289+E297+E319+E348+E357+E366+E398+E404+E408+E414+E420+E429+E434+E459+E467+E384++E334+E389+E464+E14</f>
        <v>443740679</v>
      </c>
      <c r="F13" s="429"/>
      <c r="G13" s="703"/>
      <c r="H13" s="704"/>
    </row>
    <row r="14" spans="1:8" s="448" customFormat="1" ht="20.25">
      <c r="A14" s="607" t="s">
        <v>1260</v>
      </c>
      <c r="B14" s="445"/>
      <c r="C14" s="654"/>
      <c r="D14" s="553">
        <v>4400000</v>
      </c>
      <c r="E14" s="553">
        <v>8900000</v>
      </c>
      <c r="F14" s="705"/>
      <c r="G14" s="705"/>
      <c r="H14" s="704"/>
    </row>
    <row r="15" spans="1:8" ht="34.5" customHeight="1">
      <c r="A15" s="607" t="s">
        <v>1088</v>
      </c>
      <c r="B15" s="445" t="s">
        <v>1284</v>
      </c>
      <c r="C15" s="446"/>
      <c r="D15" s="702">
        <f>D16+D30+D38</f>
        <v>24070574</v>
      </c>
      <c r="E15" s="702">
        <f>E16+E30+E38</f>
        <v>24800700</v>
      </c>
      <c r="F15" s="706"/>
      <c r="G15" s="706"/>
      <c r="H15" s="662"/>
    </row>
    <row r="16" spans="1:8" ht="30" customHeight="1">
      <c r="A16" s="607" t="s">
        <v>1090</v>
      </c>
      <c r="B16" s="445" t="s">
        <v>1092</v>
      </c>
      <c r="C16" s="446"/>
      <c r="D16" s="702">
        <f>D17</f>
        <v>10758622</v>
      </c>
      <c r="E16" s="702">
        <f>E17</f>
        <v>12488748</v>
      </c>
      <c r="F16" s="662"/>
      <c r="G16" s="662"/>
      <c r="H16" s="662"/>
    </row>
    <row r="17" spans="1:8" ht="39" customHeight="1">
      <c r="A17" s="612" t="s">
        <v>1093</v>
      </c>
      <c r="B17" s="445" t="s">
        <v>1094</v>
      </c>
      <c r="C17" s="446"/>
      <c r="D17" s="702">
        <f>D18+D22+D26+D20</f>
        <v>10758622</v>
      </c>
      <c r="E17" s="702">
        <f>E18+E22+E26+E20</f>
        <v>12488748</v>
      </c>
      <c r="F17" s="662"/>
      <c r="G17" s="662"/>
      <c r="H17" s="662"/>
    </row>
    <row r="18" spans="1:5" ht="15.75" hidden="1">
      <c r="A18" s="567" t="s">
        <v>1243</v>
      </c>
      <c r="B18" s="474" t="s">
        <v>1285</v>
      </c>
      <c r="C18" s="446"/>
      <c r="D18" s="702">
        <f>D19</f>
        <v>0</v>
      </c>
      <c r="E18" s="702">
        <f>E19</f>
        <v>0</v>
      </c>
    </row>
    <row r="19" spans="1:5" ht="26.25" hidden="1">
      <c r="A19" s="609" t="s">
        <v>654</v>
      </c>
      <c r="B19" s="474" t="s">
        <v>1285</v>
      </c>
      <c r="C19" s="446" t="s">
        <v>655</v>
      </c>
      <c r="D19" s="702"/>
      <c r="E19" s="702"/>
    </row>
    <row r="20" spans="1:5" ht="15.75" hidden="1">
      <c r="A20" s="707" t="s">
        <v>1245</v>
      </c>
      <c r="B20" s="474" t="s">
        <v>1286</v>
      </c>
      <c r="C20" s="446"/>
      <c r="D20" s="702">
        <f>D21</f>
        <v>0</v>
      </c>
      <c r="E20" s="702">
        <f>E21</f>
        <v>0</v>
      </c>
    </row>
    <row r="21" spans="1:5" ht="26.25" hidden="1">
      <c r="A21" s="609" t="s">
        <v>654</v>
      </c>
      <c r="B21" s="474" t="s">
        <v>1286</v>
      </c>
      <c r="C21" s="446" t="s">
        <v>655</v>
      </c>
      <c r="D21" s="702"/>
      <c r="E21" s="702"/>
    </row>
    <row r="22" spans="1:5" ht="36.75" customHeight="1">
      <c r="A22" s="607" t="s">
        <v>816</v>
      </c>
      <c r="B22" s="474" t="s">
        <v>1287</v>
      </c>
      <c r="C22" s="446"/>
      <c r="D22" s="702">
        <f>D23+D24+D25+D28</f>
        <v>10758622</v>
      </c>
      <c r="E22" s="702">
        <f>E23+E24+E25+E28</f>
        <v>12488748</v>
      </c>
    </row>
    <row r="23" spans="1:5" ht="39.75" customHeight="1">
      <c r="A23" s="609" t="s">
        <v>642</v>
      </c>
      <c r="B23" s="474" t="s">
        <v>1287</v>
      </c>
      <c r="C23" s="446" t="s">
        <v>643</v>
      </c>
      <c r="D23" s="553">
        <v>9049474</v>
      </c>
      <c r="E23" s="553">
        <f>8779600+2000000</f>
        <v>10779600</v>
      </c>
    </row>
    <row r="24" spans="1:5" ht="27" customHeight="1">
      <c r="A24" s="609" t="s">
        <v>654</v>
      </c>
      <c r="B24" s="474" t="s">
        <v>1287</v>
      </c>
      <c r="C24" s="446" t="s">
        <v>655</v>
      </c>
      <c r="D24" s="553">
        <v>1641748</v>
      </c>
      <c r="E24" s="553">
        <v>1641748</v>
      </c>
    </row>
    <row r="25" spans="1:5" ht="16.5" customHeight="1">
      <c r="A25" s="620" t="s">
        <v>696</v>
      </c>
      <c r="B25" s="474" t="s">
        <v>1287</v>
      </c>
      <c r="C25" s="446" t="s">
        <v>697</v>
      </c>
      <c r="D25" s="553">
        <v>67400</v>
      </c>
      <c r="E25" s="553">
        <v>67400</v>
      </c>
    </row>
    <row r="26" spans="1:5" ht="15.75" hidden="1">
      <c r="A26" s="620" t="s">
        <v>1331</v>
      </c>
      <c r="B26" s="474" t="s">
        <v>1332</v>
      </c>
      <c r="C26" s="446"/>
      <c r="D26" s="702">
        <f>D27</f>
        <v>0</v>
      </c>
      <c r="E26" s="702">
        <f>E27</f>
        <v>0</v>
      </c>
    </row>
    <row r="27" spans="1:5" ht="30" customHeight="1" hidden="1">
      <c r="A27" s="609" t="s">
        <v>654</v>
      </c>
      <c r="B27" s="474" t="s">
        <v>1332</v>
      </c>
      <c r="C27" s="446" t="s">
        <v>655</v>
      </c>
      <c r="D27" s="702"/>
      <c r="E27" s="702"/>
    </row>
    <row r="28" spans="1:5" ht="0.75" customHeight="1" hidden="1">
      <c r="A28" s="707" t="s">
        <v>1329</v>
      </c>
      <c r="B28" s="445" t="s">
        <v>1330</v>
      </c>
      <c r="C28" s="446"/>
      <c r="D28" s="566">
        <f>D29</f>
        <v>0</v>
      </c>
      <c r="E28" s="566">
        <f>E29</f>
        <v>0</v>
      </c>
    </row>
    <row r="29" spans="1:5" ht="26.25" hidden="1">
      <c r="A29" s="609" t="s">
        <v>654</v>
      </c>
      <c r="B29" s="445" t="s">
        <v>1330</v>
      </c>
      <c r="C29" s="446" t="s">
        <v>655</v>
      </c>
      <c r="D29" s="566"/>
      <c r="E29" s="566"/>
    </row>
    <row r="30" spans="1:5" ht="30.75" customHeight="1">
      <c r="A30" s="607" t="s">
        <v>1098</v>
      </c>
      <c r="B30" s="474" t="s">
        <v>1099</v>
      </c>
      <c r="C30" s="446"/>
      <c r="D30" s="702">
        <f>D31</f>
        <v>8199300</v>
      </c>
      <c r="E30" s="702">
        <f>E31</f>
        <v>8199300</v>
      </c>
    </row>
    <row r="31" spans="1:5" ht="33.75" customHeight="1">
      <c r="A31" s="567" t="s">
        <v>1100</v>
      </c>
      <c r="B31" s="474" t="s">
        <v>1101</v>
      </c>
      <c r="C31" s="446"/>
      <c r="D31" s="702">
        <f>D32+D37</f>
        <v>8199300</v>
      </c>
      <c r="E31" s="702">
        <f>E32+E37</f>
        <v>8199300</v>
      </c>
    </row>
    <row r="32" spans="1:5" ht="26.25">
      <c r="A32" s="607" t="s">
        <v>816</v>
      </c>
      <c r="B32" s="474" t="s">
        <v>1102</v>
      </c>
      <c r="C32" s="446"/>
      <c r="D32" s="702">
        <f>D33+D34+D35</f>
        <v>8199300</v>
      </c>
      <c r="E32" s="702">
        <f>E33+E34+E35</f>
        <v>8199300</v>
      </c>
    </row>
    <row r="33" spans="1:5" ht="39.75" customHeight="1">
      <c r="A33" s="609" t="s">
        <v>642</v>
      </c>
      <c r="B33" s="474" t="s">
        <v>1102</v>
      </c>
      <c r="C33" s="446" t="s">
        <v>643</v>
      </c>
      <c r="D33" s="553">
        <v>7967000</v>
      </c>
      <c r="E33" s="553">
        <v>7967000</v>
      </c>
    </row>
    <row r="34" spans="1:5" ht="26.25">
      <c r="A34" s="609" t="s">
        <v>654</v>
      </c>
      <c r="B34" s="474" t="s">
        <v>1102</v>
      </c>
      <c r="C34" s="446" t="s">
        <v>655</v>
      </c>
      <c r="D34" s="553">
        <v>230200</v>
      </c>
      <c r="E34" s="553">
        <v>230200</v>
      </c>
    </row>
    <row r="35" spans="1:5" ht="15" customHeight="1">
      <c r="A35" s="620" t="s">
        <v>696</v>
      </c>
      <c r="B35" s="474" t="s">
        <v>1102</v>
      </c>
      <c r="C35" s="446" t="s">
        <v>697</v>
      </c>
      <c r="D35" s="553">
        <v>2100</v>
      </c>
      <c r="E35" s="553">
        <v>2100</v>
      </c>
    </row>
    <row r="36" spans="1:5" ht="15.75" customHeight="1" hidden="1">
      <c r="A36" s="620" t="s">
        <v>1247</v>
      </c>
      <c r="B36" s="474" t="s">
        <v>1248</v>
      </c>
      <c r="C36" s="446"/>
      <c r="D36" s="553">
        <f>D37</f>
        <v>0</v>
      </c>
      <c r="E36" s="553">
        <f>E37</f>
        <v>0</v>
      </c>
    </row>
    <row r="37" spans="1:5" ht="30.75" customHeight="1" hidden="1">
      <c r="A37" s="609" t="s">
        <v>654</v>
      </c>
      <c r="B37" s="474" t="s">
        <v>1248</v>
      </c>
      <c r="C37" s="446" t="s">
        <v>655</v>
      </c>
      <c r="D37" s="553">
        <f>20000-20000</f>
        <v>0</v>
      </c>
      <c r="E37" s="553">
        <f>20000-20000</f>
        <v>0</v>
      </c>
    </row>
    <row r="38" spans="1:5" ht="42" customHeight="1">
      <c r="A38" s="607" t="s">
        <v>1105</v>
      </c>
      <c r="B38" s="445" t="s">
        <v>1106</v>
      </c>
      <c r="C38" s="446"/>
      <c r="D38" s="566">
        <f>D39+D44+D47</f>
        <v>5112652</v>
      </c>
      <c r="E38" s="566">
        <f>E39+E44+E47</f>
        <v>4112652</v>
      </c>
    </row>
    <row r="39" spans="1:5" ht="28.5" customHeight="1">
      <c r="A39" s="632" t="s">
        <v>1107</v>
      </c>
      <c r="B39" s="445" t="s">
        <v>1108</v>
      </c>
      <c r="C39" s="446"/>
      <c r="D39" s="702">
        <f>D40</f>
        <v>3643300</v>
      </c>
      <c r="E39" s="702">
        <f>E40</f>
        <v>2643300</v>
      </c>
    </row>
    <row r="40" spans="1:5" ht="26.25" customHeight="1">
      <c r="A40" s="607" t="s">
        <v>816</v>
      </c>
      <c r="B40" s="445" t="s">
        <v>1109</v>
      </c>
      <c r="C40" s="446"/>
      <c r="D40" s="702">
        <f>D41+D42+D43</f>
        <v>3643300</v>
      </c>
      <c r="E40" s="702">
        <f>E41+E42+E43</f>
        <v>2643300</v>
      </c>
    </row>
    <row r="41" spans="1:5" ht="26.25" customHeight="1">
      <c r="A41" s="609" t="s">
        <v>642</v>
      </c>
      <c r="B41" s="445" t="s">
        <v>1109</v>
      </c>
      <c r="C41" s="446" t="s">
        <v>643</v>
      </c>
      <c r="D41" s="553">
        <v>3411200</v>
      </c>
      <c r="E41" s="553">
        <v>2411200</v>
      </c>
    </row>
    <row r="42" spans="1:5" ht="27.75" customHeight="1">
      <c r="A42" s="609" t="s">
        <v>654</v>
      </c>
      <c r="B42" s="445" t="s">
        <v>1109</v>
      </c>
      <c r="C42" s="446" t="s">
        <v>655</v>
      </c>
      <c r="D42" s="553">
        <v>230100</v>
      </c>
      <c r="E42" s="553">
        <v>230100</v>
      </c>
    </row>
    <row r="43" spans="1:5" ht="18.75" customHeight="1">
      <c r="A43" s="620" t="s">
        <v>696</v>
      </c>
      <c r="B43" s="445" t="s">
        <v>1109</v>
      </c>
      <c r="C43" s="446" t="s">
        <v>697</v>
      </c>
      <c r="D43" s="553">
        <v>2000</v>
      </c>
      <c r="E43" s="553">
        <v>2000</v>
      </c>
    </row>
    <row r="44" spans="1:5" ht="42.75" customHeight="1">
      <c r="A44" s="633" t="s">
        <v>1110</v>
      </c>
      <c r="B44" s="445" t="s">
        <v>1111</v>
      </c>
      <c r="C44" s="446"/>
      <c r="D44" s="702">
        <f>D46</f>
        <v>52872</v>
      </c>
      <c r="E44" s="702">
        <f>E46</f>
        <v>52872</v>
      </c>
    </row>
    <row r="45" spans="1:5" ht="41.25" customHeight="1">
      <c r="A45" s="608" t="s">
        <v>1112</v>
      </c>
      <c r="B45" s="445" t="s">
        <v>1113</v>
      </c>
      <c r="C45" s="446"/>
      <c r="D45" s="702">
        <f>D46</f>
        <v>52872</v>
      </c>
      <c r="E45" s="702">
        <f>E46</f>
        <v>52872</v>
      </c>
    </row>
    <row r="46" spans="1:5" ht="46.5" customHeight="1">
      <c r="A46" s="609" t="s">
        <v>642</v>
      </c>
      <c r="B46" s="445" t="s">
        <v>1113</v>
      </c>
      <c r="C46" s="446" t="s">
        <v>643</v>
      </c>
      <c r="D46" s="553">
        <v>52872</v>
      </c>
      <c r="E46" s="553">
        <v>52872</v>
      </c>
    </row>
    <row r="47" spans="1:5" ht="30.75" customHeight="1">
      <c r="A47" s="618" t="s">
        <v>1129</v>
      </c>
      <c r="B47" s="445" t="s">
        <v>1130</v>
      </c>
      <c r="C47" s="446"/>
      <c r="D47" s="702">
        <f>D48</f>
        <v>1416480</v>
      </c>
      <c r="E47" s="702">
        <f>E48</f>
        <v>1416480</v>
      </c>
    </row>
    <row r="48" spans="1:5" ht="30" customHeight="1">
      <c r="A48" s="707" t="s">
        <v>1131</v>
      </c>
      <c r="B48" s="470" t="s">
        <v>1132</v>
      </c>
      <c r="C48" s="446"/>
      <c r="D48" s="702">
        <f>D49</f>
        <v>1416480</v>
      </c>
      <c r="E48" s="702">
        <f>E49</f>
        <v>1416480</v>
      </c>
    </row>
    <row r="49" spans="1:5" ht="18.75" customHeight="1">
      <c r="A49" s="620" t="s">
        <v>827</v>
      </c>
      <c r="B49" s="470" t="s">
        <v>1132</v>
      </c>
      <c r="C49" s="446" t="s">
        <v>828</v>
      </c>
      <c r="D49" s="553">
        <v>1416480</v>
      </c>
      <c r="E49" s="553">
        <v>1416480</v>
      </c>
    </row>
    <row r="50" spans="1:5" ht="16.5" customHeight="1" hidden="1">
      <c r="A50" s="708" t="s">
        <v>1288</v>
      </c>
      <c r="B50" s="445" t="s">
        <v>1289</v>
      </c>
      <c r="C50" s="446"/>
      <c r="D50" s="702">
        <f>D51</f>
        <v>0</v>
      </c>
      <c r="E50" s="702">
        <f>E51</f>
        <v>0</v>
      </c>
    </row>
    <row r="51" spans="1:5" ht="15.75" customHeight="1" hidden="1">
      <c r="A51" s="609" t="s">
        <v>704</v>
      </c>
      <c r="B51" s="445" t="s">
        <v>1289</v>
      </c>
      <c r="C51" s="446" t="s">
        <v>655</v>
      </c>
      <c r="D51" s="702"/>
      <c r="E51" s="702"/>
    </row>
    <row r="52" spans="1:5" ht="30.75" customHeight="1">
      <c r="A52" s="607" t="s">
        <v>1121</v>
      </c>
      <c r="B52" s="445" t="s">
        <v>660</v>
      </c>
      <c r="C52" s="446"/>
      <c r="D52" s="702">
        <f>D53+D76+D89</f>
        <v>24743823</v>
      </c>
      <c r="E52" s="702">
        <f>E53+E76+E89</f>
        <v>24743823</v>
      </c>
    </row>
    <row r="53" spans="1:5" ht="54.75" customHeight="1">
      <c r="A53" s="565" t="s">
        <v>1134</v>
      </c>
      <c r="B53" s="445" t="s">
        <v>738</v>
      </c>
      <c r="C53" s="446"/>
      <c r="D53" s="702">
        <f>D54+D70+D73</f>
        <v>12616756</v>
      </c>
      <c r="E53" s="702">
        <f>E54+E70+E73</f>
        <v>12616756</v>
      </c>
    </row>
    <row r="54" spans="1:5" ht="30" customHeight="1">
      <c r="A54" s="565" t="s">
        <v>1135</v>
      </c>
      <c r="B54" s="445" t="s">
        <v>1136</v>
      </c>
      <c r="C54" s="446"/>
      <c r="D54" s="553">
        <f>D55+D58+D61+D64+D67</f>
        <v>12454025</v>
      </c>
      <c r="E54" s="553">
        <f>E55+E58+E61+E64+E67</f>
        <v>12454025</v>
      </c>
    </row>
    <row r="55" spans="1:5" ht="15">
      <c r="A55" s="607" t="s">
        <v>1154</v>
      </c>
      <c r="B55" s="445" t="s">
        <v>1155</v>
      </c>
      <c r="C55" s="446"/>
      <c r="D55" s="553">
        <f>D57+D56</f>
        <v>1556884</v>
      </c>
      <c r="E55" s="553">
        <f>E57+E56</f>
        <v>1556884</v>
      </c>
    </row>
    <row r="56" spans="1:5" ht="27" customHeight="1">
      <c r="A56" s="609" t="s">
        <v>654</v>
      </c>
      <c r="B56" s="445" t="s">
        <v>1155</v>
      </c>
      <c r="C56" s="446" t="s">
        <v>655</v>
      </c>
      <c r="D56" s="553">
        <v>280</v>
      </c>
      <c r="E56" s="553">
        <v>280</v>
      </c>
    </row>
    <row r="57" spans="1:5" ht="19.5" customHeight="1">
      <c r="A57" s="628" t="s">
        <v>827</v>
      </c>
      <c r="B57" s="445" t="s">
        <v>1155</v>
      </c>
      <c r="C57" s="446" t="s">
        <v>828</v>
      </c>
      <c r="D57" s="553">
        <v>1556604</v>
      </c>
      <c r="E57" s="553">
        <v>1556604</v>
      </c>
    </row>
    <row r="58" spans="1:5" ht="26.25">
      <c r="A58" s="608" t="s">
        <v>1137</v>
      </c>
      <c r="B58" s="445" t="s">
        <v>1138</v>
      </c>
      <c r="C58" s="446"/>
      <c r="D58" s="553">
        <f>D60+D59</f>
        <v>63415</v>
      </c>
      <c r="E58" s="553">
        <f>E60+E59</f>
        <v>63415</v>
      </c>
    </row>
    <row r="59" spans="1:5" ht="30.75" customHeight="1">
      <c r="A59" s="609" t="s">
        <v>654</v>
      </c>
      <c r="B59" s="445" t="s">
        <v>1138</v>
      </c>
      <c r="C59" s="446" t="s">
        <v>655</v>
      </c>
      <c r="D59" s="553">
        <v>980</v>
      </c>
      <c r="E59" s="553">
        <v>980</v>
      </c>
    </row>
    <row r="60" spans="1:5" ht="17.25" customHeight="1">
      <c r="A60" s="628" t="s">
        <v>827</v>
      </c>
      <c r="B60" s="445" t="s">
        <v>1138</v>
      </c>
      <c r="C60" s="446" t="s">
        <v>828</v>
      </c>
      <c r="D60" s="553">
        <v>62435</v>
      </c>
      <c r="E60" s="553">
        <v>62435</v>
      </c>
    </row>
    <row r="61" spans="1:5" ht="29.25" customHeight="1">
      <c r="A61" s="608" t="s">
        <v>1139</v>
      </c>
      <c r="B61" s="445" t="s">
        <v>1140</v>
      </c>
      <c r="C61" s="446"/>
      <c r="D61" s="553">
        <f>D63+D62</f>
        <v>295849</v>
      </c>
      <c r="E61" s="553">
        <f>E63+E62</f>
        <v>295849</v>
      </c>
    </row>
    <row r="62" spans="1:5" ht="31.5" customHeight="1">
      <c r="A62" s="609" t="s">
        <v>654</v>
      </c>
      <c r="B62" s="445" t="s">
        <v>1140</v>
      </c>
      <c r="C62" s="446" t="s">
        <v>655</v>
      </c>
      <c r="D62" s="553">
        <v>5240</v>
      </c>
      <c r="E62" s="553">
        <v>5240</v>
      </c>
    </row>
    <row r="63" spans="1:5" ht="15">
      <c r="A63" s="628" t="s">
        <v>827</v>
      </c>
      <c r="B63" s="445" t="s">
        <v>1140</v>
      </c>
      <c r="C63" s="446" t="s">
        <v>828</v>
      </c>
      <c r="D63" s="553">
        <v>290609</v>
      </c>
      <c r="E63" s="553">
        <v>290609</v>
      </c>
    </row>
    <row r="64" spans="1:5" ht="15">
      <c r="A64" s="607" t="s">
        <v>1141</v>
      </c>
      <c r="B64" s="445" t="s">
        <v>1142</v>
      </c>
      <c r="C64" s="446"/>
      <c r="D64" s="553">
        <f>D66+D65</f>
        <v>9062577</v>
      </c>
      <c r="E64" s="553">
        <f>E66+E65</f>
        <v>9062577</v>
      </c>
    </row>
    <row r="65" spans="1:5" ht="32.25" customHeight="1">
      <c r="A65" s="609" t="s">
        <v>654</v>
      </c>
      <c r="B65" s="445" t="s">
        <v>1142</v>
      </c>
      <c r="C65" s="446" t="s">
        <v>655</v>
      </c>
      <c r="D65" s="553">
        <v>148440</v>
      </c>
      <c r="E65" s="553">
        <v>148440</v>
      </c>
    </row>
    <row r="66" spans="1:5" ht="19.5" customHeight="1">
      <c r="A66" s="628" t="s">
        <v>827</v>
      </c>
      <c r="B66" s="445" t="s">
        <v>1142</v>
      </c>
      <c r="C66" s="446" t="s">
        <v>828</v>
      </c>
      <c r="D66" s="553">
        <v>8914137</v>
      </c>
      <c r="E66" s="553">
        <v>8914137</v>
      </c>
    </row>
    <row r="67" spans="1:5" ht="15">
      <c r="A67" s="607" t="s">
        <v>1143</v>
      </c>
      <c r="B67" s="445" t="s">
        <v>1144</v>
      </c>
      <c r="C67" s="446"/>
      <c r="D67" s="553">
        <f>D69+D68</f>
        <v>1475300</v>
      </c>
      <c r="E67" s="553">
        <f>E69+E68</f>
        <v>1475300</v>
      </c>
    </row>
    <row r="68" spans="1:5" ht="28.5" customHeight="1">
      <c r="A68" s="609" t="s">
        <v>654</v>
      </c>
      <c r="B68" s="445" t="s">
        <v>1144</v>
      </c>
      <c r="C68" s="446" t="s">
        <v>655</v>
      </c>
      <c r="D68" s="553">
        <v>24490</v>
      </c>
      <c r="E68" s="553">
        <v>24490</v>
      </c>
    </row>
    <row r="69" spans="1:5" ht="21.75" customHeight="1">
      <c r="A69" s="628" t="s">
        <v>827</v>
      </c>
      <c r="B69" s="445" t="s">
        <v>1144</v>
      </c>
      <c r="C69" s="446" t="s">
        <v>828</v>
      </c>
      <c r="D69" s="553">
        <v>1450810</v>
      </c>
      <c r="E69" s="553">
        <v>1450810</v>
      </c>
    </row>
    <row r="70" spans="1:5" ht="33" customHeight="1">
      <c r="A70" s="565" t="s">
        <v>739</v>
      </c>
      <c r="B70" s="445" t="s">
        <v>740</v>
      </c>
      <c r="C70" s="446"/>
      <c r="D70" s="553">
        <f>D71</f>
        <v>14000</v>
      </c>
      <c r="E70" s="553">
        <f>E71</f>
        <v>14000</v>
      </c>
    </row>
    <row r="71" spans="1:5" ht="15" customHeight="1">
      <c r="A71" s="609" t="s">
        <v>741</v>
      </c>
      <c r="B71" s="474" t="s">
        <v>742</v>
      </c>
      <c r="C71" s="446"/>
      <c r="D71" s="553">
        <f>D72</f>
        <v>14000</v>
      </c>
      <c r="E71" s="553">
        <f>E72</f>
        <v>14000</v>
      </c>
    </row>
    <row r="72" spans="1:5" ht="27.75" customHeight="1">
      <c r="A72" s="609" t="s">
        <v>654</v>
      </c>
      <c r="B72" s="474" t="s">
        <v>742</v>
      </c>
      <c r="C72" s="446" t="s">
        <v>655</v>
      </c>
      <c r="D72" s="553">
        <v>14000</v>
      </c>
      <c r="E72" s="553">
        <v>14000</v>
      </c>
    </row>
    <row r="73" spans="1:5" ht="27.75" customHeight="1">
      <c r="A73" s="618" t="s">
        <v>1123</v>
      </c>
      <c r="B73" s="445" t="s">
        <v>1124</v>
      </c>
      <c r="C73" s="446"/>
      <c r="D73" s="702">
        <f>D74</f>
        <v>148731</v>
      </c>
      <c r="E73" s="702">
        <f>E74</f>
        <v>148731</v>
      </c>
    </row>
    <row r="74" spans="1:5" ht="18.75" customHeight="1">
      <c r="A74" s="708" t="s">
        <v>1125</v>
      </c>
      <c r="B74" s="445" t="s">
        <v>1290</v>
      </c>
      <c r="C74" s="446"/>
      <c r="D74" s="702">
        <f>D75</f>
        <v>148731</v>
      </c>
      <c r="E74" s="702">
        <f>E75</f>
        <v>148731</v>
      </c>
    </row>
    <row r="75" spans="1:5" ht="18.75" customHeight="1">
      <c r="A75" s="620" t="s">
        <v>827</v>
      </c>
      <c r="B75" s="445" t="s">
        <v>1290</v>
      </c>
      <c r="C75" s="446" t="s">
        <v>828</v>
      </c>
      <c r="D75" s="553">
        <v>148731</v>
      </c>
      <c r="E75" s="553">
        <v>148731</v>
      </c>
    </row>
    <row r="76" spans="1:5" ht="53.25" customHeight="1">
      <c r="A76" s="708" t="s">
        <v>1156</v>
      </c>
      <c r="B76" s="455" t="s">
        <v>662</v>
      </c>
      <c r="C76" s="456"/>
      <c r="D76" s="566">
        <f>D77+D80+D86</f>
        <v>9945767</v>
      </c>
      <c r="E76" s="566">
        <f>E77+E80+E86</f>
        <v>9945767</v>
      </c>
    </row>
    <row r="77" spans="1:5" ht="42" customHeight="1">
      <c r="A77" s="567" t="s">
        <v>1157</v>
      </c>
      <c r="B77" s="445" t="s">
        <v>1158</v>
      </c>
      <c r="C77" s="446"/>
      <c r="D77" s="702">
        <f>D78</f>
        <v>9054167</v>
      </c>
      <c r="E77" s="702">
        <f>E78</f>
        <v>9054167</v>
      </c>
    </row>
    <row r="78" spans="1:5" ht="25.5" customHeight="1">
      <c r="A78" s="608" t="s">
        <v>1159</v>
      </c>
      <c r="B78" s="445" t="s">
        <v>1160</v>
      </c>
      <c r="C78" s="446"/>
      <c r="D78" s="702">
        <f>D79</f>
        <v>9054167</v>
      </c>
      <c r="E78" s="702">
        <f>E79</f>
        <v>9054167</v>
      </c>
    </row>
    <row r="79" spans="1:5" ht="15">
      <c r="A79" s="628" t="s">
        <v>827</v>
      </c>
      <c r="B79" s="445" t="s">
        <v>1160</v>
      </c>
      <c r="C79" s="446" t="s">
        <v>828</v>
      </c>
      <c r="D79" s="553">
        <v>9054167</v>
      </c>
      <c r="E79" s="553">
        <v>9054167</v>
      </c>
    </row>
    <row r="80" spans="1:5" ht="42.75" customHeight="1">
      <c r="A80" s="610" t="s">
        <v>663</v>
      </c>
      <c r="B80" s="455" t="s">
        <v>664</v>
      </c>
      <c r="C80" s="456"/>
      <c r="D80" s="702">
        <f>D81+D84</f>
        <v>876600</v>
      </c>
      <c r="E80" s="702">
        <f>E81+E84</f>
        <v>876600</v>
      </c>
    </row>
    <row r="81" spans="1:5" ht="41.25" customHeight="1">
      <c r="A81" s="707" t="s">
        <v>665</v>
      </c>
      <c r="B81" s="455" t="s">
        <v>666</v>
      </c>
      <c r="C81" s="456"/>
      <c r="D81" s="702">
        <f>D82+D83</f>
        <v>876600</v>
      </c>
      <c r="E81" s="702">
        <f>E82+E83</f>
        <v>876600</v>
      </c>
    </row>
    <row r="82" spans="1:5" ht="39">
      <c r="A82" s="609" t="s">
        <v>642</v>
      </c>
      <c r="B82" s="455" t="s">
        <v>666</v>
      </c>
      <c r="C82" s="456" t="s">
        <v>643</v>
      </c>
      <c r="D82" s="553">
        <v>864600</v>
      </c>
      <c r="E82" s="553">
        <v>864600</v>
      </c>
    </row>
    <row r="83" spans="1:5" ht="26.25">
      <c r="A83" s="609" t="s">
        <v>654</v>
      </c>
      <c r="B83" s="455" t="s">
        <v>666</v>
      </c>
      <c r="C83" s="456" t="s">
        <v>655</v>
      </c>
      <c r="D83" s="553">
        <v>12000</v>
      </c>
      <c r="E83" s="553">
        <v>12000</v>
      </c>
    </row>
    <row r="84" spans="1:5" ht="64.5" hidden="1">
      <c r="A84" s="609" t="s">
        <v>1291</v>
      </c>
      <c r="B84" s="455" t="s">
        <v>1292</v>
      </c>
      <c r="C84" s="456"/>
      <c r="D84" s="702">
        <f>D85</f>
        <v>0</v>
      </c>
      <c r="E84" s="702">
        <f>E85</f>
        <v>0</v>
      </c>
    </row>
    <row r="85" spans="1:5" ht="26.25" hidden="1">
      <c r="A85" s="609" t="s">
        <v>654</v>
      </c>
      <c r="B85" s="455" t="s">
        <v>1292</v>
      </c>
      <c r="C85" s="456" t="s">
        <v>655</v>
      </c>
      <c r="D85" s="702"/>
      <c r="E85" s="702"/>
    </row>
    <row r="86" spans="1:5" ht="31.5" customHeight="1">
      <c r="A86" s="573" t="s">
        <v>743</v>
      </c>
      <c r="B86" s="445" t="s">
        <v>744</v>
      </c>
      <c r="C86" s="446"/>
      <c r="D86" s="553">
        <f>D87</f>
        <v>15000</v>
      </c>
      <c r="E86" s="553">
        <f>E87</f>
        <v>15000</v>
      </c>
    </row>
    <row r="87" spans="1:5" ht="38.25" customHeight="1">
      <c r="A87" s="565" t="s">
        <v>745</v>
      </c>
      <c r="B87" s="474" t="s">
        <v>746</v>
      </c>
      <c r="C87" s="446"/>
      <c r="D87" s="553">
        <f>D88</f>
        <v>15000</v>
      </c>
      <c r="E87" s="553">
        <f>E88</f>
        <v>15000</v>
      </c>
    </row>
    <row r="88" spans="1:5" ht="26.25" customHeight="1">
      <c r="A88" s="609" t="s">
        <v>654</v>
      </c>
      <c r="B88" s="474" t="s">
        <v>746</v>
      </c>
      <c r="C88" s="446" t="s">
        <v>655</v>
      </c>
      <c r="D88" s="553">
        <v>15000</v>
      </c>
      <c r="E88" s="553">
        <v>15000</v>
      </c>
    </row>
    <row r="89" spans="1:5" ht="44.25" customHeight="1">
      <c r="A89" s="608" t="s">
        <v>747</v>
      </c>
      <c r="B89" s="445" t="s">
        <v>668</v>
      </c>
      <c r="C89" s="446"/>
      <c r="D89" s="702">
        <f>D90+D95</f>
        <v>2181300</v>
      </c>
      <c r="E89" s="702">
        <f>E90+E95</f>
        <v>2181300</v>
      </c>
    </row>
    <row r="90" spans="1:5" ht="30.75" customHeight="1">
      <c r="A90" s="608" t="s">
        <v>748</v>
      </c>
      <c r="B90" s="445" t="s">
        <v>749</v>
      </c>
      <c r="C90" s="446"/>
      <c r="D90" s="702">
        <f>D91+D93</f>
        <v>125900</v>
      </c>
      <c r="E90" s="702">
        <f>E91+E93</f>
        <v>125900</v>
      </c>
    </row>
    <row r="91" spans="1:5" ht="30" customHeight="1">
      <c r="A91" s="608" t="s">
        <v>750</v>
      </c>
      <c r="B91" s="445" t="s">
        <v>751</v>
      </c>
      <c r="C91" s="446"/>
      <c r="D91" s="702">
        <f>D92</f>
        <v>122900</v>
      </c>
      <c r="E91" s="702">
        <f>E92</f>
        <v>122900</v>
      </c>
    </row>
    <row r="92" spans="1:5" ht="32.25" customHeight="1">
      <c r="A92" s="609" t="s">
        <v>752</v>
      </c>
      <c r="B92" s="445" t="s">
        <v>751</v>
      </c>
      <c r="C92" s="456" t="s">
        <v>753</v>
      </c>
      <c r="D92" s="566">
        <v>122900</v>
      </c>
      <c r="E92" s="566">
        <v>122900</v>
      </c>
    </row>
    <row r="93" spans="1:5" ht="20.25" customHeight="1">
      <c r="A93" s="608" t="s">
        <v>754</v>
      </c>
      <c r="B93" s="445" t="s">
        <v>755</v>
      </c>
      <c r="C93" s="456"/>
      <c r="D93" s="702">
        <f>D94</f>
        <v>3000</v>
      </c>
      <c r="E93" s="702">
        <f>E94</f>
        <v>3000</v>
      </c>
    </row>
    <row r="94" spans="1:5" ht="32.25" customHeight="1">
      <c r="A94" s="609" t="s">
        <v>752</v>
      </c>
      <c r="B94" s="445" t="s">
        <v>755</v>
      </c>
      <c r="C94" s="456" t="s">
        <v>753</v>
      </c>
      <c r="D94" s="702">
        <v>3000</v>
      </c>
      <c r="E94" s="702">
        <v>3000</v>
      </c>
    </row>
    <row r="95" spans="1:5" ht="28.5" customHeight="1">
      <c r="A95" s="612" t="s">
        <v>669</v>
      </c>
      <c r="B95" s="455" t="s">
        <v>670</v>
      </c>
      <c r="C95" s="446"/>
      <c r="D95" s="566">
        <f>D96+D99</f>
        <v>2055400</v>
      </c>
      <c r="E95" s="566">
        <f>E96+E99</f>
        <v>2055400</v>
      </c>
    </row>
    <row r="96" spans="1:5" ht="30.75" customHeight="1">
      <c r="A96" s="608" t="s">
        <v>671</v>
      </c>
      <c r="B96" s="455" t="s">
        <v>672</v>
      </c>
      <c r="C96" s="446"/>
      <c r="D96" s="566">
        <f>D97+D98</f>
        <v>2045400</v>
      </c>
      <c r="E96" s="566">
        <f>E97+E98</f>
        <v>2045400</v>
      </c>
    </row>
    <row r="97" spans="1:5" ht="43.5" customHeight="1">
      <c r="A97" s="609" t="s">
        <v>642</v>
      </c>
      <c r="B97" s="455" t="s">
        <v>672</v>
      </c>
      <c r="C97" s="456" t="s">
        <v>643</v>
      </c>
      <c r="D97" s="553">
        <f>1524168+460299+300+60633</f>
        <v>2045400</v>
      </c>
      <c r="E97" s="553">
        <f>1524168+460299+300+60633</f>
        <v>2045400</v>
      </c>
    </row>
    <row r="98" spans="1:5" ht="26.25" hidden="1">
      <c r="A98" s="609" t="s">
        <v>654</v>
      </c>
      <c r="B98" s="455" t="s">
        <v>672</v>
      </c>
      <c r="C98" s="456" t="s">
        <v>655</v>
      </c>
      <c r="D98" s="553">
        <f>60633-60633</f>
        <v>0</v>
      </c>
      <c r="E98" s="553">
        <f>60633-60633</f>
        <v>0</v>
      </c>
    </row>
    <row r="99" spans="1:5" ht="17.25" customHeight="1">
      <c r="A99" s="573" t="s">
        <v>756</v>
      </c>
      <c r="B99" s="445" t="s">
        <v>757</v>
      </c>
      <c r="C99" s="456"/>
      <c r="D99" s="553">
        <f>D100</f>
        <v>10000</v>
      </c>
      <c r="E99" s="553">
        <f>E100</f>
        <v>10000</v>
      </c>
    </row>
    <row r="100" spans="1:5" ht="26.25">
      <c r="A100" s="609" t="s">
        <v>654</v>
      </c>
      <c r="B100" s="445" t="s">
        <v>757</v>
      </c>
      <c r="C100" s="456" t="s">
        <v>655</v>
      </c>
      <c r="D100" s="553">
        <v>10000</v>
      </c>
      <c r="E100" s="553">
        <v>10000</v>
      </c>
    </row>
    <row r="101" spans="1:8" ht="32.25" customHeight="1">
      <c r="A101" s="607" t="s">
        <v>982</v>
      </c>
      <c r="B101" s="445" t="s">
        <v>983</v>
      </c>
      <c r="C101" s="446"/>
      <c r="D101" s="702">
        <f>D102+D161+D176</f>
        <v>332397046</v>
      </c>
      <c r="E101" s="702">
        <f>E102+E161+E176</f>
        <v>334945046</v>
      </c>
      <c r="H101" s="453"/>
    </row>
    <row r="102" spans="1:5" s="461" customFormat="1" ht="41.25" customHeight="1">
      <c r="A102" s="709" t="s">
        <v>984</v>
      </c>
      <c r="B102" s="445" t="s">
        <v>985</v>
      </c>
      <c r="C102" s="446"/>
      <c r="D102" s="702">
        <f>D103+D126+D153</f>
        <v>294264717</v>
      </c>
      <c r="E102" s="702">
        <f>E103+E126+E153</f>
        <v>293264717</v>
      </c>
    </row>
    <row r="103" spans="1:5" ht="27.75" customHeight="1">
      <c r="A103" s="567" t="s">
        <v>986</v>
      </c>
      <c r="B103" s="520" t="s">
        <v>987</v>
      </c>
      <c r="C103" s="446"/>
      <c r="D103" s="566">
        <f>D104+D111+D118+D120+D122+D116+D115</f>
        <v>76641069</v>
      </c>
      <c r="E103" s="566">
        <f>E104+E111+E118+E120+E122+E116+E115</f>
        <v>75641069</v>
      </c>
    </row>
    <row r="104" spans="1:5" ht="18.75" customHeight="1">
      <c r="A104" s="608" t="s">
        <v>1162</v>
      </c>
      <c r="B104" s="520" t="s">
        <v>1163</v>
      </c>
      <c r="C104" s="446"/>
      <c r="D104" s="566">
        <f>D106+D105</f>
        <v>2080810</v>
      </c>
      <c r="E104" s="566">
        <f>E106+E105</f>
        <v>2080810</v>
      </c>
    </row>
    <row r="105" spans="1:5" ht="31.5" customHeight="1" hidden="1">
      <c r="A105" s="609" t="s">
        <v>654</v>
      </c>
      <c r="B105" s="520" t="s">
        <v>1163</v>
      </c>
      <c r="C105" s="446" t="s">
        <v>655</v>
      </c>
      <c r="D105" s="553"/>
      <c r="E105" s="553"/>
    </row>
    <row r="106" spans="1:5" ht="17.25" customHeight="1">
      <c r="A106" s="628" t="s">
        <v>827</v>
      </c>
      <c r="B106" s="520" t="s">
        <v>1163</v>
      </c>
      <c r="C106" s="446" t="s">
        <v>828</v>
      </c>
      <c r="D106" s="553">
        <v>2080810</v>
      </c>
      <c r="E106" s="553">
        <v>2080810</v>
      </c>
    </row>
    <row r="107" spans="1:5" ht="27" customHeight="1" hidden="1">
      <c r="A107" s="625" t="s">
        <v>1293</v>
      </c>
      <c r="B107" s="445" t="s">
        <v>1294</v>
      </c>
      <c r="C107" s="446"/>
      <c r="D107" s="702">
        <f>D108</f>
        <v>0</v>
      </c>
      <c r="E107" s="702">
        <f>E108</f>
        <v>0</v>
      </c>
    </row>
    <row r="108" spans="1:5" ht="16.5" customHeight="1" hidden="1">
      <c r="A108" s="609" t="s">
        <v>704</v>
      </c>
      <c r="B108" s="445" t="s">
        <v>1294</v>
      </c>
      <c r="C108" s="446" t="s">
        <v>655</v>
      </c>
      <c r="D108" s="702"/>
      <c r="E108" s="702"/>
    </row>
    <row r="109" spans="1:5" ht="38.25" customHeight="1" hidden="1">
      <c r="A109" s="615" t="s">
        <v>1295</v>
      </c>
      <c r="B109" s="445" t="s">
        <v>1296</v>
      </c>
      <c r="C109" s="446"/>
      <c r="D109" s="702">
        <f>D110</f>
        <v>0</v>
      </c>
      <c r="E109" s="702">
        <f>E110</f>
        <v>0</v>
      </c>
    </row>
    <row r="110" spans="1:5" ht="15.75" customHeight="1" hidden="1">
      <c r="A110" s="609" t="s">
        <v>704</v>
      </c>
      <c r="B110" s="445" t="s">
        <v>1296</v>
      </c>
      <c r="C110" s="446" t="s">
        <v>655</v>
      </c>
      <c r="D110" s="702"/>
      <c r="E110" s="702"/>
    </row>
    <row r="111" spans="1:5" ht="66" customHeight="1">
      <c r="A111" s="707" t="s">
        <v>988</v>
      </c>
      <c r="B111" s="445" t="s">
        <v>989</v>
      </c>
      <c r="C111" s="446"/>
      <c r="D111" s="566">
        <f>D112+D113</f>
        <v>39608388</v>
      </c>
      <c r="E111" s="566">
        <f>E112+E113</f>
        <v>39608388</v>
      </c>
    </row>
    <row r="112" spans="1:5" ht="42" customHeight="1">
      <c r="A112" s="629" t="s">
        <v>642</v>
      </c>
      <c r="B112" s="445" t="s">
        <v>989</v>
      </c>
      <c r="C112" s="446" t="s">
        <v>643</v>
      </c>
      <c r="D112" s="553">
        <v>39098886</v>
      </c>
      <c r="E112" s="553">
        <v>39098886</v>
      </c>
    </row>
    <row r="113" spans="1:5" ht="25.5" customHeight="1">
      <c r="A113" s="609" t="s">
        <v>654</v>
      </c>
      <c r="B113" s="445" t="s">
        <v>989</v>
      </c>
      <c r="C113" s="446" t="s">
        <v>655</v>
      </c>
      <c r="D113" s="553">
        <v>509502</v>
      </c>
      <c r="E113" s="553">
        <v>509502</v>
      </c>
    </row>
    <row r="114" spans="1:5" ht="26.25" hidden="1">
      <c r="A114" s="707" t="s">
        <v>1006</v>
      </c>
      <c r="B114" s="445" t="s">
        <v>1223</v>
      </c>
      <c r="C114" s="446"/>
      <c r="D114" s="566">
        <f>D115</f>
        <v>0</v>
      </c>
      <c r="E114" s="566">
        <f>E115</f>
        <v>0</v>
      </c>
    </row>
    <row r="115" spans="1:5" ht="15" hidden="1">
      <c r="A115" s="710" t="s">
        <v>654</v>
      </c>
      <c r="B115" s="445" t="s">
        <v>1223</v>
      </c>
      <c r="C115" s="446" t="s">
        <v>655</v>
      </c>
      <c r="D115" s="566"/>
      <c r="E115" s="566"/>
    </row>
    <row r="116" spans="1:5" ht="0.75" customHeight="1" hidden="1">
      <c r="A116" s="707" t="s">
        <v>1008</v>
      </c>
      <c r="B116" s="445" t="s">
        <v>1224</v>
      </c>
      <c r="C116" s="446"/>
      <c r="D116" s="566">
        <f>D117</f>
        <v>0</v>
      </c>
      <c r="E116" s="566">
        <f>E117</f>
        <v>0</v>
      </c>
    </row>
    <row r="117" spans="1:5" ht="15" hidden="1">
      <c r="A117" s="710" t="s">
        <v>654</v>
      </c>
      <c r="B117" s="445" t="s">
        <v>1224</v>
      </c>
      <c r="C117" s="446" t="s">
        <v>655</v>
      </c>
      <c r="D117" s="566">
        <f>175343-175343</f>
        <v>0</v>
      </c>
      <c r="E117" s="566">
        <f>175343-175343</f>
        <v>0</v>
      </c>
    </row>
    <row r="118" spans="1:5" ht="26.25" hidden="1">
      <c r="A118" s="707" t="s">
        <v>1225</v>
      </c>
      <c r="B118" s="445" t="s">
        <v>1325</v>
      </c>
      <c r="C118" s="446"/>
      <c r="D118" s="566">
        <f>D119</f>
        <v>0</v>
      </c>
      <c r="E118" s="566">
        <f>E119</f>
        <v>0</v>
      </c>
    </row>
    <row r="119" spans="1:5" ht="26.25" hidden="1">
      <c r="A119" s="609" t="s">
        <v>654</v>
      </c>
      <c r="B119" s="445" t="s">
        <v>1325</v>
      </c>
      <c r="C119" s="446" t="s">
        <v>655</v>
      </c>
      <c r="D119" s="566"/>
      <c r="E119" s="566"/>
    </row>
    <row r="120" spans="1:5" ht="31.5" customHeight="1" hidden="1">
      <c r="A120" s="707" t="s">
        <v>1297</v>
      </c>
      <c r="B120" s="445" t="s">
        <v>1226</v>
      </c>
      <c r="C120" s="446"/>
      <c r="D120" s="553">
        <f>D121</f>
        <v>0</v>
      </c>
      <c r="E120" s="553">
        <f>E121</f>
        <v>0</v>
      </c>
    </row>
    <row r="121" spans="1:5" ht="26.25" hidden="1">
      <c r="A121" s="609" t="s">
        <v>654</v>
      </c>
      <c r="B121" s="445" t="s">
        <v>1226</v>
      </c>
      <c r="C121" s="446" t="s">
        <v>655</v>
      </c>
      <c r="D121" s="553"/>
      <c r="E121" s="553"/>
    </row>
    <row r="122" spans="1:5" ht="17.25" customHeight="1">
      <c r="A122" s="567" t="s">
        <v>816</v>
      </c>
      <c r="B122" s="445" t="s">
        <v>990</v>
      </c>
      <c r="C122" s="446"/>
      <c r="D122" s="566">
        <f>D123+D124+D125</f>
        <v>34951871</v>
      </c>
      <c r="E122" s="566">
        <f>E123+E124+E125</f>
        <v>33951871</v>
      </c>
    </row>
    <row r="123" spans="1:5" ht="44.25" customHeight="1">
      <c r="A123" s="609" t="s">
        <v>642</v>
      </c>
      <c r="B123" s="445" t="s">
        <v>990</v>
      </c>
      <c r="C123" s="446" t="s">
        <v>643</v>
      </c>
      <c r="D123" s="553">
        <v>18202400</v>
      </c>
      <c r="E123" s="553">
        <v>17202400</v>
      </c>
    </row>
    <row r="124" spans="1:5" ht="30" customHeight="1">
      <c r="A124" s="609" t="s">
        <v>654</v>
      </c>
      <c r="B124" s="445" t="s">
        <v>990</v>
      </c>
      <c r="C124" s="446" t="s">
        <v>655</v>
      </c>
      <c r="D124" s="553">
        <v>14825086</v>
      </c>
      <c r="E124" s="553">
        <v>14825086</v>
      </c>
    </row>
    <row r="125" spans="1:5" ht="18" customHeight="1">
      <c r="A125" s="567" t="s">
        <v>696</v>
      </c>
      <c r="B125" s="445" t="s">
        <v>990</v>
      </c>
      <c r="C125" s="446" t="s">
        <v>697</v>
      </c>
      <c r="D125" s="553">
        <v>1924385</v>
      </c>
      <c r="E125" s="553">
        <v>1924385</v>
      </c>
    </row>
    <row r="126" spans="1:5" ht="34.5" customHeight="1">
      <c r="A126" s="567" t="s">
        <v>1002</v>
      </c>
      <c r="B126" s="520" t="s">
        <v>1003</v>
      </c>
      <c r="C126" s="446"/>
      <c r="D126" s="566">
        <f>D131+D134+D136+D138+D144+D146+D148+D151+D142+D127+D129</f>
        <v>198657640</v>
      </c>
      <c r="E126" s="566">
        <f>E131+E134+E136+E138+E144+E146+E148+E151+E142+E127+E129</f>
        <v>198657640</v>
      </c>
    </row>
    <row r="127" spans="1:5" ht="25.5" hidden="1">
      <c r="A127" s="567" t="s">
        <v>1227</v>
      </c>
      <c r="B127" s="445" t="s">
        <v>1228</v>
      </c>
      <c r="C127" s="446"/>
      <c r="D127" s="553">
        <f>D128</f>
        <v>0</v>
      </c>
      <c r="E127" s="553">
        <f>E128</f>
        <v>0</v>
      </c>
    </row>
    <row r="128" spans="1:5" ht="26.25" hidden="1">
      <c r="A128" s="609" t="s">
        <v>654</v>
      </c>
      <c r="B128" s="445" t="s">
        <v>1228</v>
      </c>
      <c r="C128" s="446" t="s">
        <v>655</v>
      </c>
      <c r="D128" s="553"/>
      <c r="E128" s="553"/>
    </row>
    <row r="129" spans="1:5" ht="33.75" customHeight="1" hidden="1">
      <c r="A129" s="573" t="s">
        <v>1000</v>
      </c>
      <c r="B129" s="445" t="s">
        <v>1229</v>
      </c>
      <c r="C129" s="446"/>
      <c r="D129" s="553">
        <f>D130</f>
        <v>0</v>
      </c>
      <c r="E129" s="553">
        <f>E130</f>
        <v>0</v>
      </c>
    </row>
    <row r="130" spans="1:5" ht="26.25" hidden="1">
      <c r="A130" s="609" t="s">
        <v>654</v>
      </c>
      <c r="B130" s="445" t="s">
        <v>1229</v>
      </c>
      <c r="C130" s="446" t="s">
        <v>655</v>
      </c>
      <c r="D130" s="553"/>
      <c r="E130" s="553"/>
    </row>
    <row r="131" spans="1:5" ht="73.5" customHeight="1">
      <c r="A131" s="707" t="s">
        <v>1004</v>
      </c>
      <c r="B131" s="445" t="s">
        <v>1005</v>
      </c>
      <c r="C131" s="446"/>
      <c r="D131" s="566">
        <f>D132+D133</f>
        <v>169901716</v>
      </c>
      <c r="E131" s="566">
        <f>E132+E133</f>
        <v>169901716</v>
      </c>
    </row>
    <row r="132" spans="1:5" ht="45" customHeight="1">
      <c r="A132" s="609" t="s">
        <v>642</v>
      </c>
      <c r="B132" s="445" t="s">
        <v>1005</v>
      </c>
      <c r="C132" s="446" t="s">
        <v>643</v>
      </c>
      <c r="D132" s="553">
        <v>162981899</v>
      </c>
      <c r="E132" s="553">
        <v>162981899</v>
      </c>
    </row>
    <row r="133" spans="1:5" ht="30" customHeight="1">
      <c r="A133" s="609" t="s">
        <v>654</v>
      </c>
      <c r="B133" s="445" t="s">
        <v>1005</v>
      </c>
      <c r="C133" s="446" t="s">
        <v>655</v>
      </c>
      <c r="D133" s="553">
        <v>6919817</v>
      </c>
      <c r="E133" s="553">
        <v>6919817</v>
      </c>
    </row>
    <row r="134" spans="1:5" ht="15" hidden="1">
      <c r="A134" s="707" t="s">
        <v>1010</v>
      </c>
      <c r="B134" s="445" t="s">
        <v>1011</v>
      </c>
      <c r="C134" s="446"/>
      <c r="D134" s="566">
        <f>D135</f>
        <v>0</v>
      </c>
      <c r="E134" s="566">
        <f>E135</f>
        <v>0</v>
      </c>
    </row>
    <row r="135" spans="1:5" ht="0.75" customHeight="1" hidden="1">
      <c r="A135" s="609" t="s">
        <v>654</v>
      </c>
      <c r="B135" s="445" t="s">
        <v>1011</v>
      </c>
      <c r="C135" s="446" t="s">
        <v>655</v>
      </c>
      <c r="D135" s="566"/>
      <c r="E135" s="566"/>
    </row>
    <row r="136" spans="1:5" ht="15" hidden="1">
      <c r="A136" s="707" t="s">
        <v>1277</v>
      </c>
      <c r="B136" s="445" t="s">
        <v>1013</v>
      </c>
      <c r="C136" s="446"/>
      <c r="D136" s="566">
        <f>D137</f>
        <v>0</v>
      </c>
      <c r="E136" s="566">
        <f>E137</f>
        <v>0</v>
      </c>
    </row>
    <row r="137" spans="1:5" ht="26.25" hidden="1">
      <c r="A137" s="609" t="s">
        <v>654</v>
      </c>
      <c r="B137" s="445" t="s">
        <v>1013</v>
      </c>
      <c r="C137" s="446" t="s">
        <v>655</v>
      </c>
      <c r="D137" s="566"/>
      <c r="E137" s="566"/>
    </row>
    <row r="138" spans="1:5" ht="51.75" hidden="1">
      <c r="A138" s="707" t="s">
        <v>1014</v>
      </c>
      <c r="B138" s="445" t="s">
        <v>1015</v>
      </c>
      <c r="C138" s="446"/>
      <c r="D138" s="566">
        <f>D139</f>
        <v>0</v>
      </c>
      <c r="E138" s="566">
        <f>E139</f>
        <v>0</v>
      </c>
    </row>
    <row r="139" spans="1:5" ht="28.5" customHeight="1" hidden="1">
      <c r="A139" s="609" t="s">
        <v>654</v>
      </c>
      <c r="B139" s="445" t="s">
        <v>1015</v>
      </c>
      <c r="C139" s="446" t="s">
        <v>655</v>
      </c>
      <c r="D139" s="566"/>
      <c r="E139" s="566"/>
    </row>
    <row r="140" spans="1:5" ht="26.25" hidden="1">
      <c r="A140" s="707" t="s">
        <v>1006</v>
      </c>
      <c r="B140" s="445" t="s">
        <v>1007</v>
      </c>
      <c r="C140" s="446"/>
      <c r="D140" s="566">
        <f>D141</f>
        <v>0</v>
      </c>
      <c r="E140" s="566">
        <f>E141</f>
        <v>0</v>
      </c>
    </row>
    <row r="141" spans="1:5" ht="15" hidden="1">
      <c r="A141" s="710" t="s">
        <v>654</v>
      </c>
      <c r="B141" s="445" t="s">
        <v>1007</v>
      </c>
      <c r="C141" s="446"/>
      <c r="D141" s="566"/>
      <c r="E141" s="566"/>
    </row>
    <row r="142" spans="1:5" ht="26.25" hidden="1">
      <c r="A142" s="707" t="s">
        <v>1008</v>
      </c>
      <c r="B142" s="445" t="s">
        <v>1009</v>
      </c>
      <c r="C142" s="446"/>
      <c r="D142" s="566">
        <f>D143</f>
        <v>0</v>
      </c>
      <c r="E142" s="566">
        <f>E143</f>
        <v>0</v>
      </c>
    </row>
    <row r="143" spans="1:5" ht="15" hidden="1">
      <c r="A143" s="710" t="s">
        <v>654</v>
      </c>
      <c r="B143" s="445" t="s">
        <v>1009</v>
      </c>
      <c r="C143" s="446" t="s">
        <v>655</v>
      </c>
      <c r="D143" s="566">
        <f>1526555.5-1526555.5</f>
        <v>0</v>
      </c>
      <c r="E143" s="566">
        <f>1526555.5-1526555.5</f>
        <v>0</v>
      </c>
    </row>
    <row r="144" spans="1:5" ht="39" hidden="1">
      <c r="A144" s="707" t="s">
        <v>1298</v>
      </c>
      <c r="B144" s="445" t="s">
        <v>1017</v>
      </c>
      <c r="C144" s="446"/>
      <c r="D144" s="566">
        <f>D145</f>
        <v>0</v>
      </c>
      <c r="E144" s="566">
        <f>E145</f>
        <v>0</v>
      </c>
    </row>
    <row r="145" spans="1:5" ht="26.25" hidden="1">
      <c r="A145" s="609" t="s">
        <v>654</v>
      </c>
      <c r="B145" s="445" t="s">
        <v>1017</v>
      </c>
      <c r="C145" s="446" t="s">
        <v>655</v>
      </c>
      <c r="D145" s="566"/>
      <c r="E145" s="566"/>
    </row>
    <row r="146" spans="1:5" ht="15" hidden="1">
      <c r="A146" s="625" t="s">
        <v>1018</v>
      </c>
      <c r="B146" s="445" t="s">
        <v>1019</v>
      </c>
      <c r="C146" s="446"/>
      <c r="D146" s="566">
        <f>D147</f>
        <v>0</v>
      </c>
      <c r="E146" s="566">
        <f>E147</f>
        <v>0</v>
      </c>
    </row>
    <row r="147" spans="1:5" ht="47.25" customHeight="1" hidden="1">
      <c r="A147" s="609" t="s">
        <v>642</v>
      </c>
      <c r="B147" s="445" t="s">
        <v>1019</v>
      </c>
      <c r="C147" s="446" t="s">
        <v>643</v>
      </c>
      <c r="D147" s="553"/>
      <c r="E147" s="553"/>
    </row>
    <row r="148" spans="1:5" ht="17.25" customHeight="1">
      <c r="A148" s="567" t="s">
        <v>816</v>
      </c>
      <c r="B148" s="445" t="s">
        <v>1020</v>
      </c>
      <c r="C148" s="446"/>
      <c r="D148" s="566">
        <f>D149+D150</f>
        <v>28755924</v>
      </c>
      <c r="E148" s="566">
        <f>E149+E150</f>
        <v>28755924</v>
      </c>
    </row>
    <row r="149" spans="1:5" ht="27.75" customHeight="1">
      <c r="A149" s="609" t="s">
        <v>654</v>
      </c>
      <c r="B149" s="445" t="s">
        <v>1020</v>
      </c>
      <c r="C149" s="446" t="s">
        <v>655</v>
      </c>
      <c r="D149" s="553">
        <v>26683186</v>
      </c>
      <c r="E149" s="553">
        <v>26683186</v>
      </c>
    </row>
    <row r="150" spans="1:5" ht="16.5" customHeight="1">
      <c r="A150" s="567" t="s">
        <v>696</v>
      </c>
      <c r="B150" s="445" t="s">
        <v>1020</v>
      </c>
      <c r="C150" s="446" t="s">
        <v>697</v>
      </c>
      <c r="D150" s="553">
        <v>2072738</v>
      </c>
      <c r="E150" s="553">
        <v>2072738</v>
      </c>
    </row>
    <row r="151" spans="1:5" ht="21" customHeight="1" hidden="1">
      <c r="A151" s="609" t="s">
        <v>1021</v>
      </c>
      <c r="B151" s="445" t="s">
        <v>1022</v>
      </c>
      <c r="C151" s="446"/>
      <c r="D151" s="553">
        <f>D152</f>
        <v>0</v>
      </c>
      <c r="E151" s="553">
        <f>E152</f>
        <v>0</v>
      </c>
    </row>
    <row r="152" spans="1:5" ht="30.75" customHeight="1" hidden="1">
      <c r="A152" s="609" t="s">
        <v>654</v>
      </c>
      <c r="B152" s="445" t="s">
        <v>1022</v>
      </c>
      <c r="C152" s="446" t="s">
        <v>655</v>
      </c>
      <c r="D152" s="553"/>
      <c r="E152" s="553"/>
    </row>
    <row r="153" spans="1:5" ht="33" customHeight="1">
      <c r="A153" s="567" t="s">
        <v>1145</v>
      </c>
      <c r="B153" s="445" t="s">
        <v>1146</v>
      </c>
      <c r="C153" s="446"/>
      <c r="D153" s="566">
        <f>D158+D154+D156</f>
        <v>18966008</v>
      </c>
      <c r="E153" s="566">
        <f>E158+E154+E156</f>
        <v>18966008</v>
      </c>
    </row>
    <row r="154" spans="1:5" ht="33" customHeight="1" hidden="1">
      <c r="A154" s="707" t="s">
        <v>1232</v>
      </c>
      <c r="B154" s="445" t="s">
        <v>1233</v>
      </c>
      <c r="C154" s="446"/>
      <c r="D154" s="566">
        <f>D155</f>
        <v>0</v>
      </c>
      <c r="E154" s="566">
        <f>E155</f>
        <v>0</v>
      </c>
    </row>
    <row r="155" spans="1:5" ht="45" customHeight="1" hidden="1">
      <c r="A155" s="609" t="s">
        <v>642</v>
      </c>
      <c r="B155" s="445" t="s">
        <v>1233</v>
      </c>
      <c r="C155" s="446" t="s">
        <v>643</v>
      </c>
      <c r="D155" s="566"/>
      <c r="E155" s="566"/>
    </row>
    <row r="156" spans="1:5" ht="26.25" customHeight="1" hidden="1">
      <c r="A156" s="707" t="s">
        <v>1234</v>
      </c>
      <c r="B156" s="445" t="s">
        <v>1235</v>
      </c>
      <c r="C156" s="446"/>
      <c r="D156" s="566">
        <f>D157</f>
        <v>0</v>
      </c>
      <c r="E156" s="566">
        <f>E157</f>
        <v>0</v>
      </c>
    </row>
    <row r="157" spans="1:5" ht="44.25" customHeight="1" hidden="1">
      <c r="A157" s="609" t="s">
        <v>642</v>
      </c>
      <c r="B157" s="445" t="s">
        <v>1235</v>
      </c>
      <c r="C157" s="446" t="s">
        <v>643</v>
      </c>
      <c r="D157" s="566">
        <f>100000-100000</f>
        <v>0</v>
      </c>
      <c r="E157" s="566">
        <f>100000-100000</f>
        <v>0</v>
      </c>
    </row>
    <row r="158" spans="1:5" ht="58.5" customHeight="1">
      <c r="A158" s="707" t="s">
        <v>1147</v>
      </c>
      <c r="B158" s="445" t="s">
        <v>1148</v>
      </c>
      <c r="C158" s="446"/>
      <c r="D158" s="702">
        <f>D159+D160</f>
        <v>18966008</v>
      </c>
      <c r="E158" s="702">
        <f>E159+E160</f>
        <v>18966008</v>
      </c>
    </row>
    <row r="159" spans="1:5" ht="33" customHeight="1" hidden="1">
      <c r="A159" s="609" t="s">
        <v>654</v>
      </c>
      <c r="B159" s="445" t="s">
        <v>1148</v>
      </c>
      <c r="C159" s="446" t="s">
        <v>655</v>
      </c>
      <c r="D159" s="566"/>
      <c r="E159" s="566"/>
    </row>
    <row r="160" spans="1:5" ht="15.75" customHeight="1">
      <c r="A160" s="628" t="s">
        <v>827</v>
      </c>
      <c r="B160" s="445" t="s">
        <v>1148</v>
      </c>
      <c r="C160" s="446" t="s">
        <v>828</v>
      </c>
      <c r="D160" s="553">
        <v>18966008</v>
      </c>
      <c r="E160" s="553">
        <v>18966008</v>
      </c>
    </row>
    <row r="161" spans="1:5" s="461" customFormat="1" ht="48" customHeight="1">
      <c r="A161" s="609" t="s">
        <v>1035</v>
      </c>
      <c r="B161" s="445" t="s">
        <v>1036</v>
      </c>
      <c r="C161" s="446"/>
      <c r="D161" s="566">
        <f>D162+D167+D172</f>
        <v>31783463</v>
      </c>
      <c r="E161" s="566">
        <f>E162+E167+E172</f>
        <v>35331463</v>
      </c>
    </row>
    <row r="162" spans="1:5" ht="36.75" customHeight="1">
      <c r="A162" s="567" t="s">
        <v>1037</v>
      </c>
      <c r="B162" s="445" t="s">
        <v>1038</v>
      </c>
      <c r="C162" s="446"/>
      <c r="D162" s="566">
        <f>D163</f>
        <v>13612063</v>
      </c>
      <c r="E162" s="566">
        <f>E163</f>
        <v>15160063</v>
      </c>
    </row>
    <row r="163" spans="1:5" ht="15.75" customHeight="1">
      <c r="A163" s="567" t="s">
        <v>816</v>
      </c>
      <c r="B163" s="445" t="s">
        <v>1039</v>
      </c>
      <c r="C163" s="446"/>
      <c r="D163" s="566">
        <f>D164+D165+D166</f>
        <v>13612063</v>
      </c>
      <c r="E163" s="566">
        <f>E164+E165+E166</f>
        <v>15160063</v>
      </c>
    </row>
    <row r="164" spans="1:5" ht="47.25" customHeight="1">
      <c r="A164" s="609" t="s">
        <v>642</v>
      </c>
      <c r="B164" s="445" t="s">
        <v>1039</v>
      </c>
      <c r="C164" s="446" t="s">
        <v>643</v>
      </c>
      <c r="D164" s="553">
        <f>10400300+2452000</f>
        <v>12852300</v>
      </c>
      <c r="E164" s="553">
        <f>10400300+4000000</f>
        <v>14400300</v>
      </c>
    </row>
    <row r="165" spans="1:5" ht="33" customHeight="1">
      <c r="A165" s="609" t="s">
        <v>654</v>
      </c>
      <c r="B165" s="445" t="s">
        <v>1039</v>
      </c>
      <c r="C165" s="446" t="s">
        <v>655</v>
      </c>
      <c r="D165" s="553">
        <v>644300</v>
      </c>
      <c r="E165" s="553">
        <v>644300</v>
      </c>
    </row>
    <row r="166" spans="1:5" ht="20.25" customHeight="1">
      <c r="A166" s="567" t="s">
        <v>696</v>
      </c>
      <c r="B166" s="445" t="s">
        <v>1039</v>
      </c>
      <c r="C166" s="446" t="s">
        <v>697</v>
      </c>
      <c r="D166" s="553">
        <v>115463</v>
      </c>
      <c r="E166" s="553">
        <v>115463</v>
      </c>
    </row>
    <row r="167" spans="1:5" ht="19.5" customHeight="1">
      <c r="A167" s="567" t="s">
        <v>1040</v>
      </c>
      <c r="B167" s="445" t="s">
        <v>1041</v>
      </c>
      <c r="C167" s="446"/>
      <c r="D167" s="566">
        <f>D168</f>
        <v>16671400</v>
      </c>
      <c r="E167" s="566">
        <f>E168</f>
        <v>18671400</v>
      </c>
    </row>
    <row r="168" spans="1:5" ht="15.75" customHeight="1">
      <c r="A168" s="567" t="s">
        <v>816</v>
      </c>
      <c r="B168" s="445" t="s">
        <v>1042</v>
      </c>
      <c r="C168" s="446"/>
      <c r="D168" s="566">
        <f>D169+D170+D171</f>
        <v>16671400</v>
      </c>
      <c r="E168" s="566">
        <f>E169+E170+E171</f>
        <v>18671400</v>
      </c>
    </row>
    <row r="169" spans="1:5" ht="45" customHeight="1">
      <c r="A169" s="609" t="s">
        <v>642</v>
      </c>
      <c r="B169" s="445" t="s">
        <v>1042</v>
      </c>
      <c r="C169" s="446" t="s">
        <v>643</v>
      </c>
      <c r="D169" s="553">
        <v>15937600</v>
      </c>
      <c r="E169" s="553">
        <f>15937600+2000000</f>
        <v>17937600</v>
      </c>
    </row>
    <row r="170" spans="1:5" ht="27" customHeight="1">
      <c r="A170" s="609" t="s">
        <v>654</v>
      </c>
      <c r="B170" s="445" t="s">
        <v>1042</v>
      </c>
      <c r="C170" s="446" t="s">
        <v>655</v>
      </c>
      <c r="D170" s="553">
        <v>688100</v>
      </c>
      <c r="E170" s="553">
        <v>688100</v>
      </c>
    </row>
    <row r="171" spans="1:5" ht="16.5" customHeight="1">
      <c r="A171" s="567" t="s">
        <v>696</v>
      </c>
      <c r="B171" s="445" t="s">
        <v>1042</v>
      </c>
      <c r="C171" s="446" t="s">
        <v>697</v>
      </c>
      <c r="D171" s="553">
        <v>45700</v>
      </c>
      <c r="E171" s="553">
        <v>45700</v>
      </c>
    </row>
    <row r="172" spans="1:5" ht="29.25" customHeight="1">
      <c r="A172" s="565" t="s">
        <v>1149</v>
      </c>
      <c r="B172" s="445" t="s">
        <v>1150</v>
      </c>
      <c r="C172" s="446"/>
      <c r="D172" s="566">
        <f>D173</f>
        <v>1500000</v>
      </c>
      <c r="E172" s="566">
        <f>E173</f>
        <v>1500000</v>
      </c>
    </row>
    <row r="173" spans="1:5" ht="57" customHeight="1">
      <c r="A173" s="625" t="s">
        <v>1151</v>
      </c>
      <c r="B173" s="445" t="s">
        <v>1152</v>
      </c>
      <c r="C173" s="446"/>
      <c r="D173" s="566">
        <f>D174+D175</f>
        <v>1500000</v>
      </c>
      <c r="E173" s="566">
        <f>E174+E175</f>
        <v>1500000</v>
      </c>
    </row>
    <row r="174" spans="1:5" ht="26.25" hidden="1">
      <c r="A174" s="609" t="s">
        <v>654</v>
      </c>
      <c r="B174" s="445" t="s">
        <v>1152</v>
      </c>
      <c r="C174" s="446" t="s">
        <v>655</v>
      </c>
      <c r="D174" s="566"/>
      <c r="E174" s="566"/>
    </row>
    <row r="175" spans="1:5" ht="19.5" customHeight="1">
      <c r="A175" s="628" t="s">
        <v>827</v>
      </c>
      <c r="B175" s="445" t="s">
        <v>1152</v>
      </c>
      <c r="C175" s="446" t="s">
        <v>828</v>
      </c>
      <c r="D175" s="553">
        <v>1500000</v>
      </c>
      <c r="E175" s="553">
        <v>1500000</v>
      </c>
    </row>
    <row r="176" spans="1:5" s="461" customFormat="1" ht="43.5" customHeight="1">
      <c r="A176" s="711" t="s">
        <v>1070</v>
      </c>
      <c r="B176" s="445" t="s">
        <v>1071</v>
      </c>
      <c r="C176" s="446"/>
      <c r="D176" s="566">
        <f>D177+D182</f>
        <v>6348866</v>
      </c>
      <c r="E176" s="566">
        <f>E177+E182</f>
        <v>6348866</v>
      </c>
    </row>
    <row r="177" spans="1:5" ht="32.25" customHeight="1">
      <c r="A177" s="567" t="s">
        <v>1072</v>
      </c>
      <c r="B177" s="445" t="s">
        <v>1073</v>
      </c>
      <c r="C177" s="446"/>
      <c r="D177" s="566">
        <f>D178</f>
        <v>6125814</v>
      </c>
      <c r="E177" s="566">
        <f>E178</f>
        <v>6125814</v>
      </c>
    </row>
    <row r="178" spans="1:5" ht="18.75" customHeight="1">
      <c r="A178" s="567" t="s">
        <v>816</v>
      </c>
      <c r="B178" s="445" t="s">
        <v>1074</v>
      </c>
      <c r="C178" s="446"/>
      <c r="D178" s="566">
        <f>D179+D180+D181</f>
        <v>6125814</v>
      </c>
      <c r="E178" s="566">
        <f>E179+E180+E181</f>
        <v>6125814</v>
      </c>
    </row>
    <row r="179" spans="1:5" ht="42" customHeight="1">
      <c r="A179" s="609" t="s">
        <v>642</v>
      </c>
      <c r="B179" s="445" t="s">
        <v>1074</v>
      </c>
      <c r="C179" s="446" t="s">
        <v>643</v>
      </c>
      <c r="D179" s="553">
        <v>5573300</v>
      </c>
      <c r="E179" s="553">
        <v>5573300</v>
      </c>
    </row>
    <row r="180" spans="1:5" ht="27.75" customHeight="1">
      <c r="A180" s="609" t="s">
        <v>654</v>
      </c>
      <c r="B180" s="445" t="s">
        <v>1074</v>
      </c>
      <c r="C180" s="446" t="s">
        <v>655</v>
      </c>
      <c r="D180" s="553">
        <v>517200</v>
      </c>
      <c r="E180" s="553">
        <v>517200</v>
      </c>
    </row>
    <row r="181" spans="1:5" ht="16.5" customHeight="1">
      <c r="A181" s="567" t="s">
        <v>696</v>
      </c>
      <c r="B181" s="445" t="s">
        <v>1074</v>
      </c>
      <c r="C181" s="446" t="s">
        <v>697</v>
      </c>
      <c r="D181" s="553">
        <v>35314</v>
      </c>
      <c r="E181" s="553">
        <v>35314</v>
      </c>
    </row>
    <row r="182" spans="1:5" ht="27.75" customHeight="1">
      <c r="A182" s="567" t="s">
        <v>1075</v>
      </c>
      <c r="B182" s="445" t="s">
        <v>1076</v>
      </c>
      <c r="C182" s="446"/>
      <c r="D182" s="566">
        <f>D183+D185</f>
        <v>223052</v>
      </c>
      <c r="E182" s="566">
        <f>E183+E185</f>
        <v>223052</v>
      </c>
    </row>
    <row r="183" spans="1:5" ht="28.5" customHeight="1">
      <c r="A183" s="608" t="s">
        <v>1077</v>
      </c>
      <c r="B183" s="445" t="s">
        <v>1078</v>
      </c>
      <c r="C183" s="446"/>
      <c r="D183" s="566">
        <f>D184</f>
        <v>223052</v>
      </c>
      <c r="E183" s="566">
        <f>E184</f>
        <v>223052</v>
      </c>
    </row>
    <row r="184" spans="1:5" ht="39" customHeight="1">
      <c r="A184" s="609" t="s">
        <v>642</v>
      </c>
      <c r="B184" s="445" t="s">
        <v>1078</v>
      </c>
      <c r="C184" s="446" t="s">
        <v>643</v>
      </c>
      <c r="D184" s="553">
        <v>223052</v>
      </c>
      <c r="E184" s="553">
        <v>223052</v>
      </c>
    </row>
    <row r="185" spans="1:5" ht="16.5" customHeight="1" hidden="1">
      <c r="A185" s="609" t="s">
        <v>1021</v>
      </c>
      <c r="B185" s="445" t="s">
        <v>1079</v>
      </c>
      <c r="C185" s="446"/>
      <c r="D185" s="566">
        <f>D186</f>
        <v>0</v>
      </c>
      <c r="E185" s="566">
        <f>E186</f>
        <v>0</v>
      </c>
    </row>
    <row r="186" spans="1:5" ht="27" customHeight="1" hidden="1">
      <c r="A186" s="609" t="s">
        <v>654</v>
      </c>
      <c r="B186" s="445" t="s">
        <v>1079</v>
      </c>
      <c r="C186" s="446" t="s">
        <v>655</v>
      </c>
      <c r="D186" s="566"/>
      <c r="E186" s="566"/>
    </row>
    <row r="187" spans="1:5" ht="43.5" customHeight="1">
      <c r="A187" s="711" t="s">
        <v>893</v>
      </c>
      <c r="B187" s="445" t="s">
        <v>894</v>
      </c>
      <c r="C187" s="446"/>
      <c r="D187" s="566">
        <f>D188</f>
        <v>200000</v>
      </c>
      <c r="E187" s="566">
        <f>E188</f>
        <v>200000</v>
      </c>
    </row>
    <row r="188" spans="1:5" s="461" customFormat="1" ht="54" customHeight="1">
      <c r="A188" s="712" t="s">
        <v>895</v>
      </c>
      <c r="B188" s="445" t="s">
        <v>896</v>
      </c>
      <c r="C188" s="446"/>
      <c r="D188" s="566">
        <f>D189</f>
        <v>200000</v>
      </c>
      <c r="E188" s="566">
        <f>E189</f>
        <v>200000</v>
      </c>
    </row>
    <row r="189" spans="1:5" s="461" customFormat="1" ht="44.25" customHeight="1">
      <c r="A189" s="567" t="s">
        <v>897</v>
      </c>
      <c r="B189" s="445" t="s">
        <v>898</v>
      </c>
      <c r="C189" s="446"/>
      <c r="D189" s="553">
        <f>D190+D192</f>
        <v>200000</v>
      </c>
      <c r="E189" s="553">
        <f>E190+E192</f>
        <v>200000</v>
      </c>
    </row>
    <row r="190" spans="1:5" ht="18" customHeight="1" hidden="1">
      <c r="A190" s="608" t="s">
        <v>899</v>
      </c>
      <c r="B190" s="445" t="s">
        <v>900</v>
      </c>
      <c r="C190" s="446"/>
      <c r="D190" s="553">
        <f>D191</f>
        <v>0</v>
      </c>
      <c r="E190" s="553">
        <f>E191</f>
        <v>0</v>
      </c>
    </row>
    <row r="191" spans="1:5" ht="27" customHeight="1" hidden="1">
      <c r="A191" s="609" t="s">
        <v>654</v>
      </c>
      <c r="B191" s="445" t="s">
        <v>900</v>
      </c>
      <c r="C191" s="446" t="s">
        <v>655</v>
      </c>
      <c r="D191" s="553"/>
      <c r="E191" s="553"/>
    </row>
    <row r="192" spans="1:5" ht="18.75" customHeight="1">
      <c r="A192" s="608" t="s">
        <v>901</v>
      </c>
      <c r="B192" s="445" t="s">
        <v>902</v>
      </c>
      <c r="C192" s="446"/>
      <c r="D192" s="553">
        <f>D193</f>
        <v>200000</v>
      </c>
      <c r="E192" s="553">
        <f>E193</f>
        <v>200000</v>
      </c>
    </row>
    <row r="193" spans="1:5" ht="25.5" customHeight="1">
      <c r="A193" s="609" t="s">
        <v>654</v>
      </c>
      <c r="B193" s="445" t="s">
        <v>902</v>
      </c>
      <c r="C193" s="446" t="s">
        <v>655</v>
      </c>
      <c r="D193" s="553">
        <v>200000</v>
      </c>
      <c r="E193" s="553">
        <v>200000</v>
      </c>
    </row>
    <row r="194" spans="1:5" ht="42.75" customHeight="1" hidden="1">
      <c r="A194" s="713" t="s">
        <v>903</v>
      </c>
      <c r="B194" s="470" t="s">
        <v>904</v>
      </c>
      <c r="C194" s="446"/>
      <c r="D194" s="702">
        <f>D195</f>
        <v>0</v>
      </c>
      <c r="E194" s="702">
        <f>E195</f>
        <v>0</v>
      </c>
    </row>
    <row r="195" spans="1:5" s="461" customFormat="1" ht="67.5" customHeight="1" hidden="1">
      <c r="A195" s="708" t="s">
        <v>1210</v>
      </c>
      <c r="B195" s="470" t="s">
        <v>906</v>
      </c>
      <c r="C195" s="446"/>
      <c r="D195" s="702">
        <f>D197</f>
        <v>0</v>
      </c>
      <c r="E195" s="702">
        <f>E197</f>
        <v>0</v>
      </c>
    </row>
    <row r="196" spans="1:5" s="461" customFormat="1" ht="31.5" customHeight="1" hidden="1">
      <c r="A196" s="567" t="s">
        <v>907</v>
      </c>
      <c r="B196" s="470" t="s">
        <v>908</v>
      </c>
      <c r="C196" s="446"/>
      <c r="D196" s="702">
        <f>D197</f>
        <v>0</v>
      </c>
      <c r="E196" s="702">
        <f>E197</f>
        <v>0</v>
      </c>
    </row>
    <row r="197" spans="1:5" ht="15.75" hidden="1">
      <c r="A197" s="606" t="s">
        <v>909</v>
      </c>
      <c r="B197" s="470" t="s">
        <v>910</v>
      </c>
      <c r="C197" s="446"/>
      <c r="D197" s="702">
        <f>D198</f>
        <v>0</v>
      </c>
      <c r="E197" s="702">
        <f>E198</f>
        <v>0</v>
      </c>
    </row>
    <row r="198" spans="1:5" ht="26.25" hidden="1">
      <c r="A198" s="609" t="s">
        <v>654</v>
      </c>
      <c r="B198" s="470" t="s">
        <v>910</v>
      </c>
      <c r="C198" s="446" t="s">
        <v>655</v>
      </c>
      <c r="D198" s="702"/>
      <c r="E198" s="702"/>
    </row>
    <row r="199" spans="1:5" ht="39">
      <c r="A199" s="606" t="s">
        <v>948</v>
      </c>
      <c r="B199" s="470" t="s">
        <v>949</v>
      </c>
      <c r="C199" s="456"/>
      <c r="D199" s="566">
        <f>D200</f>
        <v>500000</v>
      </c>
      <c r="E199" s="566">
        <f>E200</f>
        <v>500000</v>
      </c>
    </row>
    <row r="200" spans="1:5" s="461" customFormat="1" ht="51.75">
      <c r="A200" s="714" t="s">
        <v>950</v>
      </c>
      <c r="B200" s="474" t="s">
        <v>951</v>
      </c>
      <c r="C200" s="456"/>
      <c r="D200" s="566">
        <f>D201</f>
        <v>500000</v>
      </c>
      <c r="E200" s="566">
        <f>E201</f>
        <v>500000</v>
      </c>
    </row>
    <row r="201" spans="1:5" ht="24.75" customHeight="1">
      <c r="A201" s="567" t="s">
        <v>952</v>
      </c>
      <c r="B201" s="474" t="s">
        <v>1212</v>
      </c>
      <c r="C201" s="456"/>
      <c r="D201" s="566">
        <f>D202+D204+D206+D208</f>
        <v>500000</v>
      </c>
      <c r="E201" s="566">
        <f>E202+E204+E206+E208</f>
        <v>500000</v>
      </c>
    </row>
    <row r="202" spans="1:5" ht="39" hidden="1">
      <c r="A202" s="707" t="s">
        <v>1262</v>
      </c>
      <c r="B202" s="474" t="s">
        <v>1263</v>
      </c>
      <c r="C202" s="456"/>
      <c r="D202" s="566">
        <f>D203</f>
        <v>0</v>
      </c>
      <c r="E202" s="566">
        <f>E203</f>
        <v>0</v>
      </c>
    </row>
    <row r="203" spans="1:5" ht="15" hidden="1">
      <c r="A203" s="625" t="s">
        <v>814</v>
      </c>
      <c r="B203" s="474" t="s">
        <v>1263</v>
      </c>
      <c r="C203" s="456" t="s">
        <v>815</v>
      </c>
      <c r="D203" s="566"/>
      <c r="E203" s="566"/>
    </row>
    <row r="204" spans="1:5" ht="51.75" hidden="1">
      <c r="A204" s="707" t="s">
        <v>1264</v>
      </c>
      <c r="B204" s="474" t="s">
        <v>1265</v>
      </c>
      <c r="C204" s="456"/>
      <c r="D204" s="566">
        <f>D205</f>
        <v>0</v>
      </c>
      <c r="E204" s="566">
        <f>E205</f>
        <v>0</v>
      </c>
    </row>
    <row r="205" spans="1:5" ht="15" hidden="1">
      <c r="A205" s="625" t="s">
        <v>814</v>
      </c>
      <c r="B205" s="474" t="s">
        <v>1265</v>
      </c>
      <c r="C205" s="456" t="s">
        <v>815</v>
      </c>
      <c r="D205" s="566"/>
      <c r="E205" s="566"/>
    </row>
    <row r="206" spans="1:5" ht="25.5" hidden="1">
      <c r="A206" s="573" t="s">
        <v>953</v>
      </c>
      <c r="B206" s="474" t="s">
        <v>1266</v>
      </c>
      <c r="C206" s="456"/>
      <c r="D206" s="566">
        <f>D207</f>
        <v>0</v>
      </c>
      <c r="E206" s="566">
        <f>E207</f>
        <v>0</v>
      </c>
    </row>
    <row r="207" spans="1:5" ht="15" hidden="1">
      <c r="A207" s="625" t="s">
        <v>814</v>
      </c>
      <c r="B207" s="474" t="s">
        <v>1266</v>
      </c>
      <c r="C207" s="456" t="s">
        <v>815</v>
      </c>
      <c r="D207" s="566"/>
      <c r="E207" s="566"/>
    </row>
    <row r="208" spans="1:5" ht="38.25">
      <c r="A208" s="614" t="s">
        <v>955</v>
      </c>
      <c r="B208" s="474" t="s">
        <v>956</v>
      </c>
      <c r="C208" s="456"/>
      <c r="D208" s="566">
        <f>D209</f>
        <v>500000</v>
      </c>
      <c r="E208" s="566">
        <f>E209</f>
        <v>500000</v>
      </c>
    </row>
    <row r="209" spans="1:5" ht="15">
      <c r="A209" s="625" t="s">
        <v>814</v>
      </c>
      <c r="B209" s="474" t="s">
        <v>956</v>
      </c>
      <c r="C209" s="456" t="s">
        <v>815</v>
      </c>
      <c r="D209" s="553">
        <f>970000-470000</f>
        <v>500000</v>
      </c>
      <c r="E209" s="553">
        <f>970000-470000</f>
        <v>500000</v>
      </c>
    </row>
    <row r="210" spans="1:5" ht="42" customHeight="1">
      <c r="A210" s="714" t="s">
        <v>957</v>
      </c>
      <c r="B210" s="485" t="s">
        <v>912</v>
      </c>
      <c r="C210" s="446"/>
      <c r="D210" s="702">
        <f>D222+D211</f>
        <v>830000</v>
      </c>
      <c r="E210" s="702">
        <f>E222+E211</f>
        <v>830000</v>
      </c>
    </row>
    <row r="211" spans="1:5" s="461" customFormat="1" ht="64.5" hidden="1">
      <c r="A211" s="715" t="s">
        <v>1299</v>
      </c>
      <c r="B211" s="474" t="s">
        <v>1300</v>
      </c>
      <c r="C211" s="456"/>
      <c r="D211" s="702">
        <f>D212+D215</f>
        <v>0</v>
      </c>
      <c r="E211" s="702">
        <f>E212+E215</f>
        <v>0</v>
      </c>
    </row>
    <row r="212" spans="1:5" ht="25.5" hidden="1">
      <c r="A212" s="567" t="s">
        <v>1301</v>
      </c>
      <c r="B212" s="470" t="s">
        <v>1302</v>
      </c>
      <c r="C212" s="456"/>
      <c r="D212" s="702">
        <f>D214</f>
        <v>0</v>
      </c>
      <c r="E212" s="702">
        <f>E214</f>
        <v>0</v>
      </c>
    </row>
    <row r="213" spans="1:5" ht="15.75" hidden="1">
      <c r="A213" s="625" t="s">
        <v>1303</v>
      </c>
      <c r="B213" s="474" t="s">
        <v>1304</v>
      </c>
      <c r="C213" s="456"/>
      <c r="D213" s="702">
        <f>D214</f>
        <v>0</v>
      </c>
      <c r="E213" s="702">
        <f>E214</f>
        <v>0</v>
      </c>
    </row>
    <row r="214" spans="1:5" ht="15.75" hidden="1">
      <c r="A214" s="625" t="s">
        <v>814</v>
      </c>
      <c r="B214" s="474" t="s">
        <v>1304</v>
      </c>
      <c r="C214" s="456" t="s">
        <v>815</v>
      </c>
      <c r="D214" s="702"/>
      <c r="E214" s="702"/>
    </row>
    <row r="215" spans="1:5" ht="26.25" hidden="1">
      <c r="A215" s="607" t="s">
        <v>1305</v>
      </c>
      <c r="B215" s="470" t="s">
        <v>1306</v>
      </c>
      <c r="C215" s="456"/>
      <c r="D215" s="702">
        <f>D216</f>
        <v>0</v>
      </c>
      <c r="E215" s="702">
        <f>E216</f>
        <v>0</v>
      </c>
    </row>
    <row r="216" spans="1:5" ht="15.75" hidden="1">
      <c r="A216" s="608" t="s">
        <v>1307</v>
      </c>
      <c r="B216" s="474" t="s">
        <v>1308</v>
      </c>
      <c r="C216" s="456"/>
      <c r="D216" s="702">
        <f>D217</f>
        <v>0</v>
      </c>
      <c r="E216" s="702">
        <f>E217</f>
        <v>0</v>
      </c>
    </row>
    <row r="217" spans="1:5" ht="15.75" hidden="1">
      <c r="A217" s="625" t="s">
        <v>814</v>
      </c>
      <c r="B217" s="474" t="s">
        <v>1308</v>
      </c>
      <c r="C217" s="456" t="s">
        <v>815</v>
      </c>
      <c r="D217" s="702"/>
      <c r="E217" s="702"/>
    </row>
    <row r="218" spans="1:5" ht="15.75" hidden="1">
      <c r="A218" s="625" t="s">
        <v>1303</v>
      </c>
      <c r="B218" s="474" t="s">
        <v>1309</v>
      </c>
      <c r="C218" s="456"/>
      <c r="D218" s="702">
        <f>D219</f>
        <v>0</v>
      </c>
      <c r="E218" s="702">
        <f>E219</f>
        <v>0</v>
      </c>
    </row>
    <row r="219" spans="1:5" ht="15.75" hidden="1">
      <c r="A219" s="625" t="s">
        <v>814</v>
      </c>
      <c r="B219" s="474" t="s">
        <v>1309</v>
      </c>
      <c r="C219" s="456" t="s">
        <v>815</v>
      </c>
      <c r="D219" s="702"/>
      <c r="E219" s="702"/>
    </row>
    <row r="220" spans="1:5" ht="15.75" hidden="1">
      <c r="A220" s="625" t="s">
        <v>1310</v>
      </c>
      <c r="B220" s="474" t="s">
        <v>1311</v>
      </c>
      <c r="C220" s="456"/>
      <c r="D220" s="702">
        <f>D221</f>
        <v>0</v>
      </c>
      <c r="E220" s="702">
        <f>E221</f>
        <v>0</v>
      </c>
    </row>
    <row r="221" spans="1:5" ht="15.75" hidden="1">
      <c r="A221" s="625" t="s">
        <v>814</v>
      </c>
      <c r="B221" s="474" t="s">
        <v>1311</v>
      </c>
      <c r="C221" s="456" t="s">
        <v>815</v>
      </c>
      <c r="D221" s="702"/>
      <c r="E221" s="702"/>
    </row>
    <row r="222" spans="1:5" s="461" customFormat="1" ht="62.25" customHeight="1">
      <c r="A222" s="708" t="s">
        <v>1312</v>
      </c>
      <c r="B222" s="485" t="s">
        <v>914</v>
      </c>
      <c r="C222" s="446"/>
      <c r="D222" s="702">
        <f>D223+D230+D236+D245+D239</f>
        <v>830000</v>
      </c>
      <c r="E222" s="702">
        <f>E223+E230+E236+E245+E239</f>
        <v>830000</v>
      </c>
    </row>
    <row r="223" spans="1:5" s="461" customFormat="1" ht="26.25" hidden="1">
      <c r="A223" s="716" t="s">
        <v>1334</v>
      </c>
      <c r="B223" s="470" t="s">
        <v>1335</v>
      </c>
      <c r="C223" s="456"/>
      <c r="D223" s="702">
        <f>D224+D226+D228</f>
        <v>0</v>
      </c>
      <c r="E223" s="702">
        <f>E224+E226+E228</f>
        <v>0</v>
      </c>
    </row>
    <row r="224" spans="1:5" s="461" customFormat="1" ht="39" hidden="1">
      <c r="A224" s="608" t="s">
        <v>1336</v>
      </c>
      <c r="B224" s="470" t="s">
        <v>1337</v>
      </c>
      <c r="C224" s="456"/>
      <c r="D224" s="702">
        <f>D225</f>
        <v>0</v>
      </c>
      <c r="E224" s="702">
        <f>E225</f>
        <v>0</v>
      </c>
    </row>
    <row r="225" spans="1:5" s="461" customFormat="1" ht="15.75" hidden="1">
      <c r="A225" s="625" t="s">
        <v>814</v>
      </c>
      <c r="B225" s="470" t="s">
        <v>1337</v>
      </c>
      <c r="C225" s="456" t="s">
        <v>815</v>
      </c>
      <c r="D225" s="702"/>
      <c r="E225" s="702"/>
    </row>
    <row r="226" spans="1:5" s="461" customFormat="1" ht="26.25" hidden="1">
      <c r="A226" s="608" t="s">
        <v>1338</v>
      </c>
      <c r="B226" s="470" t="s">
        <v>1339</v>
      </c>
      <c r="C226" s="456"/>
      <c r="D226" s="702">
        <f>D227</f>
        <v>0</v>
      </c>
      <c r="E226" s="702">
        <f>E227</f>
        <v>0</v>
      </c>
    </row>
    <row r="227" spans="1:5" s="461" customFormat="1" ht="15.75" hidden="1">
      <c r="A227" s="625" t="s">
        <v>814</v>
      </c>
      <c r="B227" s="470" t="s">
        <v>1339</v>
      </c>
      <c r="C227" s="456" t="s">
        <v>815</v>
      </c>
      <c r="D227" s="702"/>
      <c r="E227" s="702"/>
    </row>
    <row r="228" spans="1:5" s="461" customFormat="1" ht="26.25" hidden="1">
      <c r="A228" s="608" t="s">
        <v>1338</v>
      </c>
      <c r="B228" s="470" t="s">
        <v>1340</v>
      </c>
      <c r="C228" s="456"/>
      <c r="D228" s="702">
        <f>D229</f>
        <v>0</v>
      </c>
      <c r="E228" s="702">
        <f>E229</f>
        <v>0</v>
      </c>
    </row>
    <row r="229" spans="1:5" s="461" customFormat="1" ht="15.75" hidden="1">
      <c r="A229" s="625" t="s">
        <v>814</v>
      </c>
      <c r="B229" s="470" t="s">
        <v>1340</v>
      </c>
      <c r="C229" s="456" t="s">
        <v>815</v>
      </c>
      <c r="D229" s="702"/>
      <c r="E229" s="702"/>
    </row>
    <row r="230" spans="1:5" s="461" customFormat="1" ht="25.5" hidden="1">
      <c r="A230" s="567" t="s">
        <v>991</v>
      </c>
      <c r="B230" s="470" t="s">
        <v>992</v>
      </c>
      <c r="C230" s="456"/>
      <c r="D230" s="702">
        <f>D231+D233</f>
        <v>0</v>
      </c>
      <c r="E230" s="702">
        <f>E231+E233</f>
        <v>0</v>
      </c>
    </row>
    <row r="231" spans="1:5" s="461" customFormat="1" ht="24" hidden="1">
      <c r="A231" s="579" t="s">
        <v>993</v>
      </c>
      <c r="B231" s="470" t="s">
        <v>994</v>
      </c>
      <c r="C231" s="456"/>
      <c r="D231" s="702">
        <f>D232</f>
        <v>0</v>
      </c>
      <c r="E231" s="702">
        <f>E232</f>
        <v>0</v>
      </c>
    </row>
    <row r="232" spans="1:5" s="461" customFormat="1" ht="15.75" hidden="1">
      <c r="A232" s="625" t="s">
        <v>814</v>
      </c>
      <c r="B232" s="470" t="s">
        <v>994</v>
      </c>
      <c r="C232" s="456" t="s">
        <v>815</v>
      </c>
      <c r="D232" s="702"/>
      <c r="E232" s="702"/>
    </row>
    <row r="233" spans="1:5" s="461" customFormat="1" ht="28.5" customHeight="1" hidden="1">
      <c r="A233" s="579" t="s">
        <v>995</v>
      </c>
      <c r="B233" s="470" t="s">
        <v>996</v>
      </c>
      <c r="C233" s="456"/>
      <c r="D233" s="702">
        <f>D235+D234</f>
        <v>0</v>
      </c>
      <c r="E233" s="702">
        <f>E235+E234</f>
        <v>0</v>
      </c>
    </row>
    <row r="234" spans="1:5" s="461" customFormat="1" ht="21" customHeight="1" hidden="1">
      <c r="A234" s="609" t="s">
        <v>870</v>
      </c>
      <c r="B234" s="470" t="s">
        <v>996</v>
      </c>
      <c r="C234" s="456" t="s">
        <v>871</v>
      </c>
      <c r="D234" s="702"/>
      <c r="E234" s="702"/>
    </row>
    <row r="235" spans="1:5" s="461" customFormat="1" ht="15.75" hidden="1">
      <c r="A235" s="625" t="s">
        <v>814</v>
      </c>
      <c r="B235" s="470" t="s">
        <v>996</v>
      </c>
      <c r="C235" s="456" t="s">
        <v>815</v>
      </c>
      <c r="D235" s="717"/>
      <c r="E235" s="717"/>
    </row>
    <row r="236" spans="1:5" s="461" customFormat="1" ht="30.75" customHeight="1">
      <c r="A236" s="567" t="s">
        <v>960</v>
      </c>
      <c r="B236" s="470" t="s">
        <v>961</v>
      </c>
      <c r="C236" s="456"/>
      <c r="D236" s="566">
        <f>D237</f>
        <v>500000</v>
      </c>
      <c r="E236" s="566">
        <f>E237</f>
        <v>500000</v>
      </c>
    </row>
    <row r="237" spans="1:5" s="461" customFormat="1" ht="39">
      <c r="A237" s="608" t="s">
        <v>962</v>
      </c>
      <c r="B237" s="470" t="s">
        <v>963</v>
      </c>
      <c r="C237" s="456"/>
      <c r="D237" s="566">
        <f>D238</f>
        <v>500000</v>
      </c>
      <c r="E237" s="566">
        <f>E238</f>
        <v>500000</v>
      </c>
    </row>
    <row r="238" spans="1:5" s="461" customFormat="1" ht="15">
      <c r="A238" s="625" t="s">
        <v>814</v>
      </c>
      <c r="B238" s="470" t="s">
        <v>963</v>
      </c>
      <c r="C238" s="456" t="s">
        <v>815</v>
      </c>
      <c r="D238" s="566">
        <v>500000</v>
      </c>
      <c r="E238" s="566">
        <v>500000</v>
      </c>
    </row>
    <row r="239" spans="1:5" s="461" customFormat="1" ht="0.75" customHeight="1" hidden="1">
      <c r="A239" s="609" t="s">
        <v>941</v>
      </c>
      <c r="B239" s="445" t="s">
        <v>942</v>
      </c>
      <c r="C239" s="456"/>
      <c r="D239" s="553">
        <f>D240+D242</f>
        <v>0</v>
      </c>
      <c r="E239" s="553">
        <f>E240+E242</f>
        <v>0</v>
      </c>
    </row>
    <row r="240" spans="1:5" s="461" customFormat="1" ht="26.25" hidden="1">
      <c r="A240" s="609" t="s">
        <v>943</v>
      </c>
      <c r="B240" s="445" t="s">
        <v>944</v>
      </c>
      <c r="C240" s="456"/>
      <c r="D240" s="553">
        <f>D241</f>
        <v>0</v>
      </c>
      <c r="E240" s="553">
        <f>E241</f>
        <v>0</v>
      </c>
    </row>
    <row r="241" spans="1:5" s="461" customFormat="1" ht="22.5" customHeight="1" hidden="1">
      <c r="A241" s="625" t="s">
        <v>814</v>
      </c>
      <c r="B241" s="445" t="s">
        <v>944</v>
      </c>
      <c r="C241" s="456" t="s">
        <v>815</v>
      </c>
      <c r="D241" s="553"/>
      <c r="E241" s="553"/>
    </row>
    <row r="242" spans="1:5" s="461" customFormat="1" ht="26.25" hidden="1">
      <c r="A242" s="625" t="s">
        <v>945</v>
      </c>
      <c r="B242" s="445" t="s">
        <v>946</v>
      </c>
      <c r="C242" s="456"/>
      <c r="D242" s="553">
        <f>D244+D243</f>
        <v>0</v>
      </c>
      <c r="E242" s="553">
        <f>E244+E243</f>
        <v>0</v>
      </c>
    </row>
    <row r="243" spans="1:5" s="461" customFormat="1" ht="26.25" hidden="1">
      <c r="A243" s="609" t="s">
        <v>654</v>
      </c>
      <c r="B243" s="445" t="s">
        <v>946</v>
      </c>
      <c r="C243" s="456" t="s">
        <v>655</v>
      </c>
      <c r="D243" s="553"/>
      <c r="E243" s="553"/>
    </row>
    <row r="244" spans="1:5" s="461" customFormat="1" ht="26.25" hidden="1">
      <c r="A244" s="625" t="s">
        <v>870</v>
      </c>
      <c r="B244" s="445" t="s">
        <v>946</v>
      </c>
      <c r="C244" s="456" t="s">
        <v>871</v>
      </c>
      <c r="D244" s="553"/>
      <c r="E244" s="553"/>
    </row>
    <row r="245" spans="1:5" s="461" customFormat="1" ht="29.25" customHeight="1">
      <c r="A245" s="567" t="s">
        <v>915</v>
      </c>
      <c r="B245" s="470" t="s">
        <v>916</v>
      </c>
      <c r="C245" s="456"/>
      <c r="D245" s="566">
        <f>D250+D247+D248</f>
        <v>330000</v>
      </c>
      <c r="E245" s="566">
        <f>E250+E247+E248</f>
        <v>330000</v>
      </c>
    </row>
    <row r="246" spans="1:5" s="461" customFormat="1" ht="30" customHeight="1" hidden="1">
      <c r="A246" s="567" t="s">
        <v>917</v>
      </c>
      <c r="B246" s="470" t="s">
        <v>918</v>
      </c>
      <c r="C246" s="456"/>
      <c r="D246" s="566">
        <f>D247</f>
        <v>0</v>
      </c>
      <c r="E246" s="566">
        <f>E247</f>
        <v>0</v>
      </c>
    </row>
    <row r="247" spans="1:5" s="461" customFormat="1" ht="15" hidden="1">
      <c r="A247" s="625" t="s">
        <v>814</v>
      </c>
      <c r="B247" s="470" t="s">
        <v>918</v>
      </c>
      <c r="C247" s="456" t="s">
        <v>815</v>
      </c>
      <c r="D247" s="566"/>
      <c r="E247" s="566"/>
    </row>
    <row r="248" spans="1:5" s="461" customFormat="1" ht="30" customHeight="1">
      <c r="A248" s="567" t="s">
        <v>919</v>
      </c>
      <c r="B248" s="470" t="s">
        <v>920</v>
      </c>
      <c r="C248" s="456"/>
      <c r="D248" s="566">
        <f>D249</f>
        <v>330000</v>
      </c>
      <c r="E248" s="566">
        <f>E249</f>
        <v>330000</v>
      </c>
    </row>
    <row r="249" spans="1:5" s="461" customFormat="1" ht="23.25" customHeight="1">
      <c r="A249" s="625" t="s">
        <v>814</v>
      </c>
      <c r="B249" s="470" t="s">
        <v>920</v>
      </c>
      <c r="C249" s="456" t="s">
        <v>815</v>
      </c>
      <c r="D249" s="553">
        <f>877632-547632</f>
        <v>330000</v>
      </c>
      <c r="E249" s="553">
        <f>877632-547632</f>
        <v>330000</v>
      </c>
    </row>
    <row r="250" spans="1:5" s="461" customFormat="1" ht="30" customHeight="1" hidden="1">
      <c r="A250" s="625" t="s">
        <v>921</v>
      </c>
      <c r="B250" s="470" t="s">
        <v>922</v>
      </c>
      <c r="C250" s="456"/>
      <c r="D250" s="566">
        <f>D251</f>
        <v>0</v>
      </c>
      <c r="E250" s="566">
        <f>E251</f>
        <v>0</v>
      </c>
    </row>
    <row r="251" spans="1:5" s="461" customFormat="1" ht="15" hidden="1">
      <c r="A251" s="625" t="s">
        <v>814</v>
      </c>
      <c r="B251" s="470" t="s">
        <v>922</v>
      </c>
      <c r="C251" s="456" t="s">
        <v>815</v>
      </c>
      <c r="D251" s="566">
        <f>400000-400000</f>
        <v>0</v>
      </c>
      <c r="E251" s="566">
        <f>400000-400000</f>
        <v>0</v>
      </c>
    </row>
    <row r="252" spans="1:5" ht="45" customHeight="1">
      <c r="A252" s="567" t="s">
        <v>1044</v>
      </c>
      <c r="B252" s="474" t="s">
        <v>1045</v>
      </c>
      <c r="C252" s="446"/>
      <c r="D252" s="566">
        <f>D253+D258+D268</f>
        <v>3364503</v>
      </c>
      <c r="E252" s="566">
        <f>E253+E258+E268</f>
        <v>3337190</v>
      </c>
    </row>
    <row r="253" spans="1:5" s="461" customFormat="1" ht="63" customHeight="1">
      <c r="A253" s="567" t="s">
        <v>1046</v>
      </c>
      <c r="B253" s="474" t="s">
        <v>1047</v>
      </c>
      <c r="C253" s="481"/>
      <c r="D253" s="566">
        <f>D254</f>
        <v>85000</v>
      </c>
      <c r="E253" s="566">
        <f>E254</f>
        <v>85000</v>
      </c>
    </row>
    <row r="254" spans="1:5" ht="45" customHeight="1">
      <c r="A254" s="567" t="s">
        <v>1048</v>
      </c>
      <c r="B254" s="474" t="s">
        <v>1049</v>
      </c>
      <c r="C254" s="481"/>
      <c r="D254" s="566">
        <f>D255</f>
        <v>85000</v>
      </c>
      <c r="E254" s="566">
        <f>E255</f>
        <v>85000</v>
      </c>
    </row>
    <row r="255" spans="1:5" ht="15.75" customHeight="1">
      <c r="A255" s="567" t="s">
        <v>1050</v>
      </c>
      <c r="B255" s="474" t="s">
        <v>1051</v>
      </c>
      <c r="C255" s="481"/>
      <c r="D255" s="566">
        <f>D256+D257</f>
        <v>85000</v>
      </c>
      <c r="E255" s="566">
        <f>E256+E257</f>
        <v>85000</v>
      </c>
    </row>
    <row r="256" spans="1:5" s="461" customFormat="1" ht="26.25">
      <c r="A256" s="609" t="s">
        <v>654</v>
      </c>
      <c r="B256" s="474" t="s">
        <v>1051</v>
      </c>
      <c r="C256" s="481" t="s">
        <v>655</v>
      </c>
      <c r="D256" s="566">
        <f>85000-20000</f>
        <v>65000</v>
      </c>
      <c r="E256" s="566">
        <f>85000-20000</f>
        <v>65000</v>
      </c>
    </row>
    <row r="257" spans="1:5" s="461" customFormat="1" ht="15">
      <c r="A257" s="607" t="s">
        <v>827</v>
      </c>
      <c r="B257" s="474" t="s">
        <v>1051</v>
      </c>
      <c r="C257" s="481" t="s">
        <v>828</v>
      </c>
      <c r="D257" s="566">
        <f>20000</f>
        <v>20000</v>
      </c>
      <c r="E257" s="566">
        <f>20000</f>
        <v>20000</v>
      </c>
    </row>
    <row r="258" spans="1:5" s="461" customFormat="1" ht="68.25" customHeight="1">
      <c r="A258" s="708" t="s">
        <v>1166</v>
      </c>
      <c r="B258" s="474" t="s">
        <v>1167</v>
      </c>
      <c r="C258" s="446"/>
      <c r="D258" s="566">
        <f>D259+D263</f>
        <v>100000</v>
      </c>
      <c r="E258" s="566">
        <f>E259+E263</f>
        <v>100000</v>
      </c>
    </row>
    <row r="259" spans="1:5" s="461" customFormat="1" ht="44.25" customHeight="1">
      <c r="A259" s="708" t="s">
        <v>1168</v>
      </c>
      <c r="B259" s="474" t="s">
        <v>1169</v>
      </c>
      <c r="C259" s="446"/>
      <c r="D259" s="566">
        <f>D260</f>
        <v>100000</v>
      </c>
      <c r="E259" s="566">
        <f>E260</f>
        <v>100000</v>
      </c>
    </row>
    <row r="260" spans="1:5" ht="39">
      <c r="A260" s="607" t="s">
        <v>1170</v>
      </c>
      <c r="B260" s="474" t="s">
        <v>1171</v>
      </c>
      <c r="C260" s="446"/>
      <c r="D260" s="566">
        <f>D262+D261</f>
        <v>100000</v>
      </c>
      <c r="E260" s="566">
        <f>E262+E261</f>
        <v>100000</v>
      </c>
    </row>
    <row r="261" spans="1:5" ht="0.75" customHeight="1" hidden="1">
      <c r="A261" s="609" t="s">
        <v>642</v>
      </c>
      <c r="B261" s="474" t="s">
        <v>1171</v>
      </c>
      <c r="C261" s="446" t="s">
        <v>643</v>
      </c>
      <c r="D261" s="566">
        <f>3195-3195</f>
        <v>0</v>
      </c>
      <c r="E261" s="566">
        <f>3195-3195</f>
        <v>0</v>
      </c>
    </row>
    <row r="262" spans="1:5" s="461" customFormat="1" ht="25.5" customHeight="1">
      <c r="A262" s="609" t="s">
        <v>654</v>
      </c>
      <c r="B262" s="474" t="s">
        <v>1171</v>
      </c>
      <c r="C262" s="446" t="s">
        <v>655</v>
      </c>
      <c r="D262" s="566">
        <v>100000</v>
      </c>
      <c r="E262" s="566">
        <v>100000</v>
      </c>
    </row>
    <row r="263" spans="1:5" s="461" customFormat="1" ht="41.25" customHeight="1" hidden="1">
      <c r="A263" s="708" t="s">
        <v>1216</v>
      </c>
      <c r="B263" s="474" t="s">
        <v>1217</v>
      </c>
      <c r="C263" s="446"/>
      <c r="D263" s="566">
        <f>D264</f>
        <v>0</v>
      </c>
      <c r="E263" s="566">
        <f>E264</f>
        <v>0</v>
      </c>
    </row>
    <row r="264" spans="1:5" s="461" customFormat="1" ht="30" customHeight="1" hidden="1">
      <c r="A264" s="567" t="s">
        <v>816</v>
      </c>
      <c r="B264" s="474" t="s">
        <v>1278</v>
      </c>
      <c r="C264" s="446"/>
      <c r="D264" s="566">
        <f>D265+D266+D267</f>
        <v>0</v>
      </c>
      <c r="E264" s="566">
        <f>E265+E266+E267</f>
        <v>0</v>
      </c>
    </row>
    <row r="265" spans="1:5" ht="41.25" customHeight="1" hidden="1">
      <c r="A265" s="609" t="s">
        <v>642</v>
      </c>
      <c r="B265" s="474" t="s">
        <v>1278</v>
      </c>
      <c r="C265" s="446" t="s">
        <v>643</v>
      </c>
      <c r="D265" s="566"/>
      <c r="E265" s="566"/>
    </row>
    <row r="266" spans="1:5" ht="28.5" customHeight="1" hidden="1">
      <c r="A266" s="609" t="s">
        <v>654</v>
      </c>
      <c r="B266" s="474" t="s">
        <v>1278</v>
      </c>
      <c r="C266" s="446" t="s">
        <v>655</v>
      </c>
      <c r="D266" s="566"/>
      <c r="E266" s="566"/>
    </row>
    <row r="267" spans="1:5" ht="16.5" customHeight="1" hidden="1">
      <c r="A267" s="567" t="s">
        <v>696</v>
      </c>
      <c r="B267" s="474" t="s">
        <v>1278</v>
      </c>
      <c r="C267" s="446" t="s">
        <v>697</v>
      </c>
      <c r="D267" s="566"/>
      <c r="E267" s="566"/>
    </row>
    <row r="268" spans="1:5" s="461" customFormat="1" ht="58.5" customHeight="1">
      <c r="A268" s="708" t="s">
        <v>1052</v>
      </c>
      <c r="B268" s="474" t="s">
        <v>1053</v>
      </c>
      <c r="C268" s="481"/>
      <c r="D268" s="566">
        <f>D269+D279+D276</f>
        <v>3179503</v>
      </c>
      <c r="E268" s="566">
        <f>E269+E279+E276</f>
        <v>3152190</v>
      </c>
    </row>
    <row r="269" spans="1:5" ht="25.5">
      <c r="A269" s="567" t="s">
        <v>1054</v>
      </c>
      <c r="B269" s="474" t="s">
        <v>1055</v>
      </c>
      <c r="C269" s="481"/>
      <c r="D269" s="566">
        <f>D270+D273</f>
        <v>1102863</v>
      </c>
      <c r="E269" s="566">
        <f>E270+E273</f>
        <v>1102863</v>
      </c>
    </row>
    <row r="270" spans="1:5" ht="15" hidden="1">
      <c r="A270" s="607" t="s">
        <v>1056</v>
      </c>
      <c r="B270" s="474" t="s">
        <v>1057</v>
      </c>
      <c r="C270" s="446"/>
      <c r="D270" s="566">
        <f>D271+D272</f>
        <v>0</v>
      </c>
      <c r="E270" s="566">
        <f>E271+E272</f>
        <v>0</v>
      </c>
    </row>
    <row r="271" spans="1:5" ht="26.25" hidden="1">
      <c r="A271" s="609" t="s">
        <v>654</v>
      </c>
      <c r="B271" s="474" t="s">
        <v>1057</v>
      </c>
      <c r="C271" s="481" t="s">
        <v>655</v>
      </c>
      <c r="D271" s="584"/>
      <c r="E271" s="584"/>
    </row>
    <row r="272" spans="1:5" ht="15" hidden="1">
      <c r="A272" s="607" t="s">
        <v>827</v>
      </c>
      <c r="B272" s="474" t="s">
        <v>1057</v>
      </c>
      <c r="C272" s="481" t="s">
        <v>828</v>
      </c>
      <c r="D272" s="553"/>
      <c r="E272" s="553"/>
    </row>
    <row r="273" spans="1:5" ht="18.75" customHeight="1">
      <c r="A273" s="707" t="s">
        <v>1058</v>
      </c>
      <c r="B273" s="474" t="s">
        <v>1059</v>
      </c>
      <c r="C273" s="446"/>
      <c r="D273" s="566">
        <f>D275+D274</f>
        <v>1102863</v>
      </c>
      <c r="E273" s="566">
        <f>E275+E274</f>
        <v>1102863</v>
      </c>
    </row>
    <row r="274" spans="1:7" ht="29.25" customHeight="1">
      <c r="A274" s="609" t="s">
        <v>654</v>
      </c>
      <c r="B274" s="474" t="s">
        <v>1059</v>
      </c>
      <c r="C274" s="481" t="s">
        <v>655</v>
      </c>
      <c r="D274" s="553">
        <v>582120</v>
      </c>
      <c r="E274" s="553">
        <v>582120</v>
      </c>
      <c r="G274" s="453">
        <f>D274+D278+D280</f>
        <v>2658760</v>
      </c>
    </row>
    <row r="275" spans="1:5" ht="21" customHeight="1">
      <c r="A275" s="607" t="s">
        <v>827</v>
      </c>
      <c r="B275" s="474" t="s">
        <v>1059</v>
      </c>
      <c r="C275" s="481" t="s">
        <v>828</v>
      </c>
      <c r="D275" s="553">
        <v>520743</v>
      </c>
      <c r="E275" s="553">
        <v>520743</v>
      </c>
    </row>
    <row r="276" spans="1:5" ht="15.75" customHeight="1">
      <c r="A276" s="567" t="s">
        <v>1062</v>
      </c>
      <c r="B276" s="474" t="s">
        <v>1063</v>
      </c>
      <c r="C276" s="481"/>
      <c r="D276" s="566">
        <f>D277</f>
        <v>36000</v>
      </c>
      <c r="E276" s="566">
        <f>E277</f>
        <v>36000</v>
      </c>
    </row>
    <row r="277" spans="1:5" ht="15" customHeight="1">
      <c r="A277" s="710" t="s">
        <v>1060</v>
      </c>
      <c r="B277" s="474" t="s">
        <v>1064</v>
      </c>
      <c r="C277" s="481"/>
      <c r="D277" s="566">
        <f>D278</f>
        <v>36000</v>
      </c>
      <c r="E277" s="566">
        <f>E278</f>
        <v>36000</v>
      </c>
    </row>
    <row r="278" spans="1:5" ht="22.5" customHeight="1">
      <c r="A278" s="710" t="s">
        <v>654</v>
      </c>
      <c r="B278" s="474" t="s">
        <v>1064</v>
      </c>
      <c r="C278" s="481" t="s">
        <v>655</v>
      </c>
      <c r="D278" s="566">
        <v>36000</v>
      </c>
      <c r="E278" s="566">
        <v>36000</v>
      </c>
    </row>
    <row r="279" spans="1:5" ht="39.75" customHeight="1">
      <c r="A279" s="567" t="s">
        <v>1065</v>
      </c>
      <c r="B279" s="474" t="s">
        <v>1066</v>
      </c>
      <c r="C279" s="481"/>
      <c r="D279" s="566">
        <f>D280</f>
        <v>2040640</v>
      </c>
      <c r="E279" s="566">
        <f>E280</f>
        <v>2013327</v>
      </c>
    </row>
    <row r="280" spans="1:5" ht="26.25" customHeight="1">
      <c r="A280" s="608" t="s">
        <v>816</v>
      </c>
      <c r="B280" s="474" t="s">
        <v>1067</v>
      </c>
      <c r="C280" s="481"/>
      <c r="D280" s="566">
        <f>D281+D282+D283</f>
        <v>2040640</v>
      </c>
      <c r="E280" s="566">
        <f>E281+E282+E283</f>
        <v>2013327</v>
      </c>
    </row>
    <row r="281" spans="1:5" ht="30.75" customHeight="1">
      <c r="A281" s="607" t="s">
        <v>1068</v>
      </c>
      <c r="B281" s="474" t="s">
        <v>1067</v>
      </c>
      <c r="C281" s="446" t="s">
        <v>643</v>
      </c>
      <c r="D281" s="553">
        <v>616000</v>
      </c>
      <c r="E281" s="553">
        <v>588687</v>
      </c>
    </row>
    <row r="282" spans="1:5" ht="27" customHeight="1">
      <c r="A282" s="609" t="s">
        <v>654</v>
      </c>
      <c r="B282" s="474" t="s">
        <v>1067</v>
      </c>
      <c r="C282" s="481" t="s">
        <v>655</v>
      </c>
      <c r="D282" s="553">
        <v>1354640</v>
      </c>
      <c r="E282" s="553">
        <v>1354640</v>
      </c>
    </row>
    <row r="283" spans="1:5" ht="18.75" customHeight="1">
      <c r="A283" s="567" t="s">
        <v>696</v>
      </c>
      <c r="B283" s="474" t="s">
        <v>1067</v>
      </c>
      <c r="C283" s="481" t="s">
        <v>697</v>
      </c>
      <c r="D283" s="553">
        <v>70000</v>
      </c>
      <c r="E283" s="553">
        <v>70000</v>
      </c>
    </row>
    <row r="284" spans="1:5" ht="43.5" customHeight="1">
      <c r="A284" s="711" t="s">
        <v>1313</v>
      </c>
      <c r="B284" s="445" t="s">
        <v>759</v>
      </c>
      <c r="C284" s="456"/>
      <c r="D284" s="553">
        <f aca="true" t="shared" si="0" ref="D284:E287">D285</f>
        <v>657100</v>
      </c>
      <c r="E284" s="553">
        <f t="shared" si="0"/>
        <v>657100</v>
      </c>
    </row>
    <row r="285" spans="1:5" s="461" customFormat="1" ht="57.75" customHeight="1">
      <c r="A285" s="708" t="s">
        <v>760</v>
      </c>
      <c r="B285" s="445" t="s">
        <v>761</v>
      </c>
      <c r="C285" s="456"/>
      <c r="D285" s="553">
        <f t="shared" si="0"/>
        <v>657100</v>
      </c>
      <c r="E285" s="553">
        <f t="shared" si="0"/>
        <v>657100</v>
      </c>
    </row>
    <row r="286" spans="1:5" s="461" customFormat="1" ht="27" customHeight="1">
      <c r="A286" s="708" t="s">
        <v>762</v>
      </c>
      <c r="B286" s="445" t="s">
        <v>763</v>
      </c>
      <c r="C286" s="456"/>
      <c r="D286" s="553">
        <f t="shared" si="0"/>
        <v>657100</v>
      </c>
      <c r="E286" s="553">
        <f t="shared" si="0"/>
        <v>657100</v>
      </c>
    </row>
    <row r="287" spans="1:5" ht="18" customHeight="1">
      <c r="A287" s="708" t="s">
        <v>764</v>
      </c>
      <c r="B287" s="445" t="s">
        <v>765</v>
      </c>
      <c r="C287" s="456"/>
      <c r="D287" s="553">
        <f t="shared" si="0"/>
        <v>657100</v>
      </c>
      <c r="E287" s="553">
        <f t="shared" si="0"/>
        <v>657100</v>
      </c>
    </row>
    <row r="288" spans="1:5" ht="27" customHeight="1">
      <c r="A288" s="609" t="s">
        <v>654</v>
      </c>
      <c r="B288" s="445" t="s">
        <v>765</v>
      </c>
      <c r="C288" s="446" t="s">
        <v>655</v>
      </c>
      <c r="D288" s="553">
        <v>657100</v>
      </c>
      <c r="E288" s="553">
        <v>657100</v>
      </c>
    </row>
    <row r="289" spans="1:5" ht="40.5" customHeight="1">
      <c r="A289" s="606" t="s">
        <v>673</v>
      </c>
      <c r="B289" s="455" t="s">
        <v>674</v>
      </c>
      <c r="C289" s="446"/>
      <c r="D289" s="566">
        <f>D290</f>
        <v>329014</v>
      </c>
      <c r="E289" s="566">
        <f>E290</f>
        <v>329014</v>
      </c>
    </row>
    <row r="290" spans="1:5" s="461" customFormat="1" ht="69" customHeight="1">
      <c r="A290" s="612" t="s">
        <v>675</v>
      </c>
      <c r="B290" s="455" t="s">
        <v>676</v>
      </c>
      <c r="C290" s="446"/>
      <c r="D290" s="566">
        <f>D291</f>
        <v>329014</v>
      </c>
      <c r="E290" s="566">
        <f>E291</f>
        <v>329014</v>
      </c>
    </row>
    <row r="291" spans="1:5" s="461" customFormat="1" ht="29.25" customHeight="1">
      <c r="A291" s="567" t="s">
        <v>677</v>
      </c>
      <c r="B291" s="455" t="s">
        <v>678</v>
      </c>
      <c r="C291" s="446"/>
      <c r="D291" s="566">
        <f>D292+D295</f>
        <v>329014</v>
      </c>
      <c r="E291" s="566">
        <f>E292+E295</f>
        <v>329014</v>
      </c>
    </row>
    <row r="292" spans="1:5" ht="28.5" customHeight="1">
      <c r="A292" s="707" t="s">
        <v>679</v>
      </c>
      <c r="B292" s="455" t="s">
        <v>680</v>
      </c>
      <c r="C292" s="446"/>
      <c r="D292" s="566">
        <f>D293+D294</f>
        <v>329014</v>
      </c>
      <c r="E292" s="566">
        <f>E293+E294</f>
        <v>329014</v>
      </c>
    </row>
    <row r="293" spans="1:5" ht="42.75" customHeight="1">
      <c r="A293" s="609" t="s">
        <v>642</v>
      </c>
      <c r="B293" s="455" t="s">
        <v>680</v>
      </c>
      <c r="C293" s="456" t="s">
        <v>643</v>
      </c>
      <c r="D293" s="553">
        <v>295773</v>
      </c>
      <c r="E293" s="553">
        <v>295773</v>
      </c>
    </row>
    <row r="294" spans="1:5" ht="26.25" customHeight="1">
      <c r="A294" s="609" t="s">
        <v>654</v>
      </c>
      <c r="B294" s="455" t="s">
        <v>680</v>
      </c>
      <c r="C294" s="456" t="s">
        <v>655</v>
      </c>
      <c r="D294" s="553">
        <v>33241</v>
      </c>
      <c r="E294" s="553">
        <v>33241</v>
      </c>
    </row>
    <row r="295" spans="1:5" ht="28.5" customHeight="1" hidden="1">
      <c r="A295" s="609" t="s">
        <v>768</v>
      </c>
      <c r="B295" s="455" t="s">
        <v>769</v>
      </c>
      <c r="C295" s="446"/>
      <c r="D295" s="553">
        <f>D296</f>
        <v>0</v>
      </c>
      <c r="E295" s="553">
        <f>E296</f>
        <v>0</v>
      </c>
    </row>
    <row r="296" spans="1:5" ht="28.5" customHeight="1" hidden="1">
      <c r="A296" s="609" t="s">
        <v>654</v>
      </c>
      <c r="B296" s="455" t="s">
        <v>769</v>
      </c>
      <c r="C296" s="456" t="s">
        <v>655</v>
      </c>
      <c r="D296" s="553"/>
      <c r="E296" s="553"/>
    </row>
    <row r="297" spans="1:5" ht="44.25" customHeight="1">
      <c r="A297" s="718" t="s">
        <v>770</v>
      </c>
      <c r="B297" s="474" t="s">
        <v>771</v>
      </c>
      <c r="C297" s="446"/>
      <c r="D297" s="553">
        <f>D298+D307+D312</f>
        <v>5652900</v>
      </c>
      <c r="E297" s="553">
        <f>E298+E307+E312</f>
        <v>5938691</v>
      </c>
    </row>
    <row r="298" spans="1:5" s="461" customFormat="1" ht="51">
      <c r="A298" s="708" t="s">
        <v>860</v>
      </c>
      <c r="B298" s="474" t="s">
        <v>861</v>
      </c>
      <c r="C298" s="446"/>
      <c r="D298" s="553">
        <f>D299+D302</f>
        <v>4975100</v>
      </c>
      <c r="E298" s="553">
        <f>E299+E302</f>
        <v>5260891</v>
      </c>
    </row>
    <row r="299" spans="1:5" s="461" customFormat="1" ht="25.5">
      <c r="A299" s="567" t="s">
        <v>862</v>
      </c>
      <c r="B299" s="474" t="s">
        <v>863</v>
      </c>
      <c r="C299" s="446"/>
      <c r="D299" s="553">
        <f>D300</f>
        <v>4975100</v>
      </c>
      <c r="E299" s="553">
        <f>E300</f>
        <v>5260891</v>
      </c>
    </row>
    <row r="300" spans="1:5" ht="26.25">
      <c r="A300" s="609" t="s">
        <v>864</v>
      </c>
      <c r="B300" s="474" t="s">
        <v>865</v>
      </c>
      <c r="C300" s="446"/>
      <c r="D300" s="553">
        <f>D301</f>
        <v>4975100</v>
      </c>
      <c r="E300" s="553">
        <f>E301</f>
        <v>5260891</v>
      </c>
    </row>
    <row r="301" spans="1:5" ht="21" customHeight="1">
      <c r="A301" s="609" t="s">
        <v>704</v>
      </c>
      <c r="B301" s="474" t="s">
        <v>865</v>
      </c>
      <c r="C301" s="446" t="s">
        <v>655</v>
      </c>
      <c r="D301" s="553">
        <v>4975100</v>
      </c>
      <c r="E301" s="553">
        <v>5260891</v>
      </c>
    </row>
    <row r="302" spans="1:5" ht="0.75" customHeight="1" hidden="1">
      <c r="A302" s="567" t="s">
        <v>866</v>
      </c>
      <c r="B302" s="474" t="s">
        <v>867</v>
      </c>
      <c r="C302" s="446"/>
      <c r="D302" s="553">
        <f>D303+D305</f>
        <v>0</v>
      </c>
      <c r="E302" s="553">
        <f>E303+E305</f>
        <v>0</v>
      </c>
    </row>
    <row r="303" spans="1:5" s="461" customFormat="1" ht="15" hidden="1">
      <c r="A303" s="609" t="s">
        <v>868</v>
      </c>
      <c r="B303" s="474" t="s">
        <v>869</v>
      </c>
      <c r="C303" s="446"/>
      <c r="D303" s="553">
        <f>D304</f>
        <v>0</v>
      </c>
      <c r="E303" s="553">
        <f>E304</f>
        <v>0</v>
      </c>
    </row>
    <row r="304" spans="1:5" ht="29.25" customHeight="1" hidden="1">
      <c r="A304" s="607" t="s">
        <v>870</v>
      </c>
      <c r="B304" s="474" t="s">
        <v>869</v>
      </c>
      <c r="C304" s="446" t="s">
        <v>871</v>
      </c>
      <c r="D304" s="553"/>
      <c r="E304" s="553"/>
    </row>
    <row r="305" spans="1:5" ht="15" hidden="1">
      <c r="A305" s="609" t="s">
        <v>872</v>
      </c>
      <c r="B305" s="474" t="s">
        <v>873</v>
      </c>
      <c r="C305" s="446"/>
      <c r="D305" s="553">
        <f>D306</f>
        <v>0</v>
      </c>
      <c r="E305" s="553">
        <f>E306</f>
        <v>0</v>
      </c>
    </row>
    <row r="306" spans="1:5" ht="26.25" hidden="1">
      <c r="A306" s="607" t="s">
        <v>870</v>
      </c>
      <c r="B306" s="474" t="s">
        <v>873</v>
      </c>
      <c r="C306" s="446" t="s">
        <v>871</v>
      </c>
      <c r="D306" s="553"/>
      <c r="E306" s="553"/>
    </row>
    <row r="307" spans="1:5" s="461" customFormat="1" ht="69.75" customHeight="1">
      <c r="A307" s="719" t="s">
        <v>853</v>
      </c>
      <c r="B307" s="474" t="s">
        <v>854</v>
      </c>
      <c r="C307" s="446"/>
      <c r="D307" s="566">
        <f>D308</f>
        <v>510000</v>
      </c>
      <c r="E307" s="566">
        <f>E308</f>
        <v>510000</v>
      </c>
    </row>
    <row r="308" spans="1:5" s="461" customFormat="1" ht="30" customHeight="1">
      <c r="A308" s="567" t="s">
        <v>855</v>
      </c>
      <c r="B308" s="474" t="s">
        <v>856</v>
      </c>
      <c r="C308" s="446"/>
      <c r="D308" s="566">
        <f>D309</f>
        <v>510000</v>
      </c>
      <c r="E308" s="566">
        <f>E309</f>
        <v>510000</v>
      </c>
    </row>
    <row r="309" spans="1:5" ht="15">
      <c r="A309" s="607" t="s">
        <v>857</v>
      </c>
      <c r="B309" s="474" t="s">
        <v>858</v>
      </c>
      <c r="C309" s="446"/>
      <c r="D309" s="566">
        <f>D311+D310</f>
        <v>510000</v>
      </c>
      <c r="E309" s="566">
        <f>E311+E310</f>
        <v>510000</v>
      </c>
    </row>
    <row r="310" spans="1:5" ht="15">
      <c r="A310" s="609" t="s">
        <v>704</v>
      </c>
      <c r="B310" s="474" t="s">
        <v>858</v>
      </c>
      <c r="C310" s="446" t="s">
        <v>655</v>
      </c>
      <c r="D310" s="566">
        <v>10000</v>
      </c>
      <c r="E310" s="566">
        <v>10000</v>
      </c>
    </row>
    <row r="311" spans="1:5" ht="15">
      <c r="A311" s="609" t="s">
        <v>696</v>
      </c>
      <c r="B311" s="474" t="s">
        <v>858</v>
      </c>
      <c r="C311" s="446" t="s">
        <v>697</v>
      </c>
      <c r="D311" s="566">
        <v>500000</v>
      </c>
      <c r="E311" s="566">
        <v>500000</v>
      </c>
    </row>
    <row r="312" spans="1:5" s="461" customFormat="1" ht="71.25" customHeight="1">
      <c r="A312" s="719" t="s">
        <v>772</v>
      </c>
      <c r="B312" s="474" t="s">
        <v>773</v>
      </c>
      <c r="C312" s="446"/>
      <c r="D312" s="566">
        <f>D313+D316</f>
        <v>167800</v>
      </c>
      <c r="E312" s="566">
        <f>E313+E316</f>
        <v>167800</v>
      </c>
    </row>
    <row r="313" spans="1:5" ht="25.5" hidden="1">
      <c r="A313" s="712" t="s">
        <v>774</v>
      </c>
      <c r="B313" s="474" t="s">
        <v>775</v>
      </c>
      <c r="C313" s="446"/>
      <c r="D313" s="566">
        <f>D314</f>
        <v>0</v>
      </c>
      <c r="E313" s="566">
        <f>E314</f>
        <v>0</v>
      </c>
    </row>
    <row r="314" spans="1:5" ht="25.5" hidden="1">
      <c r="A314" s="567" t="s">
        <v>776</v>
      </c>
      <c r="B314" s="474" t="s">
        <v>777</v>
      </c>
      <c r="C314" s="446"/>
      <c r="D314" s="566">
        <f>D315</f>
        <v>0</v>
      </c>
      <c r="E314" s="566">
        <f>E315</f>
        <v>0</v>
      </c>
    </row>
    <row r="315" spans="1:5" ht="26.25" hidden="1">
      <c r="A315" s="609" t="s">
        <v>654</v>
      </c>
      <c r="B315" s="474" t="s">
        <v>777</v>
      </c>
      <c r="C315" s="446" t="s">
        <v>655</v>
      </c>
      <c r="D315" s="566"/>
      <c r="E315" s="566"/>
    </row>
    <row r="316" spans="1:5" ht="57.75" customHeight="1">
      <c r="A316" s="712" t="s">
        <v>1023</v>
      </c>
      <c r="B316" s="474" t="s">
        <v>1024</v>
      </c>
      <c r="C316" s="446"/>
      <c r="D316" s="566">
        <f>D317</f>
        <v>167800</v>
      </c>
      <c r="E316" s="566">
        <f>E317</f>
        <v>167800</v>
      </c>
    </row>
    <row r="317" spans="1:5" ht="31.5" customHeight="1">
      <c r="A317" s="567" t="s">
        <v>776</v>
      </c>
      <c r="B317" s="474" t="s">
        <v>1025</v>
      </c>
      <c r="C317" s="446"/>
      <c r="D317" s="566">
        <f>D318</f>
        <v>167800</v>
      </c>
      <c r="E317" s="566">
        <f>E318</f>
        <v>167800</v>
      </c>
    </row>
    <row r="318" spans="1:5" ht="27.75" customHeight="1">
      <c r="A318" s="609" t="s">
        <v>654</v>
      </c>
      <c r="B318" s="474" t="s">
        <v>1025</v>
      </c>
      <c r="C318" s="446" t="s">
        <v>655</v>
      </c>
      <c r="D318" s="553">
        <v>167800</v>
      </c>
      <c r="E318" s="553">
        <v>167800</v>
      </c>
    </row>
    <row r="319" spans="1:5" ht="43.5" customHeight="1">
      <c r="A319" s="607" t="s">
        <v>681</v>
      </c>
      <c r="B319" s="455" t="s">
        <v>682</v>
      </c>
      <c r="C319" s="456"/>
      <c r="D319" s="566">
        <f>D326+D320</f>
        <v>654400</v>
      </c>
      <c r="E319" s="566">
        <f>E326+E320</f>
        <v>654400</v>
      </c>
    </row>
    <row r="320" spans="1:5" ht="80.25" customHeight="1">
      <c r="A320" s="568" t="s">
        <v>778</v>
      </c>
      <c r="B320" s="455" t="s">
        <v>779</v>
      </c>
      <c r="C320" s="446"/>
      <c r="D320" s="553">
        <f>D321</f>
        <v>70000</v>
      </c>
      <c r="E320" s="553">
        <f>E321</f>
        <v>70000</v>
      </c>
    </row>
    <row r="321" spans="1:5" ht="31.5" customHeight="1">
      <c r="A321" s="612" t="s">
        <v>780</v>
      </c>
      <c r="B321" s="470" t="s">
        <v>781</v>
      </c>
      <c r="C321" s="446"/>
      <c r="D321" s="553">
        <f>D322+D324</f>
        <v>70000</v>
      </c>
      <c r="E321" s="553">
        <f>E322+E324</f>
        <v>70000</v>
      </c>
    </row>
    <row r="322" spans="1:5" ht="32.25" customHeight="1">
      <c r="A322" s="609" t="s">
        <v>782</v>
      </c>
      <c r="B322" s="470" t="s">
        <v>783</v>
      </c>
      <c r="C322" s="446"/>
      <c r="D322" s="553">
        <f>D323</f>
        <v>30000</v>
      </c>
      <c r="E322" s="553">
        <f>E323</f>
        <v>30000</v>
      </c>
    </row>
    <row r="323" spans="1:5" ht="28.5" customHeight="1">
      <c r="A323" s="609" t="s">
        <v>654</v>
      </c>
      <c r="B323" s="470" t="s">
        <v>783</v>
      </c>
      <c r="C323" s="446" t="s">
        <v>655</v>
      </c>
      <c r="D323" s="553">
        <v>30000</v>
      </c>
      <c r="E323" s="553">
        <v>30000</v>
      </c>
    </row>
    <row r="324" spans="1:5" ht="23.25" customHeight="1">
      <c r="A324" s="609" t="s">
        <v>784</v>
      </c>
      <c r="B324" s="470" t="s">
        <v>785</v>
      </c>
      <c r="C324" s="446"/>
      <c r="D324" s="553">
        <f>D325</f>
        <v>40000</v>
      </c>
      <c r="E324" s="553">
        <f>E325</f>
        <v>40000</v>
      </c>
    </row>
    <row r="325" spans="1:5" ht="28.5" customHeight="1">
      <c r="A325" s="609" t="s">
        <v>654</v>
      </c>
      <c r="B325" s="470" t="s">
        <v>785</v>
      </c>
      <c r="C325" s="446" t="s">
        <v>655</v>
      </c>
      <c r="D325" s="553">
        <f>40000</f>
        <v>40000</v>
      </c>
      <c r="E325" s="553">
        <f>40000</f>
        <v>40000</v>
      </c>
    </row>
    <row r="326" spans="1:5" s="461" customFormat="1" ht="59.25" customHeight="1">
      <c r="A326" s="607" t="s">
        <v>683</v>
      </c>
      <c r="B326" s="455" t="s">
        <v>684</v>
      </c>
      <c r="C326" s="456"/>
      <c r="D326" s="566">
        <f>D328+D331</f>
        <v>584400</v>
      </c>
      <c r="E326" s="566">
        <f>E328+E331</f>
        <v>584400</v>
      </c>
    </row>
    <row r="327" spans="1:5" ht="45.75" customHeight="1">
      <c r="A327" s="612" t="s">
        <v>685</v>
      </c>
      <c r="B327" s="455" t="s">
        <v>686</v>
      </c>
      <c r="C327" s="456"/>
      <c r="D327" s="566">
        <f>D328+D331</f>
        <v>584400</v>
      </c>
      <c r="E327" s="566">
        <f>E328+E331</f>
        <v>584400</v>
      </c>
    </row>
    <row r="328" spans="1:5" ht="40.5" customHeight="1">
      <c r="A328" s="707" t="s">
        <v>687</v>
      </c>
      <c r="B328" s="445" t="s">
        <v>688</v>
      </c>
      <c r="C328" s="446"/>
      <c r="D328" s="566">
        <f>D329+D330</f>
        <v>292200</v>
      </c>
      <c r="E328" s="566">
        <f>E329+E330</f>
        <v>292200</v>
      </c>
    </row>
    <row r="329" spans="1:5" ht="43.5" customHeight="1">
      <c r="A329" s="609" t="s">
        <v>642</v>
      </c>
      <c r="B329" s="445" t="s">
        <v>688</v>
      </c>
      <c r="C329" s="456" t="s">
        <v>643</v>
      </c>
      <c r="D329" s="553">
        <v>291800</v>
      </c>
      <c r="E329" s="553">
        <v>291800</v>
      </c>
    </row>
    <row r="330" spans="1:5" ht="26.25">
      <c r="A330" s="609" t="s">
        <v>654</v>
      </c>
      <c r="B330" s="445" t="s">
        <v>688</v>
      </c>
      <c r="C330" s="456" t="s">
        <v>655</v>
      </c>
      <c r="D330" s="553">
        <v>400</v>
      </c>
      <c r="E330" s="553">
        <v>400</v>
      </c>
    </row>
    <row r="331" spans="1:5" ht="33.75" customHeight="1">
      <c r="A331" s="707" t="s">
        <v>689</v>
      </c>
      <c r="B331" s="445" t="s">
        <v>690</v>
      </c>
      <c r="C331" s="446"/>
      <c r="D331" s="566">
        <f>D332+D333</f>
        <v>292200</v>
      </c>
      <c r="E331" s="566">
        <f>E332+E333</f>
        <v>292200</v>
      </c>
    </row>
    <row r="332" spans="1:5" ht="39">
      <c r="A332" s="609" t="s">
        <v>642</v>
      </c>
      <c r="B332" s="445" t="s">
        <v>690</v>
      </c>
      <c r="C332" s="456" t="s">
        <v>643</v>
      </c>
      <c r="D332" s="553">
        <f>193920+58564+39716</f>
        <v>292200</v>
      </c>
      <c r="E332" s="553">
        <f>193920+58564+39716</f>
        <v>292200</v>
      </c>
    </row>
    <row r="333" spans="1:5" ht="26.25" hidden="1">
      <c r="A333" s="609" t="s">
        <v>654</v>
      </c>
      <c r="B333" s="445" t="s">
        <v>690</v>
      </c>
      <c r="C333" s="456" t="s">
        <v>655</v>
      </c>
      <c r="D333" s="553">
        <f>39716-39716</f>
        <v>0</v>
      </c>
      <c r="E333" s="553">
        <f>39716-39716</f>
        <v>0</v>
      </c>
    </row>
    <row r="334" spans="1:6" ht="59.25" customHeight="1">
      <c r="A334" s="612" t="s">
        <v>833</v>
      </c>
      <c r="B334" s="474" t="s">
        <v>834</v>
      </c>
      <c r="C334" s="456"/>
      <c r="D334" s="566">
        <f>D335</f>
        <v>51000</v>
      </c>
      <c r="E334" s="566">
        <f>E335</f>
        <v>51000</v>
      </c>
      <c r="F334" s="662"/>
    </row>
    <row r="335" spans="1:6" ht="84.75" customHeight="1">
      <c r="A335" s="573" t="s">
        <v>835</v>
      </c>
      <c r="B335" s="474" t="s">
        <v>836</v>
      </c>
      <c r="C335" s="456"/>
      <c r="D335" s="566">
        <f>D336+D339+D342+D345</f>
        <v>51000</v>
      </c>
      <c r="E335" s="566">
        <f>E336+E339+E342+E345</f>
        <v>51000</v>
      </c>
      <c r="F335" s="662"/>
    </row>
    <row r="336" spans="1:6" ht="25.5" hidden="1">
      <c r="A336" s="573" t="s">
        <v>837</v>
      </c>
      <c r="B336" s="474" t="s">
        <v>838</v>
      </c>
      <c r="C336" s="456"/>
      <c r="D336" s="566">
        <f>D337</f>
        <v>0</v>
      </c>
      <c r="E336" s="566">
        <f>E337</f>
        <v>0</v>
      </c>
      <c r="F336" s="662"/>
    </row>
    <row r="337" spans="1:6" ht="26.25" hidden="1">
      <c r="A337" s="609" t="s">
        <v>839</v>
      </c>
      <c r="B337" s="474" t="s">
        <v>840</v>
      </c>
      <c r="C337" s="456"/>
      <c r="D337" s="566">
        <f>D338</f>
        <v>0</v>
      </c>
      <c r="E337" s="566">
        <f>E338</f>
        <v>0</v>
      </c>
      <c r="F337" s="662"/>
    </row>
    <row r="338" spans="1:6" ht="26.25" hidden="1">
      <c r="A338" s="609" t="s">
        <v>654</v>
      </c>
      <c r="B338" s="474" t="s">
        <v>840</v>
      </c>
      <c r="C338" s="456" t="s">
        <v>655</v>
      </c>
      <c r="D338" s="566"/>
      <c r="E338" s="566"/>
      <c r="F338" s="662"/>
    </row>
    <row r="339" spans="1:6" ht="57" customHeight="1">
      <c r="A339" s="573" t="s">
        <v>841</v>
      </c>
      <c r="B339" s="474" t="s">
        <v>842</v>
      </c>
      <c r="C339" s="456"/>
      <c r="D339" s="566">
        <f>D340</f>
        <v>51000</v>
      </c>
      <c r="E339" s="566">
        <f>E340</f>
        <v>51000</v>
      </c>
      <c r="F339" s="662"/>
    </row>
    <row r="340" spans="1:6" ht="26.25">
      <c r="A340" s="609" t="s">
        <v>839</v>
      </c>
      <c r="B340" s="474" t="s">
        <v>843</v>
      </c>
      <c r="C340" s="456"/>
      <c r="D340" s="566">
        <f>D341</f>
        <v>51000</v>
      </c>
      <c r="E340" s="566">
        <f>E341</f>
        <v>51000</v>
      </c>
      <c r="F340" s="662"/>
    </row>
    <row r="341" spans="1:5" ht="26.25">
      <c r="A341" s="609" t="s">
        <v>654</v>
      </c>
      <c r="B341" s="474" t="s">
        <v>843</v>
      </c>
      <c r="C341" s="456" t="s">
        <v>655</v>
      </c>
      <c r="D341" s="553">
        <v>51000</v>
      </c>
      <c r="E341" s="553">
        <v>51000</v>
      </c>
    </row>
    <row r="342" spans="1:5" ht="38.25" hidden="1">
      <c r="A342" s="573" t="s">
        <v>844</v>
      </c>
      <c r="B342" s="474" t="s">
        <v>845</v>
      </c>
      <c r="C342" s="456"/>
      <c r="D342" s="566">
        <f>D343</f>
        <v>0</v>
      </c>
      <c r="E342" s="566">
        <f>E343</f>
        <v>0</v>
      </c>
    </row>
    <row r="343" spans="1:5" ht="26.25" hidden="1">
      <c r="A343" s="609" t="s">
        <v>839</v>
      </c>
      <c r="B343" s="474" t="s">
        <v>846</v>
      </c>
      <c r="C343" s="456"/>
      <c r="D343" s="566">
        <f>D344</f>
        <v>0</v>
      </c>
      <c r="E343" s="566">
        <f>E344</f>
        <v>0</v>
      </c>
    </row>
    <row r="344" spans="1:5" ht="26.25" hidden="1">
      <c r="A344" s="609" t="s">
        <v>654</v>
      </c>
      <c r="B344" s="474" t="s">
        <v>846</v>
      </c>
      <c r="C344" s="456" t="s">
        <v>655</v>
      </c>
      <c r="D344" s="566"/>
      <c r="E344" s="566"/>
    </row>
    <row r="345" spans="1:5" ht="25.5" hidden="1">
      <c r="A345" s="573" t="s">
        <v>847</v>
      </c>
      <c r="B345" s="474" t="s">
        <v>848</v>
      </c>
      <c r="C345" s="456"/>
      <c r="D345" s="566">
        <f>D346</f>
        <v>0</v>
      </c>
      <c r="E345" s="566">
        <f>E346</f>
        <v>0</v>
      </c>
    </row>
    <row r="346" spans="1:5" ht="26.25" hidden="1">
      <c r="A346" s="609" t="s">
        <v>839</v>
      </c>
      <c r="B346" s="474" t="s">
        <v>849</v>
      </c>
      <c r="C346" s="456"/>
      <c r="D346" s="566">
        <f>D347</f>
        <v>0</v>
      </c>
      <c r="E346" s="566">
        <f>E347</f>
        <v>0</v>
      </c>
    </row>
    <row r="347" spans="1:5" ht="26.25" hidden="1">
      <c r="A347" s="609" t="s">
        <v>654</v>
      </c>
      <c r="B347" s="474" t="s">
        <v>849</v>
      </c>
      <c r="C347" s="456" t="s">
        <v>655</v>
      </c>
      <c r="D347" s="566"/>
      <c r="E347" s="566"/>
    </row>
    <row r="348" spans="1:5" ht="45.75" customHeight="1">
      <c r="A348" s="612" t="s">
        <v>1187</v>
      </c>
      <c r="B348" s="470" t="s">
        <v>1175</v>
      </c>
      <c r="C348" s="446"/>
      <c r="D348" s="702">
        <f>D349+D353</f>
        <v>6682633.22</v>
      </c>
      <c r="E348" s="702">
        <f>E349+E353</f>
        <v>6214665</v>
      </c>
    </row>
    <row r="349" spans="1:5" s="461" customFormat="1" ht="57" customHeight="1">
      <c r="A349" s="606" t="s">
        <v>1176</v>
      </c>
      <c r="B349" s="470" t="s">
        <v>1177</v>
      </c>
      <c r="C349" s="446"/>
      <c r="D349" s="702">
        <f aca="true" t="shared" si="1" ref="D349:E351">D350</f>
        <v>1868.22</v>
      </c>
      <c r="E349" s="702">
        <f t="shared" si="1"/>
        <v>0</v>
      </c>
    </row>
    <row r="350" spans="1:5" ht="48" customHeight="1">
      <c r="A350" s="606" t="s">
        <v>1178</v>
      </c>
      <c r="B350" s="470" t="s">
        <v>1179</v>
      </c>
      <c r="C350" s="446"/>
      <c r="D350" s="702">
        <f t="shared" si="1"/>
        <v>1868.22</v>
      </c>
      <c r="E350" s="702">
        <f t="shared" si="1"/>
        <v>0</v>
      </c>
    </row>
    <row r="351" spans="1:5" ht="19.5" customHeight="1">
      <c r="A351" s="607" t="s">
        <v>1180</v>
      </c>
      <c r="B351" s="470" t="s">
        <v>1181</v>
      </c>
      <c r="C351" s="446"/>
      <c r="D351" s="702">
        <f t="shared" si="1"/>
        <v>1868.22</v>
      </c>
      <c r="E351" s="702">
        <f t="shared" si="1"/>
        <v>0</v>
      </c>
    </row>
    <row r="352" spans="1:5" ht="19.5" customHeight="1">
      <c r="A352" s="606" t="s">
        <v>1182</v>
      </c>
      <c r="B352" s="470" t="s">
        <v>1181</v>
      </c>
      <c r="C352" s="446" t="s">
        <v>1183</v>
      </c>
      <c r="D352" s="702">
        <v>1868.22</v>
      </c>
      <c r="E352" s="702"/>
    </row>
    <row r="353" spans="1:5" s="461" customFormat="1" ht="60" customHeight="1">
      <c r="A353" s="606" t="s">
        <v>1188</v>
      </c>
      <c r="B353" s="445" t="s">
        <v>1189</v>
      </c>
      <c r="C353" s="446"/>
      <c r="D353" s="702">
        <f aca="true" t="shared" si="2" ref="D353:E355">D354</f>
        <v>6680765</v>
      </c>
      <c r="E353" s="702">
        <f t="shared" si="2"/>
        <v>6214665</v>
      </c>
    </row>
    <row r="354" spans="1:5" s="461" customFormat="1" ht="36" customHeight="1">
      <c r="A354" s="612" t="s">
        <v>1190</v>
      </c>
      <c r="B354" s="445" t="s">
        <v>1191</v>
      </c>
      <c r="C354" s="446"/>
      <c r="D354" s="566">
        <f t="shared" si="2"/>
        <v>6680765</v>
      </c>
      <c r="E354" s="566">
        <f t="shared" si="2"/>
        <v>6214665</v>
      </c>
    </row>
    <row r="355" spans="1:5" ht="29.25" customHeight="1">
      <c r="A355" s="707" t="s">
        <v>1192</v>
      </c>
      <c r="B355" s="445" t="s">
        <v>1193</v>
      </c>
      <c r="C355" s="446"/>
      <c r="D355" s="566">
        <f t="shared" si="2"/>
        <v>6680765</v>
      </c>
      <c r="E355" s="566">
        <f t="shared" si="2"/>
        <v>6214665</v>
      </c>
    </row>
    <row r="356" spans="1:5" s="461" customFormat="1" ht="15">
      <c r="A356" s="625" t="s">
        <v>814</v>
      </c>
      <c r="B356" s="445" t="s">
        <v>1193</v>
      </c>
      <c r="C356" s="456" t="s">
        <v>815</v>
      </c>
      <c r="D356" s="553">
        <v>6680765</v>
      </c>
      <c r="E356" s="553">
        <v>6214665</v>
      </c>
    </row>
    <row r="357" spans="1:5" ht="25.5">
      <c r="A357" s="708" t="s">
        <v>923</v>
      </c>
      <c r="B357" s="445" t="s">
        <v>924</v>
      </c>
      <c r="C357" s="456"/>
      <c r="D357" s="566">
        <f>D358+D362</f>
        <v>33000</v>
      </c>
      <c r="E357" s="566">
        <f>E358+E362</f>
        <v>33000</v>
      </c>
    </row>
    <row r="358" spans="1:5" s="461" customFormat="1" ht="54.75" customHeight="1">
      <c r="A358" s="712" t="s">
        <v>925</v>
      </c>
      <c r="B358" s="445" t="s">
        <v>926</v>
      </c>
      <c r="C358" s="456"/>
      <c r="D358" s="566">
        <f aca="true" t="shared" si="3" ref="D358:E360">D359</f>
        <v>28000</v>
      </c>
      <c r="E358" s="566">
        <f t="shared" si="3"/>
        <v>28000</v>
      </c>
    </row>
    <row r="359" spans="1:5" ht="25.5">
      <c r="A359" s="712" t="s">
        <v>927</v>
      </c>
      <c r="B359" s="445" t="s">
        <v>928</v>
      </c>
      <c r="C359" s="456"/>
      <c r="D359" s="566">
        <f t="shared" si="3"/>
        <v>28000</v>
      </c>
      <c r="E359" s="566">
        <f t="shared" si="3"/>
        <v>28000</v>
      </c>
    </row>
    <row r="360" spans="1:5" ht="26.25">
      <c r="A360" s="608" t="s">
        <v>929</v>
      </c>
      <c r="B360" s="445" t="s">
        <v>930</v>
      </c>
      <c r="C360" s="456"/>
      <c r="D360" s="566">
        <f t="shared" si="3"/>
        <v>28000</v>
      </c>
      <c r="E360" s="566">
        <f t="shared" si="3"/>
        <v>28000</v>
      </c>
    </row>
    <row r="361" spans="1:5" ht="26.25">
      <c r="A361" s="609" t="s">
        <v>654</v>
      </c>
      <c r="B361" s="445" t="s">
        <v>930</v>
      </c>
      <c r="C361" s="456" t="s">
        <v>655</v>
      </c>
      <c r="D361" s="566">
        <v>28000</v>
      </c>
      <c r="E361" s="566">
        <v>28000</v>
      </c>
    </row>
    <row r="362" spans="1:5" ht="54.75" customHeight="1">
      <c r="A362" s="612" t="s">
        <v>931</v>
      </c>
      <c r="B362" s="445" t="s">
        <v>932</v>
      </c>
      <c r="C362" s="456"/>
      <c r="D362" s="566">
        <f aca="true" t="shared" si="4" ref="D362:E364">D363</f>
        <v>5000</v>
      </c>
      <c r="E362" s="566">
        <f t="shared" si="4"/>
        <v>5000</v>
      </c>
    </row>
    <row r="363" spans="1:5" ht="43.5" customHeight="1">
      <c r="A363" s="712" t="s">
        <v>933</v>
      </c>
      <c r="B363" s="445" t="s">
        <v>934</v>
      </c>
      <c r="C363" s="456"/>
      <c r="D363" s="566">
        <f t="shared" si="4"/>
        <v>5000</v>
      </c>
      <c r="E363" s="566">
        <f t="shared" si="4"/>
        <v>5000</v>
      </c>
    </row>
    <row r="364" spans="1:5" ht="31.5" customHeight="1">
      <c r="A364" s="609" t="s">
        <v>935</v>
      </c>
      <c r="B364" s="445" t="s">
        <v>936</v>
      </c>
      <c r="C364" s="456"/>
      <c r="D364" s="566">
        <f t="shared" si="4"/>
        <v>5000</v>
      </c>
      <c r="E364" s="566">
        <f t="shared" si="4"/>
        <v>5000</v>
      </c>
    </row>
    <row r="365" spans="1:5" ht="26.25">
      <c r="A365" s="609" t="s">
        <v>654</v>
      </c>
      <c r="B365" s="445" t="s">
        <v>936</v>
      </c>
      <c r="C365" s="456" t="s">
        <v>655</v>
      </c>
      <c r="D365" s="566">
        <v>5000</v>
      </c>
      <c r="E365" s="566">
        <v>5000</v>
      </c>
    </row>
    <row r="366" spans="1:5" ht="46.5" customHeight="1">
      <c r="A366" s="708" t="s">
        <v>884</v>
      </c>
      <c r="B366" s="474" t="s">
        <v>885</v>
      </c>
      <c r="C366" s="456"/>
      <c r="D366" s="566">
        <f>D367</f>
        <v>1000000</v>
      </c>
      <c r="E366" s="566">
        <f>E367</f>
        <v>1000000</v>
      </c>
    </row>
    <row r="367" spans="1:5" s="461" customFormat="1" ht="80.25" customHeight="1">
      <c r="A367" s="720" t="s">
        <v>964</v>
      </c>
      <c r="B367" s="474" t="s">
        <v>887</v>
      </c>
      <c r="C367" s="456"/>
      <c r="D367" s="566">
        <f>D375+D368</f>
        <v>1000000</v>
      </c>
      <c r="E367" s="566">
        <f>E375+E368</f>
        <v>1000000</v>
      </c>
    </row>
    <row r="368" spans="1:5" ht="24.75" customHeight="1" hidden="1">
      <c r="A368" s="573" t="s">
        <v>1267</v>
      </c>
      <c r="B368" s="474" t="s">
        <v>1268</v>
      </c>
      <c r="C368" s="456"/>
      <c r="D368" s="566">
        <f>D369+D371+D373</f>
        <v>0</v>
      </c>
      <c r="E368" s="566">
        <f>E369+E371+E373</f>
        <v>0</v>
      </c>
    </row>
    <row r="369" spans="1:5" ht="45" hidden="1">
      <c r="A369" s="721" t="s">
        <v>1269</v>
      </c>
      <c r="B369" s="445" t="s">
        <v>1270</v>
      </c>
      <c r="C369" s="456"/>
      <c r="D369" s="566">
        <f>D370</f>
        <v>0</v>
      </c>
      <c r="E369" s="566">
        <f>E370</f>
        <v>0</v>
      </c>
    </row>
    <row r="370" spans="1:5" ht="15" hidden="1">
      <c r="A370" s="722" t="s">
        <v>814</v>
      </c>
      <c r="B370" s="445" t="s">
        <v>1270</v>
      </c>
      <c r="C370" s="456" t="s">
        <v>815</v>
      </c>
      <c r="D370" s="566"/>
      <c r="E370" s="566"/>
    </row>
    <row r="371" spans="1:5" ht="30" hidden="1">
      <c r="A371" s="721" t="s">
        <v>1271</v>
      </c>
      <c r="B371" s="445" t="s">
        <v>1272</v>
      </c>
      <c r="C371" s="456"/>
      <c r="D371" s="566">
        <f>D372</f>
        <v>0</v>
      </c>
      <c r="E371" s="566">
        <f>E372</f>
        <v>0</v>
      </c>
    </row>
    <row r="372" spans="1:5" ht="15" hidden="1">
      <c r="A372" s="722" t="s">
        <v>814</v>
      </c>
      <c r="B372" s="445" t="s">
        <v>1272</v>
      </c>
      <c r="C372" s="456" t="s">
        <v>815</v>
      </c>
      <c r="D372" s="566"/>
      <c r="E372" s="566"/>
    </row>
    <row r="373" spans="1:5" ht="30" hidden="1">
      <c r="A373" s="721" t="s">
        <v>1273</v>
      </c>
      <c r="B373" s="445" t="s">
        <v>1274</v>
      </c>
      <c r="C373" s="456"/>
      <c r="D373" s="566">
        <f>D374</f>
        <v>0</v>
      </c>
      <c r="E373" s="566">
        <f>E374</f>
        <v>0</v>
      </c>
    </row>
    <row r="374" spans="1:5" ht="15" hidden="1">
      <c r="A374" s="722" t="s">
        <v>814</v>
      </c>
      <c r="B374" s="445" t="s">
        <v>1274</v>
      </c>
      <c r="C374" s="456" t="s">
        <v>815</v>
      </c>
      <c r="D374" s="566"/>
      <c r="E374" s="566"/>
    </row>
    <row r="375" spans="1:5" ht="22.5" customHeight="1">
      <c r="A375" s="625" t="s">
        <v>965</v>
      </c>
      <c r="B375" s="474" t="s">
        <v>966</v>
      </c>
      <c r="C375" s="456"/>
      <c r="D375" s="566">
        <f>D380+D378+D376+D382</f>
        <v>1000000</v>
      </c>
      <c r="E375" s="566">
        <f>E380+E378+E376+E382</f>
        <v>1000000</v>
      </c>
    </row>
    <row r="376" spans="1:5" ht="39" hidden="1">
      <c r="A376" s="707" t="s">
        <v>1269</v>
      </c>
      <c r="B376" s="474" t="s">
        <v>1275</v>
      </c>
      <c r="C376" s="456"/>
      <c r="D376" s="566">
        <f>D377</f>
        <v>0</v>
      </c>
      <c r="E376" s="566">
        <f>E377</f>
        <v>0</v>
      </c>
    </row>
    <row r="377" spans="1:5" ht="15" hidden="1">
      <c r="A377" s="722" t="s">
        <v>814</v>
      </c>
      <c r="B377" s="474" t="s">
        <v>1275</v>
      </c>
      <c r="C377" s="456" t="s">
        <v>815</v>
      </c>
      <c r="D377" s="566"/>
      <c r="E377" s="566"/>
    </row>
    <row r="378" spans="1:5" ht="0.75" customHeight="1" hidden="1">
      <c r="A378" s="573" t="s">
        <v>973</v>
      </c>
      <c r="B378" s="474" t="s">
        <v>1276</v>
      </c>
      <c r="C378" s="456"/>
      <c r="D378" s="566">
        <f>D379</f>
        <v>0</v>
      </c>
      <c r="E378" s="566">
        <f>E379</f>
        <v>0</v>
      </c>
    </row>
    <row r="379" spans="1:5" ht="15" hidden="1">
      <c r="A379" s="625" t="s">
        <v>814</v>
      </c>
      <c r="B379" s="474" t="s">
        <v>1276</v>
      </c>
      <c r="C379" s="456" t="s">
        <v>815</v>
      </c>
      <c r="D379" s="566"/>
      <c r="E379" s="566"/>
    </row>
    <row r="380" spans="1:5" ht="35.25" customHeight="1">
      <c r="A380" s="475" t="s">
        <v>967</v>
      </c>
      <c r="B380" s="474" t="s">
        <v>968</v>
      </c>
      <c r="C380" s="456"/>
      <c r="D380" s="566">
        <f>D381</f>
        <v>1000000</v>
      </c>
      <c r="E380" s="566">
        <f>E381</f>
        <v>1000000</v>
      </c>
    </row>
    <row r="381" spans="1:5" ht="19.5" customHeight="1">
      <c r="A381" s="625" t="s">
        <v>814</v>
      </c>
      <c r="B381" s="474" t="s">
        <v>968</v>
      </c>
      <c r="C381" s="456" t="s">
        <v>815</v>
      </c>
      <c r="D381" s="566">
        <v>1000000</v>
      </c>
      <c r="E381" s="566">
        <v>1000000</v>
      </c>
    </row>
    <row r="382" spans="1:5" ht="45.75" customHeight="1" hidden="1">
      <c r="A382" s="608" t="s">
        <v>962</v>
      </c>
      <c r="B382" s="474" t="s">
        <v>975</v>
      </c>
      <c r="C382" s="456"/>
      <c r="D382" s="553">
        <f>D383</f>
        <v>0</v>
      </c>
      <c r="E382" s="553">
        <f>E383</f>
        <v>0</v>
      </c>
    </row>
    <row r="383" spans="1:5" ht="24" customHeight="1" hidden="1">
      <c r="A383" s="625" t="s">
        <v>814</v>
      </c>
      <c r="B383" s="474" t="s">
        <v>975</v>
      </c>
      <c r="C383" s="456" t="s">
        <v>815</v>
      </c>
      <c r="D383" s="553"/>
      <c r="E383" s="553"/>
    </row>
    <row r="384" spans="1:5" ht="29.25" customHeight="1">
      <c r="A384" s="711" t="s">
        <v>1026</v>
      </c>
      <c r="B384" s="445" t="s">
        <v>1027</v>
      </c>
      <c r="C384" s="456"/>
      <c r="D384" s="566">
        <f aca="true" t="shared" si="5" ref="D384:E387">D385</f>
        <v>15000</v>
      </c>
      <c r="E384" s="566">
        <f t="shared" si="5"/>
        <v>15000</v>
      </c>
    </row>
    <row r="385" spans="1:5" ht="45.75" customHeight="1">
      <c r="A385" s="612" t="s">
        <v>1028</v>
      </c>
      <c r="B385" s="445" t="s">
        <v>1029</v>
      </c>
      <c r="C385" s="456"/>
      <c r="D385" s="566">
        <f t="shared" si="5"/>
        <v>15000</v>
      </c>
      <c r="E385" s="566">
        <f t="shared" si="5"/>
        <v>15000</v>
      </c>
    </row>
    <row r="386" spans="1:5" ht="28.5" customHeight="1">
      <c r="A386" s="573" t="s">
        <v>1030</v>
      </c>
      <c r="B386" s="445" t="s">
        <v>1031</v>
      </c>
      <c r="C386" s="456"/>
      <c r="D386" s="566">
        <f t="shared" si="5"/>
        <v>15000</v>
      </c>
      <c r="E386" s="566">
        <f t="shared" si="5"/>
        <v>15000</v>
      </c>
    </row>
    <row r="387" spans="1:5" ht="20.25" customHeight="1">
      <c r="A387" s="573" t="s">
        <v>1032</v>
      </c>
      <c r="B387" s="445" t="s">
        <v>1033</v>
      </c>
      <c r="C387" s="456"/>
      <c r="D387" s="566">
        <f t="shared" si="5"/>
        <v>15000</v>
      </c>
      <c r="E387" s="566">
        <f t="shared" si="5"/>
        <v>15000</v>
      </c>
    </row>
    <row r="388" spans="1:5" ht="30" customHeight="1">
      <c r="A388" s="710" t="s">
        <v>654</v>
      </c>
      <c r="B388" s="445" t="s">
        <v>1033</v>
      </c>
      <c r="C388" s="446" t="s">
        <v>655</v>
      </c>
      <c r="D388" s="566">
        <v>15000</v>
      </c>
      <c r="E388" s="566">
        <v>15000</v>
      </c>
    </row>
    <row r="389" spans="1:5" ht="41.25" customHeight="1">
      <c r="A389" s="618" t="s">
        <v>786</v>
      </c>
      <c r="B389" s="474" t="s">
        <v>787</v>
      </c>
      <c r="C389" s="446"/>
      <c r="D389" s="553">
        <f>D390+D394</f>
        <v>196500</v>
      </c>
      <c r="E389" s="553">
        <f>E390+E394</f>
        <v>196500</v>
      </c>
    </row>
    <row r="390" spans="1:5" ht="38.25">
      <c r="A390" s="573" t="s">
        <v>788</v>
      </c>
      <c r="B390" s="474" t="s">
        <v>789</v>
      </c>
      <c r="C390" s="446"/>
      <c r="D390" s="553">
        <f aca="true" t="shared" si="6" ref="D390:E392">D391</f>
        <v>15000</v>
      </c>
      <c r="E390" s="553">
        <f t="shared" si="6"/>
        <v>15000</v>
      </c>
    </row>
    <row r="391" spans="1:5" ht="25.5">
      <c r="A391" s="573" t="s">
        <v>790</v>
      </c>
      <c r="B391" s="474" t="s">
        <v>791</v>
      </c>
      <c r="C391" s="446"/>
      <c r="D391" s="553">
        <f t="shared" si="6"/>
        <v>15000</v>
      </c>
      <c r="E391" s="553">
        <f t="shared" si="6"/>
        <v>15000</v>
      </c>
    </row>
    <row r="392" spans="1:5" ht="26.25">
      <c r="A392" s="609" t="s">
        <v>792</v>
      </c>
      <c r="B392" s="474" t="s">
        <v>793</v>
      </c>
      <c r="C392" s="446"/>
      <c r="D392" s="553">
        <f t="shared" si="6"/>
        <v>15000</v>
      </c>
      <c r="E392" s="553">
        <f t="shared" si="6"/>
        <v>15000</v>
      </c>
    </row>
    <row r="393" spans="1:5" ht="26.25">
      <c r="A393" s="609" t="s">
        <v>654</v>
      </c>
      <c r="B393" s="474" t="s">
        <v>793</v>
      </c>
      <c r="C393" s="446" t="s">
        <v>655</v>
      </c>
      <c r="D393" s="553">
        <v>15000</v>
      </c>
      <c r="E393" s="553">
        <v>15000</v>
      </c>
    </row>
    <row r="394" spans="1:5" ht="57.75" customHeight="1">
      <c r="A394" s="573" t="s">
        <v>794</v>
      </c>
      <c r="B394" s="474" t="s">
        <v>795</v>
      </c>
      <c r="C394" s="446"/>
      <c r="D394" s="553">
        <f aca="true" t="shared" si="7" ref="D394:E396">D395</f>
        <v>181500</v>
      </c>
      <c r="E394" s="553">
        <f t="shared" si="7"/>
        <v>181500</v>
      </c>
    </row>
    <row r="395" spans="1:5" ht="19.5" customHeight="1">
      <c r="A395" s="573" t="s">
        <v>796</v>
      </c>
      <c r="B395" s="474" t="s">
        <v>797</v>
      </c>
      <c r="C395" s="446"/>
      <c r="D395" s="553">
        <f t="shared" si="7"/>
        <v>181500</v>
      </c>
      <c r="E395" s="553">
        <f t="shared" si="7"/>
        <v>181500</v>
      </c>
    </row>
    <row r="396" spans="1:5" ht="15">
      <c r="A396" s="573" t="s">
        <v>756</v>
      </c>
      <c r="B396" s="474" t="s">
        <v>798</v>
      </c>
      <c r="C396" s="446"/>
      <c r="D396" s="553">
        <f t="shared" si="7"/>
        <v>181500</v>
      </c>
      <c r="E396" s="553">
        <f t="shared" si="7"/>
        <v>181500</v>
      </c>
    </row>
    <row r="397" spans="1:5" ht="26.25">
      <c r="A397" s="609" t="s">
        <v>654</v>
      </c>
      <c r="B397" s="474" t="s">
        <v>798</v>
      </c>
      <c r="C397" s="446" t="s">
        <v>655</v>
      </c>
      <c r="D397" s="553">
        <v>181500</v>
      </c>
      <c r="E397" s="553">
        <v>181500</v>
      </c>
    </row>
    <row r="398" spans="1:5" ht="33" customHeight="1">
      <c r="A398" s="609" t="s">
        <v>1209</v>
      </c>
      <c r="B398" s="474" t="s">
        <v>800</v>
      </c>
      <c r="C398" s="481"/>
      <c r="D398" s="566">
        <f>D399</f>
        <v>1867940</v>
      </c>
      <c r="E398" s="566">
        <f>E399</f>
        <v>1022136</v>
      </c>
    </row>
    <row r="399" spans="1:5" s="461" customFormat="1" ht="61.5" customHeight="1">
      <c r="A399" s="609" t="s">
        <v>801</v>
      </c>
      <c r="B399" s="474" t="s">
        <v>802</v>
      </c>
      <c r="C399" s="481"/>
      <c r="D399" s="566">
        <f>D401</f>
        <v>1867940</v>
      </c>
      <c r="E399" s="566">
        <f>E401</f>
        <v>1022136</v>
      </c>
    </row>
    <row r="400" spans="1:5" s="461" customFormat="1" ht="60" customHeight="1">
      <c r="A400" s="619" t="s">
        <v>803</v>
      </c>
      <c r="B400" s="474" t="s">
        <v>804</v>
      </c>
      <c r="C400" s="481"/>
      <c r="D400" s="566">
        <f>D401</f>
        <v>1867940</v>
      </c>
      <c r="E400" s="566">
        <f>E401</f>
        <v>1022136</v>
      </c>
    </row>
    <row r="401" spans="1:5" s="461" customFormat="1" ht="33" customHeight="1">
      <c r="A401" s="608" t="s">
        <v>805</v>
      </c>
      <c r="B401" s="474" t="s">
        <v>806</v>
      </c>
      <c r="C401" s="481"/>
      <c r="D401" s="566">
        <f>D402+D403</f>
        <v>1867940</v>
      </c>
      <c r="E401" s="566">
        <f>E402+E403</f>
        <v>1022136</v>
      </c>
    </row>
    <row r="402" spans="1:5" ht="39">
      <c r="A402" s="609" t="s">
        <v>642</v>
      </c>
      <c r="B402" s="474" t="s">
        <v>806</v>
      </c>
      <c r="C402" s="481" t="s">
        <v>643</v>
      </c>
      <c r="D402" s="553">
        <v>765394</v>
      </c>
      <c r="E402" s="553">
        <v>765394</v>
      </c>
    </row>
    <row r="403" spans="1:5" ht="26.25">
      <c r="A403" s="609" t="s">
        <v>654</v>
      </c>
      <c r="B403" s="474" t="s">
        <v>806</v>
      </c>
      <c r="C403" s="481" t="s">
        <v>655</v>
      </c>
      <c r="D403" s="553">
        <v>1102546</v>
      </c>
      <c r="E403" s="553">
        <f>1300046-1043304</f>
        <v>256742</v>
      </c>
    </row>
    <row r="404" spans="1:5" ht="15.75">
      <c r="A404" s="609" t="s">
        <v>636</v>
      </c>
      <c r="B404" s="455" t="s">
        <v>637</v>
      </c>
      <c r="C404" s="446"/>
      <c r="D404" s="702">
        <f aca="true" t="shared" si="8" ref="D404:E406">D405</f>
        <v>1537000</v>
      </c>
      <c r="E404" s="702">
        <f t="shared" si="8"/>
        <v>1537000</v>
      </c>
    </row>
    <row r="405" spans="1:5" s="461" customFormat="1" ht="15.75">
      <c r="A405" s="607" t="s">
        <v>638</v>
      </c>
      <c r="B405" s="455" t="s">
        <v>639</v>
      </c>
      <c r="C405" s="446"/>
      <c r="D405" s="702">
        <f t="shared" si="8"/>
        <v>1537000</v>
      </c>
      <c r="E405" s="702">
        <f t="shared" si="8"/>
        <v>1537000</v>
      </c>
    </row>
    <row r="406" spans="1:5" ht="26.25">
      <c r="A406" s="608" t="s">
        <v>640</v>
      </c>
      <c r="B406" s="455" t="s">
        <v>641</v>
      </c>
      <c r="C406" s="446"/>
      <c r="D406" s="702">
        <f t="shared" si="8"/>
        <v>1537000</v>
      </c>
      <c r="E406" s="702">
        <f t="shared" si="8"/>
        <v>1537000</v>
      </c>
    </row>
    <row r="407" spans="1:5" ht="39">
      <c r="A407" s="609" t="s">
        <v>642</v>
      </c>
      <c r="B407" s="455" t="s">
        <v>641</v>
      </c>
      <c r="C407" s="456" t="s">
        <v>643</v>
      </c>
      <c r="D407" s="553">
        <v>1537000</v>
      </c>
      <c r="E407" s="553">
        <v>1537000</v>
      </c>
    </row>
    <row r="408" spans="1:5" ht="15" customHeight="1">
      <c r="A408" s="609" t="s">
        <v>691</v>
      </c>
      <c r="B408" s="445" t="s">
        <v>692</v>
      </c>
      <c r="C408" s="446"/>
      <c r="D408" s="566">
        <f>D409</f>
        <v>16057600</v>
      </c>
      <c r="E408" s="566">
        <f>E409</f>
        <v>16057600</v>
      </c>
    </row>
    <row r="409" spans="1:5" s="461" customFormat="1" ht="15.75" customHeight="1">
      <c r="A409" s="608" t="s">
        <v>693</v>
      </c>
      <c r="B409" s="445" t="s">
        <v>694</v>
      </c>
      <c r="C409" s="446"/>
      <c r="D409" s="566">
        <f>D410</f>
        <v>16057600</v>
      </c>
      <c r="E409" s="566">
        <f>E410</f>
        <v>16057600</v>
      </c>
    </row>
    <row r="410" spans="1:5" ht="27.75" customHeight="1">
      <c r="A410" s="608" t="s">
        <v>640</v>
      </c>
      <c r="B410" s="445" t="s">
        <v>695</v>
      </c>
      <c r="C410" s="446"/>
      <c r="D410" s="566">
        <f>D411+D412+D413</f>
        <v>16057600</v>
      </c>
      <c r="E410" s="566">
        <f>E411+E412+E413</f>
        <v>16057600</v>
      </c>
    </row>
    <row r="411" spans="1:5" ht="39">
      <c r="A411" s="609" t="s">
        <v>642</v>
      </c>
      <c r="B411" s="445" t="s">
        <v>695</v>
      </c>
      <c r="C411" s="456" t="s">
        <v>643</v>
      </c>
      <c r="D411" s="553">
        <v>15918200</v>
      </c>
      <c r="E411" s="553">
        <v>15918200</v>
      </c>
    </row>
    <row r="412" spans="1:5" ht="26.25">
      <c r="A412" s="609" t="s">
        <v>654</v>
      </c>
      <c r="B412" s="445" t="s">
        <v>695</v>
      </c>
      <c r="C412" s="456" t="s">
        <v>655</v>
      </c>
      <c r="D412" s="558">
        <v>58500</v>
      </c>
      <c r="E412" s="558">
        <v>58500</v>
      </c>
    </row>
    <row r="413" spans="1:5" ht="15">
      <c r="A413" s="567" t="s">
        <v>696</v>
      </c>
      <c r="B413" s="445" t="s">
        <v>695</v>
      </c>
      <c r="C413" s="456" t="s">
        <v>697</v>
      </c>
      <c r="D413" s="553">
        <v>80900</v>
      </c>
      <c r="E413" s="553">
        <v>80900</v>
      </c>
    </row>
    <row r="414" spans="1:5" ht="26.25">
      <c r="A414" s="609" t="s">
        <v>715</v>
      </c>
      <c r="B414" s="470" t="s">
        <v>716</v>
      </c>
      <c r="C414" s="456"/>
      <c r="D414" s="566">
        <f>D415</f>
        <v>559000</v>
      </c>
      <c r="E414" s="566">
        <f>E415</f>
        <v>559000</v>
      </c>
    </row>
    <row r="415" spans="1:5" s="461" customFormat="1" ht="17.25" customHeight="1">
      <c r="A415" s="609" t="s">
        <v>717</v>
      </c>
      <c r="B415" s="470" t="s">
        <v>718</v>
      </c>
      <c r="C415" s="456"/>
      <c r="D415" s="566">
        <f>D416</f>
        <v>559000</v>
      </c>
      <c r="E415" s="566">
        <f>E416</f>
        <v>559000</v>
      </c>
    </row>
    <row r="416" spans="1:5" ht="26.25">
      <c r="A416" s="608" t="s">
        <v>640</v>
      </c>
      <c r="B416" s="470" t="s">
        <v>719</v>
      </c>
      <c r="C416" s="446"/>
      <c r="D416" s="566">
        <f>D417+D418+D419</f>
        <v>559000</v>
      </c>
      <c r="E416" s="566">
        <f>E417+E418+E419</f>
        <v>559000</v>
      </c>
    </row>
    <row r="417" spans="1:5" ht="38.25" customHeight="1">
      <c r="A417" s="609" t="s">
        <v>642</v>
      </c>
      <c r="B417" s="470" t="s">
        <v>719</v>
      </c>
      <c r="C417" s="456" t="s">
        <v>643</v>
      </c>
      <c r="D417" s="553">
        <v>559000</v>
      </c>
      <c r="E417" s="553">
        <v>559000</v>
      </c>
    </row>
    <row r="418" spans="1:5" ht="15">
      <c r="A418" s="609" t="s">
        <v>704</v>
      </c>
      <c r="B418" s="470" t="s">
        <v>719</v>
      </c>
      <c r="C418" s="456" t="s">
        <v>655</v>
      </c>
      <c r="D418" s="553"/>
      <c r="E418" s="553"/>
    </row>
    <row r="419" spans="1:5" ht="15" hidden="1">
      <c r="A419" s="567" t="s">
        <v>696</v>
      </c>
      <c r="B419" s="470" t="s">
        <v>719</v>
      </c>
      <c r="C419" s="456" t="s">
        <v>697</v>
      </c>
      <c r="D419" s="566"/>
      <c r="E419" s="566"/>
    </row>
    <row r="420" spans="1:5" ht="28.5" customHeight="1">
      <c r="A420" s="609" t="s">
        <v>646</v>
      </c>
      <c r="B420" s="455" t="s">
        <v>647</v>
      </c>
      <c r="C420" s="446"/>
      <c r="D420" s="566">
        <f>D421+D424</f>
        <v>1942800</v>
      </c>
      <c r="E420" s="566">
        <f>E421+E424</f>
        <v>1942800</v>
      </c>
    </row>
    <row r="421" spans="1:5" s="461" customFormat="1" ht="19.5" customHeight="1">
      <c r="A421" s="607" t="s">
        <v>648</v>
      </c>
      <c r="B421" s="455" t="s">
        <v>649</v>
      </c>
      <c r="C421" s="446"/>
      <c r="D421" s="566">
        <f>D422</f>
        <v>880000</v>
      </c>
      <c r="E421" s="566">
        <f>E422</f>
        <v>880000</v>
      </c>
    </row>
    <row r="422" spans="1:5" ht="30.75" customHeight="1">
      <c r="A422" s="608" t="s">
        <v>640</v>
      </c>
      <c r="B422" s="455" t="s">
        <v>650</v>
      </c>
      <c r="C422" s="456"/>
      <c r="D422" s="566">
        <f>D423</f>
        <v>880000</v>
      </c>
      <c r="E422" s="566">
        <f>E423</f>
        <v>880000</v>
      </c>
    </row>
    <row r="423" spans="1:5" ht="39.75" customHeight="1">
      <c r="A423" s="609" t="s">
        <v>642</v>
      </c>
      <c r="B423" s="455" t="s">
        <v>650</v>
      </c>
      <c r="C423" s="456" t="s">
        <v>643</v>
      </c>
      <c r="D423" s="553">
        <v>880000</v>
      </c>
      <c r="E423" s="553">
        <v>880000</v>
      </c>
    </row>
    <row r="424" spans="1:5" s="461" customFormat="1" ht="15.75" customHeight="1">
      <c r="A424" s="607" t="s">
        <v>651</v>
      </c>
      <c r="B424" s="455" t="s">
        <v>652</v>
      </c>
      <c r="C424" s="456"/>
      <c r="D424" s="566">
        <f>D425</f>
        <v>1062800</v>
      </c>
      <c r="E424" s="566">
        <f>E425</f>
        <v>1062800</v>
      </c>
    </row>
    <row r="425" spans="1:5" ht="28.5" customHeight="1">
      <c r="A425" s="608" t="s">
        <v>640</v>
      </c>
      <c r="B425" s="455" t="s">
        <v>653</v>
      </c>
      <c r="C425" s="456"/>
      <c r="D425" s="566">
        <f>D426+D427+D428</f>
        <v>1062800</v>
      </c>
      <c r="E425" s="566">
        <f>E426+E427+E428</f>
        <v>1062800</v>
      </c>
    </row>
    <row r="426" spans="1:5" ht="42.75" customHeight="1">
      <c r="A426" s="609" t="s">
        <v>642</v>
      </c>
      <c r="B426" s="455" t="s">
        <v>653</v>
      </c>
      <c r="C426" s="456" t="s">
        <v>643</v>
      </c>
      <c r="D426" s="553">
        <v>1062800</v>
      </c>
      <c r="E426" s="553">
        <v>1062800</v>
      </c>
    </row>
    <row r="427" spans="1:5" ht="15" hidden="1">
      <c r="A427" s="609" t="s">
        <v>704</v>
      </c>
      <c r="B427" s="455" t="s">
        <v>653</v>
      </c>
      <c r="C427" s="456" t="s">
        <v>655</v>
      </c>
      <c r="D427" s="553"/>
      <c r="E427" s="553"/>
    </row>
    <row r="428" spans="1:5" ht="15" hidden="1">
      <c r="A428" s="567" t="s">
        <v>696</v>
      </c>
      <c r="B428" s="455" t="s">
        <v>653</v>
      </c>
      <c r="C428" s="456" t="s">
        <v>697</v>
      </c>
      <c r="D428" s="566"/>
      <c r="E428" s="566"/>
    </row>
    <row r="429" spans="1:5" ht="26.25" customHeight="1">
      <c r="A429" s="609" t="s">
        <v>809</v>
      </c>
      <c r="B429" s="455" t="s">
        <v>810</v>
      </c>
      <c r="C429" s="481"/>
      <c r="D429" s="566">
        <f>D430</f>
        <v>177900.78</v>
      </c>
      <c r="E429" s="566">
        <f>E430</f>
        <v>177900</v>
      </c>
    </row>
    <row r="430" spans="1:5" s="461" customFormat="1" ht="17.25" customHeight="1">
      <c r="A430" s="609" t="s">
        <v>811</v>
      </c>
      <c r="B430" s="455" t="s">
        <v>812</v>
      </c>
      <c r="C430" s="481"/>
      <c r="D430" s="566">
        <f>D431</f>
        <v>177900.78</v>
      </c>
      <c r="E430" s="566">
        <f>E431</f>
        <v>177900</v>
      </c>
    </row>
    <row r="431" spans="1:5" ht="17.25" customHeight="1">
      <c r="A431" s="607" t="s">
        <v>756</v>
      </c>
      <c r="B431" s="455" t="s">
        <v>813</v>
      </c>
      <c r="C431" s="481"/>
      <c r="D431" s="566">
        <f>D432+D433</f>
        <v>177900.78</v>
      </c>
      <c r="E431" s="566">
        <f>E432+E433</f>
        <v>177900</v>
      </c>
    </row>
    <row r="432" spans="1:5" ht="16.5" customHeight="1">
      <c r="A432" s="609" t="s">
        <v>704</v>
      </c>
      <c r="B432" s="455" t="s">
        <v>813</v>
      </c>
      <c r="C432" s="481" t="s">
        <v>655</v>
      </c>
      <c r="D432" s="553">
        <v>10000.78</v>
      </c>
      <c r="E432" s="553">
        <v>10000</v>
      </c>
    </row>
    <row r="433" spans="1:5" ht="17.25" customHeight="1">
      <c r="A433" s="567" t="s">
        <v>696</v>
      </c>
      <c r="B433" s="455" t="s">
        <v>813</v>
      </c>
      <c r="C433" s="481" t="s">
        <v>697</v>
      </c>
      <c r="D433" s="553">
        <v>167900</v>
      </c>
      <c r="E433" s="553">
        <v>167900</v>
      </c>
    </row>
    <row r="434" spans="1:7" ht="18.75" customHeight="1">
      <c r="A434" s="607" t="s">
        <v>698</v>
      </c>
      <c r="B434" s="470" t="s">
        <v>699</v>
      </c>
      <c r="C434" s="456"/>
      <c r="D434" s="702">
        <f>D435+D439+D456</f>
        <v>9048114</v>
      </c>
      <c r="E434" s="702">
        <f>E435+E439+E456</f>
        <v>9048114</v>
      </c>
      <c r="F434" s="657"/>
      <c r="G434" s="657"/>
    </row>
    <row r="435" spans="1:6" s="461" customFormat="1" ht="30" customHeight="1">
      <c r="A435" s="612" t="s">
        <v>700</v>
      </c>
      <c r="B435" s="445" t="s">
        <v>701</v>
      </c>
      <c r="C435" s="446"/>
      <c r="D435" s="702">
        <f>D436</f>
        <v>292200</v>
      </c>
      <c r="E435" s="702">
        <f>E436</f>
        <v>292200</v>
      </c>
      <c r="F435" s="659"/>
    </row>
    <row r="436" spans="1:6" ht="26.25">
      <c r="A436" s="608" t="s">
        <v>702</v>
      </c>
      <c r="B436" s="445" t="s">
        <v>703</v>
      </c>
      <c r="C436" s="446"/>
      <c r="D436" s="566">
        <f>D437+D438</f>
        <v>292200</v>
      </c>
      <c r="E436" s="566">
        <f>E437+E438</f>
        <v>292200</v>
      </c>
      <c r="F436" s="657"/>
    </row>
    <row r="437" spans="1:6" ht="38.25" customHeight="1">
      <c r="A437" s="609" t="s">
        <v>642</v>
      </c>
      <c r="B437" s="445" t="s">
        <v>703</v>
      </c>
      <c r="C437" s="456" t="s">
        <v>643</v>
      </c>
      <c r="D437" s="553">
        <f>208320+62913+20967</f>
        <v>292200</v>
      </c>
      <c r="E437" s="553">
        <f>208320+62913+20967</f>
        <v>292200</v>
      </c>
      <c r="F437" s="657"/>
    </row>
    <row r="438" spans="1:6" ht="15" hidden="1">
      <c r="A438" s="609" t="s">
        <v>704</v>
      </c>
      <c r="B438" s="445" t="s">
        <v>703</v>
      </c>
      <c r="C438" s="456" t="s">
        <v>655</v>
      </c>
      <c r="D438" s="553">
        <f>20967-20967</f>
        <v>0</v>
      </c>
      <c r="E438" s="553">
        <f>20967-20967</f>
        <v>0</v>
      </c>
      <c r="F438" s="657"/>
    </row>
    <row r="439" spans="1:6" ht="18" customHeight="1">
      <c r="A439" s="609" t="s">
        <v>705</v>
      </c>
      <c r="B439" s="445" t="s">
        <v>706</v>
      </c>
      <c r="C439" s="456"/>
      <c r="D439" s="566">
        <f>D440+D442+D444+D446+D448+D452+D454</f>
        <v>8755914</v>
      </c>
      <c r="E439" s="566">
        <f>E440+E442+E444+E446+E448+E452+E454</f>
        <v>8755914</v>
      </c>
      <c r="F439" s="657"/>
    </row>
    <row r="440" spans="1:6" ht="36.75" customHeight="1">
      <c r="A440" s="559" t="s">
        <v>1116</v>
      </c>
      <c r="B440" s="445" t="s">
        <v>1117</v>
      </c>
      <c r="C440" s="446"/>
      <c r="D440" s="566">
        <f>D441</f>
        <v>280884</v>
      </c>
      <c r="E440" s="566">
        <f>E441</f>
        <v>280884</v>
      </c>
      <c r="F440" s="657"/>
    </row>
    <row r="441" spans="1:6" ht="26.25" customHeight="1">
      <c r="A441" s="609" t="s">
        <v>654</v>
      </c>
      <c r="B441" s="445" t="s">
        <v>1117</v>
      </c>
      <c r="C441" s="456" t="s">
        <v>655</v>
      </c>
      <c r="D441" s="553">
        <f>5758+275126</f>
        <v>280884</v>
      </c>
      <c r="E441" s="553">
        <f>5758+275126</f>
        <v>280884</v>
      </c>
      <c r="F441" s="657"/>
    </row>
    <row r="442" spans="1:6" ht="43.5" customHeight="1">
      <c r="A442" s="559" t="s">
        <v>707</v>
      </c>
      <c r="B442" s="445" t="s">
        <v>708</v>
      </c>
      <c r="C442" s="446"/>
      <c r="D442" s="566">
        <f>D443</f>
        <v>29220</v>
      </c>
      <c r="E442" s="566">
        <f>E443</f>
        <v>29220</v>
      </c>
      <c r="F442" s="657"/>
    </row>
    <row r="443" spans="1:6" ht="24.75" customHeight="1">
      <c r="A443" s="609" t="s">
        <v>654</v>
      </c>
      <c r="B443" s="445" t="s">
        <v>708</v>
      </c>
      <c r="C443" s="456" t="s">
        <v>643</v>
      </c>
      <c r="D443" s="553">
        <f>22442+6778</f>
        <v>29220</v>
      </c>
      <c r="E443" s="553">
        <f>22442+6778</f>
        <v>29220</v>
      </c>
      <c r="F443" s="657"/>
    </row>
    <row r="444" spans="1:6" ht="39" hidden="1">
      <c r="A444" s="707" t="s">
        <v>711</v>
      </c>
      <c r="B444" s="445" t="s">
        <v>712</v>
      </c>
      <c r="C444" s="456"/>
      <c r="D444" s="566">
        <f>D445</f>
        <v>0</v>
      </c>
      <c r="E444" s="566">
        <f>E445</f>
        <v>0</v>
      </c>
      <c r="F444" s="657"/>
    </row>
    <row r="445" spans="1:6" ht="19.5" customHeight="1" hidden="1">
      <c r="A445" s="609" t="s">
        <v>704</v>
      </c>
      <c r="B445" s="445" t="s">
        <v>712</v>
      </c>
      <c r="C445" s="456" t="s">
        <v>655</v>
      </c>
      <c r="D445" s="566"/>
      <c r="E445" s="566"/>
      <c r="F445" s="657"/>
    </row>
    <row r="446" spans="1:6" ht="3" customHeight="1" hidden="1">
      <c r="A446" s="567" t="s">
        <v>1314</v>
      </c>
      <c r="B446" s="445" t="s">
        <v>1315</v>
      </c>
      <c r="C446" s="446"/>
      <c r="D446" s="566"/>
      <c r="E446" s="566"/>
      <c r="F446" s="657"/>
    </row>
    <row r="447" spans="1:6" ht="26.25" hidden="1">
      <c r="A447" s="609" t="s">
        <v>654</v>
      </c>
      <c r="B447" s="445" t="s">
        <v>1315</v>
      </c>
      <c r="C447" s="456" t="s">
        <v>655</v>
      </c>
      <c r="D447" s="566"/>
      <c r="E447" s="566"/>
      <c r="F447" s="657"/>
    </row>
    <row r="448" spans="1:5" ht="25.5">
      <c r="A448" s="567" t="s">
        <v>816</v>
      </c>
      <c r="B448" s="445" t="s">
        <v>817</v>
      </c>
      <c r="C448" s="446"/>
      <c r="D448" s="566">
        <f>D449+D450+D451</f>
        <v>8170490</v>
      </c>
      <c r="E448" s="566">
        <f>E449+E450+E451</f>
        <v>8170490</v>
      </c>
    </row>
    <row r="449" spans="1:5" ht="39">
      <c r="A449" s="609" t="s">
        <v>642</v>
      </c>
      <c r="B449" s="445" t="s">
        <v>817</v>
      </c>
      <c r="C449" s="456" t="s">
        <v>643</v>
      </c>
      <c r="D449" s="553">
        <v>5520500</v>
      </c>
      <c r="E449" s="553">
        <v>5520500</v>
      </c>
    </row>
    <row r="450" spans="1:5" ht="26.25">
      <c r="A450" s="609" t="s">
        <v>654</v>
      </c>
      <c r="B450" s="445" t="s">
        <v>817</v>
      </c>
      <c r="C450" s="456" t="s">
        <v>655</v>
      </c>
      <c r="D450" s="553">
        <v>2631850</v>
      </c>
      <c r="E450" s="553">
        <v>2631850</v>
      </c>
    </row>
    <row r="451" spans="1:5" ht="15">
      <c r="A451" s="567" t="s">
        <v>696</v>
      </c>
      <c r="B451" s="445" t="s">
        <v>817</v>
      </c>
      <c r="C451" s="456" t="s">
        <v>697</v>
      </c>
      <c r="D451" s="553">
        <v>18140</v>
      </c>
      <c r="E451" s="553">
        <v>18140</v>
      </c>
    </row>
    <row r="452" spans="1:5" ht="15">
      <c r="A452" s="708" t="s">
        <v>818</v>
      </c>
      <c r="B452" s="445" t="s">
        <v>819</v>
      </c>
      <c r="C452" s="456"/>
      <c r="D452" s="566">
        <f>D453</f>
        <v>100000</v>
      </c>
      <c r="E452" s="566">
        <f>E453</f>
        <v>100000</v>
      </c>
    </row>
    <row r="453" spans="1:5" ht="25.5" customHeight="1">
      <c r="A453" s="609" t="s">
        <v>654</v>
      </c>
      <c r="B453" s="445" t="s">
        <v>819</v>
      </c>
      <c r="C453" s="456" t="s">
        <v>655</v>
      </c>
      <c r="D453" s="566">
        <v>100000</v>
      </c>
      <c r="E453" s="566">
        <v>100000</v>
      </c>
    </row>
    <row r="454" spans="1:5" ht="26.25">
      <c r="A454" s="609" t="s">
        <v>820</v>
      </c>
      <c r="B454" s="445" t="s">
        <v>821</v>
      </c>
      <c r="C454" s="456"/>
      <c r="D454" s="566">
        <f>D455</f>
        <v>175320</v>
      </c>
      <c r="E454" s="566">
        <f>E455</f>
        <v>175320</v>
      </c>
    </row>
    <row r="455" spans="1:5" ht="14.25" customHeight="1">
      <c r="A455" s="609" t="s">
        <v>814</v>
      </c>
      <c r="B455" s="445" t="s">
        <v>821</v>
      </c>
      <c r="C455" s="456" t="s">
        <v>815</v>
      </c>
      <c r="D455" s="553">
        <f>175320</f>
        <v>175320</v>
      </c>
      <c r="E455" s="553">
        <f>175320</f>
        <v>175320</v>
      </c>
    </row>
    <row r="456" spans="1:5" s="461" customFormat="1" ht="15.75" hidden="1">
      <c r="A456" s="628" t="s">
        <v>722</v>
      </c>
      <c r="B456" s="445" t="s">
        <v>723</v>
      </c>
      <c r="C456" s="446"/>
      <c r="D456" s="702">
        <f>D457</f>
        <v>0</v>
      </c>
      <c r="E456" s="702">
        <f>E457</f>
        <v>0</v>
      </c>
    </row>
    <row r="457" spans="1:5" ht="15.75" hidden="1">
      <c r="A457" s="607" t="s">
        <v>724</v>
      </c>
      <c r="B457" s="445" t="s">
        <v>1316</v>
      </c>
      <c r="C457" s="446"/>
      <c r="D457" s="702">
        <f>D458</f>
        <v>0</v>
      </c>
      <c r="E457" s="702">
        <f>E458</f>
        <v>0</v>
      </c>
    </row>
    <row r="458" spans="1:5" ht="15.75" hidden="1">
      <c r="A458" s="609" t="s">
        <v>704</v>
      </c>
      <c r="B458" s="445" t="s">
        <v>1316</v>
      </c>
      <c r="C458" s="446" t="s">
        <v>697</v>
      </c>
      <c r="D458" s="702"/>
      <c r="E458" s="702"/>
    </row>
    <row r="459" spans="1:5" ht="15">
      <c r="A459" s="609" t="s">
        <v>728</v>
      </c>
      <c r="B459" s="455" t="s">
        <v>729</v>
      </c>
      <c r="C459" s="472" t="s">
        <v>730</v>
      </c>
      <c r="D459" s="566">
        <f aca="true" t="shared" si="9" ref="D459:E461">D460</f>
        <v>50000</v>
      </c>
      <c r="E459" s="566">
        <f t="shared" si="9"/>
        <v>50000</v>
      </c>
    </row>
    <row r="460" spans="1:5" s="461" customFormat="1" ht="15">
      <c r="A460" s="609" t="s">
        <v>726</v>
      </c>
      <c r="B460" s="455" t="s">
        <v>731</v>
      </c>
      <c r="C460" s="472" t="s">
        <v>730</v>
      </c>
      <c r="D460" s="566">
        <f t="shared" si="9"/>
        <v>50000</v>
      </c>
      <c r="E460" s="566">
        <f t="shared" si="9"/>
        <v>50000</v>
      </c>
    </row>
    <row r="461" spans="1:5" ht="15">
      <c r="A461" s="608" t="s">
        <v>732</v>
      </c>
      <c r="B461" s="455" t="s">
        <v>733</v>
      </c>
      <c r="C461" s="472" t="s">
        <v>730</v>
      </c>
      <c r="D461" s="566">
        <f t="shared" si="9"/>
        <v>50000</v>
      </c>
      <c r="E461" s="566">
        <f t="shared" si="9"/>
        <v>50000</v>
      </c>
    </row>
    <row r="462" spans="1:5" ht="15.75" customHeight="1">
      <c r="A462" s="609" t="s">
        <v>696</v>
      </c>
      <c r="B462" s="455" t="s">
        <v>733</v>
      </c>
      <c r="C462" s="472" t="s">
        <v>697</v>
      </c>
      <c r="D462" s="566">
        <v>50000</v>
      </c>
      <c r="E462" s="566">
        <v>50000</v>
      </c>
    </row>
    <row r="463" spans="1:5" ht="15" hidden="1">
      <c r="A463" s="670" t="s">
        <v>1069</v>
      </c>
      <c r="B463" s="671" t="s">
        <v>1081</v>
      </c>
      <c r="C463" s="672"/>
      <c r="D463" s="664">
        <f aca="true" t="shared" si="10" ref="D463:E465">D464</f>
        <v>0</v>
      </c>
      <c r="E463" s="664">
        <f t="shared" si="10"/>
        <v>0</v>
      </c>
    </row>
    <row r="464" spans="1:5" ht="25.5" hidden="1">
      <c r="A464" s="567" t="s">
        <v>1082</v>
      </c>
      <c r="B464" s="455" t="s">
        <v>1083</v>
      </c>
      <c r="C464" s="672"/>
      <c r="D464" s="664">
        <f t="shared" si="10"/>
        <v>0</v>
      </c>
      <c r="E464" s="664">
        <f t="shared" si="10"/>
        <v>0</v>
      </c>
    </row>
    <row r="465" spans="1:5" ht="15" hidden="1">
      <c r="A465" s="567" t="s">
        <v>1084</v>
      </c>
      <c r="B465" s="455" t="s">
        <v>1085</v>
      </c>
      <c r="C465" s="672"/>
      <c r="D465" s="664">
        <f t="shared" si="10"/>
        <v>0</v>
      </c>
      <c r="E465" s="664">
        <f t="shared" si="10"/>
        <v>0</v>
      </c>
    </row>
    <row r="466" spans="1:5" ht="26.25" hidden="1">
      <c r="A466" s="454" t="s">
        <v>654</v>
      </c>
      <c r="B466" s="455" t="s">
        <v>1317</v>
      </c>
      <c r="C466" s="672">
        <v>200</v>
      </c>
      <c r="D466" s="664"/>
      <c r="E466" s="664"/>
    </row>
    <row r="467" spans="1:5" ht="15.75" hidden="1">
      <c r="A467" s="670" t="s">
        <v>822</v>
      </c>
      <c r="B467" s="673" t="s">
        <v>823</v>
      </c>
      <c r="C467" s="674"/>
      <c r="D467" s="669">
        <f aca="true" t="shared" si="11" ref="D467:E469">D468</f>
        <v>0</v>
      </c>
      <c r="E467" s="669">
        <f t="shared" si="11"/>
        <v>0</v>
      </c>
    </row>
    <row r="468" spans="1:5" s="461" customFormat="1" ht="15.75" hidden="1">
      <c r="A468" s="454" t="s">
        <v>726</v>
      </c>
      <c r="B468" s="470" t="s">
        <v>824</v>
      </c>
      <c r="C468" s="456"/>
      <c r="D468" s="655">
        <f t="shared" si="11"/>
        <v>0</v>
      </c>
      <c r="E468" s="655">
        <f t="shared" si="11"/>
        <v>0</v>
      </c>
    </row>
    <row r="469" spans="1:5" ht="15.75" hidden="1">
      <c r="A469" s="454" t="s">
        <v>825</v>
      </c>
      <c r="B469" s="470" t="s">
        <v>826</v>
      </c>
      <c r="C469" s="456"/>
      <c r="D469" s="655">
        <f t="shared" si="11"/>
        <v>0</v>
      </c>
      <c r="E469" s="655">
        <f t="shared" si="11"/>
        <v>0</v>
      </c>
    </row>
    <row r="470" spans="1:5" ht="16.5" hidden="1" thickBot="1">
      <c r="A470" s="676" t="s">
        <v>827</v>
      </c>
      <c r="B470" s="677" t="s">
        <v>826</v>
      </c>
      <c r="C470" s="678" t="s">
        <v>828</v>
      </c>
      <c r="D470" s="679"/>
      <c r="E470" s="679"/>
    </row>
    <row r="471" spans="1:3" ht="15.75">
      <c r="A471" s="415"/>
      <c r="B471" s="680"/>
      <c r="C471" s="413"/>
    </row>
    <row r="472" spans="1:3" ht="15.75">
      <c r="A472" s="415"/>
      <c r="B472" s="680"/>
      <c r="C472" s="413"/>
    </row>
    <row r="473" spans="1:3" ht="15.75">
      <c r="A473" s="415"/>
      <c r="B473" s="680"/>
      <c r="C473" s="413"/>
    </row>
    <row r="474" spans="1:3" ht="15.75">
      <c r="A474" s="415"/>
      <c r="B474" s="680"/>
      <c r="C474" s="413"/>
    </row>
  </sheetData>
  <sheetProtection/>
  <mergeCells count="9">
    <mergeCell ref="B5:E5"/>
    <mergeCell ref="B6:E6"/>
    <mergeCell ref="A8:E8"/>
    <mergeCell ref="F8:K8"/>
    <mergeCell ref="A10:A11"/>
    <mergeCell ref="B10:B11"/>
    <mergeCell ref="C10:C11"/>
    <mergeCell ref="D10:D11"/>
    <mergeCell ref="E10:E11"/>
  </mergeCells>
  <hyperlinks>
    <hyperlink ref="A211" r:id="rId1" display="consultantplus://offline/ref=C6EF3AE28B6C46D1117CBBA251A07B11C6C7C5768D67668B05322DA1BBA42282C9440EEF08E6CC43410E37U6VAM"/>
    <hyperlink ref="A200" r:id="rId2" display="consultantplus://offline/ref=C6EF3AE28B6C46D1117CBBA251A07B11C6C7C5768D606C8B0E322DA1BBA42282C9440EEF08E6CC43400230U6VFM"/>
  </hyperlinks>
  <printOptions/>
  <pageMargins left="0.7086614173228347" right="0.2" top="0.39" bottom="0.34" header="0.31496062992125984" footer="0.31496062992125984"/>
  <pageSetup horizontalDpi="600" verticalDpi="600" orientation="portrait" paperSize="9" scale="76" r:id="rId3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2">
      <selection activeCell="C7" sqref="C7"/>
    </sheetView>
  </sheetViews>
  <sheetFormatPr defaultColWidth="9.00390625" defaultRowHeight="12.75"/>
  <cols>
    <col min="1" max="1" width="8.25390625" style="41" customWidth="1"/>
    <col min="2" max="2" width="51.625" style="41" customWidth="1"/>
    <col min="3" max="3" width="35.875" style="41" customWidth="1"/>
    <col min="4" max="4" width="5.75390625" style="41" hidden="1" customWidth="1"/>
    <col min="5" max="5" width="9.125" style="41" customWidth="1"/>
    <col min="6" max="6" width="11.00390625" style="41" customWidth="1"/>
    <col min="7" max="7" width="1.00390625" style="41" customWidth="1"/>
    <col min="8" max="8" width="0.12890625" style="41" customWidth="1"/>
    <col min="9" max="10" width="9.125" style="41" customWidth="1"/>
    <col min="11" max="11" width="12.00390625" style="41" customWidth="1"/>
    <col min="12" max="16384" width="9.125" style="41" customWidth="1"/>
  </cols>
  <sheetData>
    <row r="1" spans="1:7" s="44" customFormat="1" ht="12.75">
      <c r="A1" s="43"/>
      <c r="B1" s="43"/>
      <c r="C1" s="40" t="s">
        <v>85</v>
      </c>
      <c r="D1" s="43"/>
      <c r="E1" s="43"/>
      <c r="F1" s="43"/>
      <c r="G1" s="43"/>
    </row>
    <row r="2" spans="1:7" s="44" customFormat="1" ht="12.75">
      <c r="A2" s="43"/>
      <c r="B2" s="405" t="s">
        <v>86</v>
      </c>
      <c r="C2" s="405"/>
      <c r="D2" s="43"/>
      <c r="E2" s="43"/>
      <c r="F2" s="43"/>
      <c r="G2" s="43"/>
    </row>
    <row r="3" spans="1:7" s="44" customFormat="1" ht="12.75">
      <c r="A3" s="43"/>
      <c r="B3" s="405" t="s">
        <v>87</v>
      </c>
      <c r="C3" s="405"/>
      <c r="D3" s="43"/>
      <c r="E3" s="43"/>
      <c r="F3" s="43"/>
      <c r="G3" s="43"/>
    </row>
    <row r="4" spans="1:7" s="44" customFormat="1" ht="64.5" customHeight="1">
      <c r="A4" s="43"/>
      <c r="B4" s="45"/>
      <c r="C4" s="45" t="s">
        <v>88</v>
      </c>
      <c r="D4" s="43"/>
      <c r="E4" s="43"/>
      <c r="F4" s="43"/>
      <c r="G4" s="46"/>
    </row>
    <row r="5" spans="1:7" s="44" customFormat="1" ht="13.5" customHeight="1">
      <c r="A5" s="43"/>
      <c r="B5" s="43"/>
      <c r="C5" s="11" t="s">
        <v>89</v>
      </c>
      <c r="D5" s="43"/>
      <c r="E5" s="43"/>
      <c r="F5" s="43"/>
      <c r="G5" s="43"/>
    </row>
    <row r="6" spans="2:13" ht="0.75" customHeight="1">
      <c r="B6" s="406" t="s">
        <v>90</v>
      </c>
      <c r="C6" s="406"/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3:13" ht="12.75">
      <c r="C7" s="47" t="s">
        <v>124</v>
      </c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3:13" ht="0.75" customHeight="1">
      <c r="C8" s="47"/>
      <c r="D8" s="47"/>
      <c r="E8" s="47"/>
      <c r="F8" s="47"/>
      <c r="G8" s="47"/>
      <c r="H8" s="47"/>
      <c r="I8" s="47"/>
      <c r="J8" s="47"/>
      <c r="K8" s="47"/>
      <c r="L8" s="47"/>
      <c r="M8" s="48"/>
    </row>
    <row r="9" spans="2:13" ht="12.75" hidden="1">
      <c r="B9" s="49"/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</row>
    <row r="10" spans="3:13" ht="12.75" hidden="1"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8"/>
    </row>
    <row r="11" spans="3:13" ht="12.75" hidden="1"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8"/>
    </row>
    <row r="12" spans="3:13" ht="12.75" hidden="1"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8"/>
    </row>
    <row r="13" spans="3:13" ht="12.75" hidden="1"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8"/>
    </row>
    <row r="14" spans="1:12" ht="17.25" customHeight="1" hidden="1">
      <c r="A14" s="50"/>
      <c r="B14" s="407"/>
      <c r="C14" s="407"/>
      <c r="D14" s="50"/>
      <c r="E14" s="50"/>
      <c r="F14" s="50"/>
      <c r="G14" s="50"/>
      <c r="H14" s="51"/>
      <c r="I14" s="51"/>
      <c r="J14" s="51"/>
      <c r="K14" s="51"/>
      <c r="L14" s="51"/>
    </row>
    <row r="15" spans="1:12" ht="53.25" customHeight="1">
      <c r="A15" s="50"/>
      <c r="B15" s="408" t="s">
        <v>91</v>
      </c>
      <c r="C15" s="408"/>
      <c r="D15" s="50"/>
      <c r="E15" s="50"/>
      <c r="F15" s="50"/>
      <c r="G15" s="50"/>
      <c r="H15" s="51"/>
      <c r="I15" s="51"/>
      <c r="J15" s="51"/>
      <c r="K15" s="51"/>
      <c r="L15" s="51"/>
    </row>
    <row r="16" spans="1:12" ht="18">
      <c r="A16" s="50"/>
      <c r="B16" s="50"/>
      <c r="C16" s="50"/>
      <c r="D16" s="50"/>
      <c r="E16" s="50"/>
      <c r="F16" s="50"/>
      <c r="G16" s="50"/>
      <c r="H16" s="51"/>
      <c r="I16" s="51"/>
      <c r="J16" s="51"/>
      <c r="K16" s="51"/>
      <c r="L16" s="51"/>
    </row>
    <row r="17" spans="1:12" ht="18">
      <c r="A17" s="52" t="s">
        <v>92</v>
      </c>
      <c r="B17" s="52"/>
      <c r="C17" s="52"/>
      <c r="D17" s="53"/>
      <c r="E17" s="50"/>
      <c r="F17" s="50"/>
      <c r="G17" s="50"/>
      <c r="H17" s="51"/>
      <c r="I17" s="51"/>
      <c r="J17" s="51"/>
      <c r="K17" s="51"/>
      <c r="L17" s="51"/>
    </row>
    <row r="18" spans="1:12" ht="18">
      <c r="A18" s="54"/>
      <c r="B18" s="54"/>
      <c r="C18" s="54"/>
      <c r="D18" s="55"/>
      <c r="E18" s="50"/>
      <c r="F18" s="50"/>
      <c r="G18" s="50"/>
      <c r="H18" s="51"/>
      <c r="I18" s="51"/>
      <c r="J18" s="51"/>
      <c r="K18" s="51"/>
      <c r="L18" s="51"/>
    </row>
    <row r="19" spans="1:12" ht="48.75" customHeight="1">
      <c r="A19" s="56" t="s">
        <v>93</v>
      </c>
      <c r="B19" s="56" t="s">
        <v>94</v>
      </c>
      <c r="C19" s="57" t="s">
        <v>95</v>
      </c>
      <c r="D19" s="55"/>
      <c r="E19" s="50"/>
      <c r="F19" s="50"/>
      <c r="G19" s="50"/>
      <c r="H19" s="51"/>
      <c r="I19" s="51"/>
      <c r="J19" s="51"/>
      <c r="K19" s="51"/>
      <c r="L19" s="51"/>
    </row>
    <row r="20" spans="1:12" ht="30.75" customHeight="1">
      <c r="A20" s="58" t="s">
        <v>96</v>
      </c>
      <c r="B20" s="59" t="s">
        <v>97</v>
      </c>
      <c r="C20" s="60">
        <v>0</v>
      </c>
      <c r="D20" s="55"/>
      <c r="E20" s="50"/>
      <c r="F20" s="50"/>
      <c r="G20" s="50"/>
      <c r="H20" s="51"/>
      <c r="I20" s="51"/>
      <c r="J20" s="51"/>
      <c r="K20" s="51"/>
      <c r="L20" s="51"/>
    </row>
    <row r="21" spans="1:7" ht="30.75">
      <c r="A21" s="58" t="s">
        <v>98</v>
      </c>
      <c r="B21" s="61" t="s">
        <v>99</v>
      </c>
      <c r="C21" s="60">
        <v>0</v>
      </c>
      <c r="D21" s="55"/>
      <c r="E21" s="50"/>
      <c r="F21" s="50"/>
      <c r="G21" s="50"/>
    </row>
    <row r="22" spans="1:7" ht="18">
      <c r="A22" s="58" t="s">
        <v>100</v>
      </c>
      <c r="B22" s="59" t="s">
        <v>101</v>
      </c>
      <c r="C22" s="60">
        <v>0</v>
      </c>
      <c r="D22" s="55"/>
      <c r="E22" s="50"/>
      <c r="F22" s="50"/>
      <c r="G22" s="50"/>
    </row>
    <row r="23" spans="1:7" ht="18">
      <c r="A23" s="58"/>
      <c r="B23" s="62" t="s">
        <v>102</v>
      </c>
      <c r="C23" s="63">
        <f>SUM(C21:C22)</f>
        <v>0</v>
      </c>
      <c r="D23" s="55"/>
      <c r="E23" s="50"/>
      <c r="F23" s="50"/>
      <c r="G23" s="50"/>
    </row>
    <row r="24" spans="1:4" ht="12.75">
      <c r="A24" s="64"/>
      <c r="B24" s="64"/>
      <c r="C24" s="64"/>
      <c r="D24" s="65"/>
    </row>
    <row r="25" spans="1:4" ht="15" hidden="1">
      <c r="A25" s="54" t="s">
        <v>103</v>
      </c>
      <c r="B25" s="54"/>
      <c r="C25" s="64"/>
      <c r="D25" s="65"/>
    </row>
    <row r="26" spans="1:4" ht="12.75" hidden="1">
      <c r="A26" s="64"/>
      <c r="B26" s="64"/>
      <c r="C26" s="64"/>
      <c r="D26" s="65"/>
    </row>
    <row r="27" spans="1:4" ht="30" hidden="1">
      <c r="A27" s="59" t="s">
        <v>93</v>
      </c>
      <c r="B27" s="59" t="s">
        <v>94</v>
      </c>
      <c r="C27" s="61" t="s">
        <v>104</v>
      </c>
      <c r="D27" s="65"/>
    </row>
    <row r="28" spans="1:4" ht="30.75" hidden="1">
      <c r="A28" s="58" t="s">
        <v>96</v>
      </c>
      <c r="B28" s="61" t="s">
        <v>99</v>
      </c>
      <c r="C28" s="66"/>
      <c r="D28" s="65"/>
    </row>
    <row r="29" spans="1:4" ht="18" hidden="1">
      <c r="A29" s="58" t="s">
        <v>98</v>
      </c>
      <c r="B29" s="59" t="s">
        <v>101</v>
      </c>
      <c r="C29" s="66"/>
      <c r="D29" s="65"/>
    </row>
    <row r="30" spans="1:4" ht="18" hidden="1">
      <c r="A30" s="58"/>
      <c r="B30" s="62" t="s">
        <v>102</v>
      </c>
      <c r="C30" s="67">
        <f>C28+C29</f>
        <v>0</v>
      </c>
      <c r="D30" s="65"/>
    </row>
    <row r="31" spans="1:4" ht="12.75">
      <c r="A31" s="68"/>
      <c r="B31" s="68"/>
      <c r="C31" s="68"/>
      <c r="D31" s="69"/>
    </row>
    <row r="33" spans="1:4" ht="12.75">
      <c r="A33" s="64"/>
      <c r="B33" s="64"/>
      <c r="C33" s="64"/>
      <c r="D33" s="65"/>
    </row>
    <row r="34" spans="1:4" ht="15">
      <c r="A34" s="54" t="s">
        <v>103</v>
      </c>
      <c r="B34" s="54"/>
      <c r="C34" s="64"/>
      <c r="D34" s="65"/>
    </row>
    <row r="35" spans="1:4" ht="12.75">
      <c r="A35" s="64"/>
      <c r="B35" s="64"/>
      <c r="C35" s="64"/>
      <c r="D35" s="65"/>
    </row>
    <row r="36" spans="1:4" ht="47.25" customHeight="1">
      <c r="A36" s="56" t="s">
        <v>93</v>
      </c>
      <c r="B36" s="56" t="s">
        <v>94</v>
      </c>
      <c r="C36" s="56" t="s">
        <v>105</v>
      </c>
      <c r="D36" s="65"/>
    </row>
    <row r="37" spans="1:4" ht="18">
      <c r="A37" s="70">
        <v>1</v>
      </c>
      <c r="B37" s="59" t="s">
        <v>97</v>
      </c>
      <c r="C37" s="60">
        <v>0</v>
      </c>
      <c r="D37" s="65"/>
    </row>
    <row r="38" spans="1:4" ht="30.75">
      <c r="A38" s="58" t="s">
        <v>98</v>
      </c>
      <c r="B38" s="61" t="s">
        <v>99</v>
      </c>
      <c r="C38" s="60">
        <v>-8000000</v>
      </c>
      <c r="D38" s="65"/>
    </row>
    <row r="39" spans="1:4" ht="18">
      <c r="A39" s="58" t="s">
        <v>100</v>
      </c>
      <c r="B39" s="59" t="s">
        <v>101</v>
      </c>
      <c r="C39" s="60">
        <v>0</v>
      </c>
      <c r="D39" s="65"/>
    </row>
    <row r="40" spans="1:4" ht="18">
      <c r="A40" s="58"/>
      <c r="B40" s="62" t="s">
        <v>102</v>
      </c>
      <c r="C40" s="63">
        <f>C37+C38+C39</f>
        <v>-8000000</v>
      </c>
      <c r="D40" s="65"/>
    </row>
    <row r="41" spans="1:4" ht="12.75">
      <c r="A41" s="68"/>
      <c r="B41" s="68"/>
      <c r="C41" s="68"/>
      <c r="D41" s="69"/>
    </row>
  </sheetData>
  <sheetProtection/>
  <mergeCells count="5">
    <mergeCell ref="B2:C2"/>
    <mergeCell ref="B3:C3"/>
    <mergeCell ref="B6:C6"/>
    <mergeCell ref="B14:C14"/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4">
      <selection activeCell="C7" sqref="C7:E7"/>
    </sheetView>
  </sheetViews>
  <sheetFormatPr defaultColWidth="9.00390625" defaultRowHeight="12.75"/>
  <cols>
    <col min="1" max="1" width="6.75390625" style="0" customWidth="1"/>
    <col min="2" max="2" width="41.375" style="0" customWidth="1"/>
    <col min="3" max="3" width="21.75390625" style="0" customWidth="1"/>
    <col min="4" max="4" width="5.75390625" style="0" hidden="1" customWidth="1"/>
    <col min="5" max="5" width="26.25390625" style="0" customWidth="1"/>
    <col min="6" max="6" width="11.00390625" style="0" customWidth="1"/>
    <col min="7" max="7" width="1.00390625" style="0" customWidth="1"/>
    <col min="8" max="8" width="0.12890625" style="0" customWidth="1"/>
    <col min="11" max="11" width="12.00390625" style="0" customWidth="1"/>
  </cols>
  <sheetData>
    <row r="1" spans="1:7" s="1" customFormat="1" ht="12.75">
      <c r="A1" s="11"/>
      <c r="B1" s="11"/>
      <c r="C1" s="394" t="s">
        <v>106</v>
      </c>
      <c r="D1" s="394"/>
      <c r="E1" s="394"/>
      <c r="F1" s="11"/>
      <c r="G1" s="11"/>
    </row>
    <row r="2" spans="1:7" s="1" customFormat="1" ht="12.75">
      <c r="A2" s="11"/>
      <c r="B2" s="11"/>
      <c r="C2" s="392" t="s">
        <v>86</v>
      </c>
      <c r="D2" s="392"/>
      <c r="E2" s="392"/>
      <c r="F2" s="11"/>
      <c r="G2" s="11"/>
    </row>
    <row r="3" spans="1:7" s="1" customFormat="1" ht="12.75">
      <c r="A3" s="11"/>
      <c r="B3" s="11"/>
      <c r="C3" s="392" t="s">
        <v>87</v>
      </c>
      <c r="D3" s="392"/>
      <c r="E3" s="392"/>
      <c r="F3" s="11"/>
      <c r="G3" s="11"/>
    </row>
    <row r="4" spans="1:7" s="1" customFormat="1" ht="48.75" customHeight="1">
      <c r="A4" s="11"/>
      <c r="B4" s="71"/>
      <c r="C4" s="393" t="s">
        <v>107</v>
      </c>
      <c r="D4" s="393"/>
      <c r="E4" s="393"/>
      <c r="F4" s="11"/>
      <c r="G4" s="72"/>
    </row>
    <row r="5" spans="1:7" s="1" customFormat="1" ht="13.5" customHeight="1">
      <c r="A5" s="11"/>
      <c r="B5" s="11"/>
      <c r="C5" s="394" t="s">
        <v>108</v>
      </c>
      <c r="D5" s="394"/>
      <c r="E5" s="394"/>
      <c r="F5" s="11"/>
      <c r="G5" s="11"/>
    </row>
    <row r="6" spans="3:13" ht="0.75" customHeight="1">
      <c r="C6" s="411" t="s">
        <v>109</v>
      </c>
      <c r="D6" s="411"/>
      <c r="E6" s="411"/>
      <c r="F6" s="2"/>
      <c r="G6" s="2"/>
      <c r="H6" s="2"/>
      <c r="I6" s="2"/>
      <c r="J6" s="2"/>
      <c r="K6" s="2"/>
      <c r="L6" s="2"/>
      <c r="M6" s="73"/>
    </row>
    <row r="7" spans="3:13" ht="12" customHeight="1">
      <c r="C7" s="412" t="s">
        <v>125</v>
      </c>
      <c r="D7" s="412"/>
      <c r="E7" s="412"/>
      <c r="F7" s="2"/>
      <c r="G7" s="2"/>
      <c r="H7" s="2"/>
      <c r="I7" s="2"/>
      <c r="J7" s="2"/>
      <c r="K7" s="2"/>
      <c r="L7" s="2"/>
      <c r="M7" s="73"/>
    </row>
    <row r="8" spans="2:13" ht="12.75" hidden="1">
      <c r="B8" s="74"/>
      <c r="C8" s="2"/>
      <c r="D8" s="2"/>
      <c r="E8" s="2"/>
      <c r="F8" s="2"/>
      <c r="G8" s="2"/>
      <c r="H8" s="2"/>
      <c r="I8" s="2"/>
      <c r="J8" s="2"/>
      <c r="K8" s="2"/>
      <c r="L8" s="2"/>
      <c r="M8" s="73"/>
    </row>
    <row r="9" spans="3:13" ht="12.75" hidden="1">
      <c r="C9" s="2"/>
      <c r="D9" s="2"/>
      <c r="E9" s="2"/>
      <c r="F9" s="2"/>
      <c r="G9" s="2"/>
      <c r="H9" s="2"/>
      <c r="I9" s="2"/>
      <c r="J9" s="2"/>
      <c r="K9" s="2"/>
      <c r="L9" s="2"/>
      <c r="M9" s="73"/>
    </row>
    <row r="10" spans="3:13" ht="12.75" hidden="1">
      <c r="C10" s="2"/>
      <c r="D10" s="2"/>
      <c r="E10" s="2"/>
      <c r="F10" s="2"/>
      <c r="G10" s="2"/>
      <c r="H10" s="2"/>
      <c r="I10" s="2"/>
      <c r="J10" s="2"/>
      <c r="K10" s="2"/>
      <c r="L10" s="2"/>
      <c r="M10" s="73"/>
    </row>
    <row r="11" spans="3:13" ht="12.75" hidden="1">
      <c r="C11" s="2"/>
      <c r="D11" s="2"/>
      <c r="E11" s="2"/>
      <c r="F11" s="2"/>
      <c r="G11" s="2"/>
      <c r="H11" s="2"/>
      <c r="I11" s="2"/>
      <c r="J11" s="2"/>
      <c r="K11" s="2"/>
      <c r="L11" s="2"/>
      <c r="M11" s="73"/>
    </row>
    <row r="12" spans="3:13" ht="12.75" hidden="1">
      <c r="C12" s="2"/>
      <c r="D12" s="2"/>
      <c r="E12" s="2"/>
      <c r="F12" s="2"/>
      <c r="G12" s="2"/>
      <c r="H12" s="2"/>
      <c r="I12" s="2"/>
      <c r="J12" s="2"/>
      <c r="K12" s="2"/>
      <c r="L12" s="2"/>
      <c r="M12" s="73"/>
    </row>
    <row r="13" spans="3:13" ht="12.75" hidden="1">
      <c r="C13" s="2"/>
      <c r="D13" s="2"/>
      <c r="E13" s="2"/>
      <c r="F13" s="2"/>
      <c r="G13" s="2"/>
      <c r="H13" s="2"/>
      <c r="I13" s="2"/>
      <c r="J13" s="2"/>
      <c r="K13" s="2"/>
      <c r="L13" s="2"/>
      <c r="M13" s="73"/>
    </row>
    <row r="14" spans="1:12" ht="18">
      <c r="A14" s="75"/>
      <c r="B14" s="409" t="s">
        <v>110</v>
      </c>
      <c r="C14" s="409"/>
      <c r="D14" s="409"/>
      <c r="E14" s="409"/>
      <c r="F14" s="75"/>
      <c r="G14" s="75"/>
      <c r="H14" s="76"/>
      <c r="I14" s="76"/>
      <c r="J14" s="76"/>
      <c r="K14" s="76"/>
      <c r="L14" s="76"/>
    </row>
    <row r="15" spans="1:12" ht="32.25" customHeight="1">
      <c r="A15" s="75"/>
      <c r="B15" s="410" t="s">
        <v>111</v>
      </c>
      <c r="C15" s="410"/>
      <c r="D15" s="410"/>
      <c r="E15" s="410"/>
      <c r="F15" s="75"/>
      <c r="G15" s="75"/>
      <c r="H15" s="76"/>
      <c r="I15" s="76"/>
      <c r="J15" s="76"/>
      <c r="K15" s="76"/>
      <c r="L15" s="76"/>
    </row>
    <row r="16" spans="1:12" ht="18">
      <c r="A16" s="75"/>
      <c r="B16" s="75"/>
      <c r="C16" s="75"/>
      <c r="D16" s="75"/>
      <c r="E16" s="75"/>
      <c r="F16" s="75"/>
      <c r="G16" s="75"/>
      <c r="H16" s="76"/>
      <c r="I16" s="76"/>
      <c r="J16" s="76"/>
      <c r="K16" s="76"/>
      <c r="L16" s="76"/>
    </row>
    <row r="17" spans="1:12" ht="18">
      <c r="A17" s="77" t="s">
        <v>92</v>
      </c>
      <c r="B17" s="77"/>
      <c r="C17" s="77"/>
      <c r="D17" s="78"/>
      <c r="E17" s="75"/>
      <c r="F17" s="75"/>
      <c r="G17" s="75"/>
      <c r="H17" s="76"/>
      <c r="I17" s="76"/>
      <c r="J17" s="76"/>
      <c r="K17" s="76"/>
      <c r="L17" s="76"/>
    </row>
    <row r="18" spans="1:12" ht="18">
      <c r="A18" s="79"/>
      <c r="B18" s="79"/>
      <c r="C18" s="79"/>
      <c r="D18" s="80"/>
      <c r="E18" s="75"/>
      <c r="F18" s="75"/>
      <c r="G18" s="75"/>
      <c r="H18" s="76"/>
      <c r="I18" s="76"/>
      <c r="J18" s="76"/>
      <c r="K18" s="76"/>
      <c r="L18" s="76"/>
    </row>
    <row r="19" spans="1:12" ht="79.5" customHeight="1">
      <c r="A19" s="81" t="s">
        <v>93</v>
      </c>
      <c r="B19" s="81" t="s">
        <v>94</v>
      </c>
      <c r="C19" s="81" t="s">
        <v>112</v>
      </c>
      <c r="D19" s="82"/>
      <c r="E19" s="81" t="s">
        <v>113</v>
      </c>
      <c r="F19" s="75"/>
      <c r="G19" s="75"/>
      <c r="H19" s="76"/>
      <c r="I19" s="76"/>
      <c r="J19" s="76"/>
      <c r="K19" s="76"/>
      <c r="L19" s="76"/>
    </row>
    <row r="20" spans="1:12" ht="30.75" customHeight="1">
      <c r="A20" s="83" t="s">
        <v>96</v>
      </c>
      <c r="B20" s="84" t="s">
        <v>97</v>
      </c>
      <c r="C20" s="85">
        <v>0</v>
      </c>
      <c r="D20" s="80"/>
      <c r="E20" s="86">
        <v>0</v>
      </c>
      <c r="F20" s="75"/>
      <c r="G20" s="75"/>
      <c r="H20" s="76"/>
      <c r="I20" s="76"/>
      <c r="J20" s="76"/>
      <c r="K20" s="76"/>
      <c r="L20" s="76"/>
    </row>
    <row r="21" spans="1:7" ht="58.5" customHeight="1">
      <c r="A21" s="83" t="s">
        <v>98</v>
      </c>
      <c r="B21" s="87" t="s">
        <v>99</v>
      </c>
      <c r="C21" s="88">
        <v>0</v>
      </c>
      <c r="D21" s="80"/>
      <c r="E21" s="86">
        <v>0</v>
      </c>
      <c r="F21" s="75"/>
      <c r="G21" s="75"/>
    </row>
    <row r="22" spans="1:7" ht="18">
      <c r="A22" s="83" t="s">
        <v>100</v>
      </c>
      <c r="B22" s="84" t="s">
        <v>101</v>
      </c>
      <c r="C22" s="85">
        <v>0</v>
      </c>
      <c r="D22" s="85">
        <v>0</v>
      </c>
      <c r="E22" s="85">
        <v>0</v>
      </c>
      <c r="F22" s="75"/>
      <c r="G22" s="75"/>
    </row>
    <row r="23" spans="1:7" ht="18">
      <c r="A23" s="89"/>
      <c r="B23" s="90" t="s">
        <v>102</v>
      </c>
      <c r="C23" s="91">
        <f>SUM(C21:C22)</f>
        <v>0</v>
      </c>
      <c r="D23" s="91">
        <f>SUM(D21:D22)</f>
        <v>0</v>
      </c>
      <c r="E23" s="91">
        <f>SUM(E21:E22)</f>
        <v>0</v>
      </c>
      <c r="F23" s="75"/>
      <c r="G23" s="75"/>
    </row>
    <row r="24" spans="1:4" ht="12.75">
      <c r="A24" s="92"/>
      <c r="B24" s="92"/>
      <c r="C24" s="92"/>
      <c r="D24" s="93"/>
    </row>
    <row r="25" spans="1:4" ht="15" hidden="1">
      <c r="A25" s="79" t="s">
        <v>103</v>
      </c>
      <c r="B25" s="79"/>
      <c r="C25" s="92"/>
      <c r="D25" s="93"/>
    </row>
    <row r="26" spans="1:4" ht="12.75" hidden="1">
      <c r="A26" s="92"/>
      <c r="B26" s="92"/>
      <c r="C26" s="92"/>
      <c r="D26" s="93"/>
    </row>
    <row r="27" spans="1:4" ht="45" hidden="1">
      <c r="A27" s="84" t="s">
        <v>93</v>
      </c>
      <c r="B27" s="84" t="s">
        <v>94</v>
      </c>
      <c r="C27" s="87" t="s">
        <v>104</v>
      </c>
      <c r="D27" s="93"/>
    </row>
    <row r="28" spans="1:4" ht="45.75" hidden="1">
      <c r="A28" s="89" t="s">
        <v>96</v>
      </c>
      <c r="B28" s="87" t="s">
        <v>99</v>
      </c>
      <c r="C28" s="94"/>
      <c r="D28" s="93"/>
    </row>
    <row r="29" spans="1:4" ht="18" hidden="1">
      <c r="A29" s="89" t="s">
        <v>98</v>
      </c>
      <c r="B29" s="84" t="s">
        <v>101</v>
      </c>
      <c r="C29" s="94"/>
      <c r="D29" s="93"/>
    </row>
    <row r="30" spans="1:4" ht="18" hidden="1">
      <c r="A30" s="89"/>
      <c r="B30" s="90" t="s">
        <v>102</v>
      </c>
      <c r="C30" s="95">
        <f>C28+C29</f>
        <v>0</v>
      </c>
      <c r="D30" s="93"/>
    </row>
    <row r="31" spans="1:4" ht="12.75">
      <c r="A31" s="96"/>
      <c r="B31" s="96"/>
      <c r="C31" s="96"/>
      <c r="D31" s="97"/>
    </row>
    <row r="33" spans="1:4" ht="12.75">
      <c r="A33" s="92"/>
      <c r="B33" s="92"/>
      <c r="C33" s="92"/>
      <c r="D33" s="93"/>
    </row>
    <row r="34" spans="1:4" ht="15">
      <c r="A34" s="79" t="s">
        <v>103</v>
      </c>
      <c r="B34" s="79"/>
      <c r="C34" s="92"/>
      <c r="D34" s="93"/>
    </row>
    <row r="35" spans="1:4" ht="12.75">
      <c r="A35" s="92"/>
      <c r="B35" s="92"/>
      <c r="C35" s="92"/>
      <c r="D35" s="93"/>
    </row>
    <row r="36" spans="1:5" ht="72" customHeight="1">
      <c r="A36" s="81" t="s">
        <v>93</v>
      </c>
      <c r="B36" s="81" t="s">
        <v>94</v>
      </c>
      <c r="C36" s="81" t="s">
        <v>114</v>
      </c>
      <c r="D36" s="98"/>
      <c r="E36" s="81" t="s">
        <v>115</v>
      </c>
    </row>
    <row r="37" spans="1:5" ht="18">
      <c r="A37" s="83">
        <v>1</v>
      </c>
      <c r="B37" s="84" t="s">
        <v>97</v>
      </c>
      <c r="C37" s="85">
        <v>0</v>
      </c>
      <c r="D37" s="93"/>
      <c r="E37" s="86">
        <v>0</v>
      </c>
    </row>
    <row r="38" spans="1:5" ht="45.75">
      <c r="A38" s="83" t="s">
        <v>98</v>
      </c>
      <c r="B38" s="87" t="s">
        <v>99</v>
      </c>
      <c r="C38" s="88">
        <v>-5537000</v>
      </c>
      <c r="D38" s="93"/>
      <c r="E38" s="86">
        <v>0</v>
      </c>
    </row>
    <row r="39" spans="1:5" ht="18">
      <c r="A39" s="83" t="s">
        <v>100</v>
      </c>
      <c r="B39" s="84" t="s">
        <v>101</v>
      </c>
      <c r="C39" s="85">
        <v>0</v>
      </c>
      <c r="D39" s="85">
        <v>0</v>
      </c>
      <c r="E39" s="85">
        <v>0</v>
      </c>
    </row>
    <row r="40" spans="1:5" ht="18">
      <c r="A40" s="89"/>
      <c r="B40" s="90" t="s">
        <v>102</v>
      </c>
      <c r="C40" s="91">
        <f>C38+C39</f>
        <v>-5537000</v>
      </c>
      <c r="D40" s="91">
        <f>D38+D39</f>
        <v>0</v>
      </c>
      <c r="E40" s="91">
        <f>E38+E39</f>
        <v>0</v>
      </c>
    </row>
    <row r="41" spans="1:5" ht="12.75">
      <c r="A41" s="96"/>
      <c r="B41" s="96"/>
      <c r="C41" s="96"/>
      <c r="D41" s="97"/>
      <c r="E41" s="42"/>
    </row>
  </sheetData>
  <sheetProtection/>
  <mergeCells count="9">
    <mergeCell ref="B14:E14"/>
    <mergeCell ref="B15:E15"/>
    <mergeCell ref="C1:E1"/>
    <mergeCell ref="C2:E2"/>
    <mergeCell ref="C3:E3"/>
    <mergeCell ref="C4:E4"/>
    <mergeCell ref="C5:E5"/>
    <mergeCell ref="C6:E6"/>
    <mergeCell ref="C7:E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B7" sqref="B7:C7"/>
    </sheetView>
  </sheetViews>
  <sheetFormatPr defaultColWidth="9.00390625" defaultRowHeight="21.75" customHeight="1"/>
  <cols>
    <col min="1" max="1" width="28.125" style="0" customWidth="1"/>
    <col min="2" max="2" width="44.625" style="0" customWidth="1"/>
    <col min="3" max="3" width="14.625" style="38" customWidth="1"/>
    <col min="4" max="4" width="0.12890625" style="0" hidden="1" customWidth="1"/>
    <col min="5" max="5" width="14.375" style="0" customWidth="1"/>
    <col min="6" max="6" width="9.125" style="0" hidden="1" customWidth="1"/>
    <col min="7" max="7" width="10.125" style="0" hidden="1" customWidth="1"/>
    <col min="8" max="8" width="15.375" style="0" customWidth="1"/>
    <col min="9" max="9" width="19.125" style="28" customWidth="1"/>
    <col min="10" max="10" width="12.25390625" style="0" customWidth="1"/>
    <col min="11" max="11" width="18.125" style="28" customWidth="1"/>
    <col min="12" max="12" width="11.875" style="0" customWidth="1"/>
  </cols>
  <sheetData>
    <row r="1" spans="1:11" s="1" customFormat="1" ht="15.75">
      <c r="A1" s="391" t="s">
        <v>116</v>
      </c>
      <c r="B1" s="391"/>
      <c r="C1" s="391"/>
      <c r="D1" s="391"/>
      <c r="E1" s="391"/>
      <c r="I1" s="26"/>
      <c r="K1" s="26"/>
    </row>
    <row r="2" spans="1:11" s="1" customFormat="1" ht="12.75">
      <c r="A2" s="394" t="s">
        <v>117</v>
      </c>
      <c r="B2" s="394"/>
      <c r="C2" s="394"/>
      <c r="D2" s="394"/>
      <c r="E2" s="394"/>
      <c r="I2" s="26"/>
      <c r="K2" s="26"/>
    </row>
    <row r="3" spans="1:11" s="1" customFormat="1" ht="12.75">
      <c r="A3" s="394" t="s">
        <v>118</v>
      </c>
      <c r="B3" s="394"/>
      <c r="C3" s="394"/>
      <c r="D3" s="394"/>
      <c r="E3" s="394"/>
      <c r="I3" s="26"/>
      <c r="K3" s="26"/>
    </row>
    <row r="4" spans="1:11" s="11" customFormat="1" ht="33" customHeight="1">
      <c r="A4" s="4"/>
      <c r="B4" s="395" t="s">
        <v>119</v>
      </c>
      <c r="C4" s="395"/>
      <c r="D4" s="395"/>
      <c r="E4" s="395"/>
      <c r="I4" s="27"/>
      <c r="K4" s="27"/>
    </row>
    <row r="5" spans="1:11" s="11" customFormat="1" ht="28.5" customHeight="1" hidden="1">
      <c r="A5" s="4"/>
      <c r="B5" s="393" t="s">
        <v>30</v>
      </c>
      <c r="C5" s="393"/>
      <c r="D5" s="4"/>
      <c r="I5" s="27"/>
      <c r="K5" s="27"/>
    </row>
    <row r="6" spans="1:11" s="11" customFormat="1" ht="12.75" hidden="1">
      <c r="A6" s="4"/>
      <c r="B6" s="394" t="s">
        <v>34</v>
      </c>
      <c r="C6" s="394"/>
      <c r="I6" s="27"/>
      <c r="K6" s="27"/>
    </row>
    <row r="7" spans="1:4" ht="24.75" customHeight="1">
      <c r="A7" s="2"/>
      <c r="B7" s="387" t="s">
        <v>123</v>
      </c>
      <c r="C7" s="387"/>
      <c r="D7" s="2"/>
    </row>
    <row r="8" spans="1:4" ht="9.75" customHeight="1">
      <c r="A8" s="388" t="s">
        <v>68</v>
      </c>
      <c r="B8" s="388"/>
      <c r="C8" s="388"/>
      <c r="D8" s="388"/>
    </row>
    <row r="9" spans="1:5" ht="38.25" customHeight="1">
      <c r="A9" s="389" t="s">
        <v>69</v>
      </c>
      <c r="B9" s="389"/>
      <c r="C9" s="389"/>
      <c r="D9" s="389"/>
      <c r="E9" s="389"/>
    </row>
    <row r="10" spans="1:5" ht="15.75" customHeight="1">
      <c r="A10" s="388" t="s">
        <v>120</v>
      </c>
      <c r="B10" s="388"/>
      <c r="C10" s="388"/>
      <c r="D10" s="388"/>
      <c r="E10" s="388"/>
    </row>
    <row r="11" spans="3:5" ht="13.5" customHeight="1">
      <c r="C11" s="29"/>
      <c r="E11" t="s">
        <v>82</v>
      </c>
    </row>
    <row r="12" spans="1:5" ht="38.25" customHeight="1">
      <c r="A12" s="7" t="s">
        <v>62</v>
      </c>
      <c r="B12" s="7" t="s">
        <v>3</v>
      </c>
      <c r="C12" s="99" t="s">
        <v>121</v>
      </c>
      <c r="D12" s="100"/>
      <c r="E12" s="101">
        <v>2021</v>
      </c>
    </row>
    <row r="13" spans="1:5" ht="12.75" customHeight="1">
      <c r="A13" s="102">
        <v>1</v>
      </c>
      <c r="B13" s="102">
        <v>2</v>
      </c>
      <c r="C13" s="103">
        <v>3</v>
      </c>
      <c r="D13" s="2"/>
      <c r="E13" s="101">
        <v>4</v>
      </c>
    </row>
    <row r="14" spans="1:11" s="5" customFormat="1" ht="1.5" customHeight="1" hidden="1">
      <c r="A14" s="8" t="s">
        <v>4</v>
      </c>
      <c r="B14" s="9" t="s">
        <v>5</v>
      </c>
      <c r="C14" s="31">
        <f>C15+C35</f>
        <v>-5537000</v>
      </c>
      <c r="D14" s="104">
        <f>D15</f>
        <v>-5508343.731</v>
      </c>
      <c r="E14" s="105"/>
      <c r="I14" s="32"/>
      <c r="K14" s="32"/>
    </row>
    <row r="15" spans="1:5" ht="24.75" customHeight="1">
      <c r="A15" s="15" t="s">
        <v>6</v>
      </c>
      <c r="B15" s="16" t="s">
        <v>7</v>
      </c>
      <c r="C15" s="33">
        <f>C21+C26+C16</f>
        <v>-5537000</v>
      </c>
      <c r="D15" s="33">
        <f>D21+D26+D16</f>
        <v>-5508343.731</v>
      </c>
      <c r="E15" s="33">
        <f>E21+E26+E16</f>
        <v>0</v>
      </c>
    </row>
    <row r="16" spans="1:5" ht="24.75" customHeight="1" hidden="1">
      <c r="A16" s="8" t="s">
        <v>59</v>
      </c>
      <c r="B16" s="14" t="s">
        <v>58</v>
      </c>
      <c r="C16" s="33">
        <f>C17+C20</f>
        <v>0</v>
      </c>
      <c r="D16" s="33">
        <f>D17+D20</f>
        <v>0</v>
      </c>
      <c r="E16" s="33">
        <f>E17+E20</f>
        <v>0</v>
      </c>
    </row>
    <row r="17" spans="1:5" ht="1.5" customHeight="1" hidden="1">
      <c r="A17" s="15" t="s">
        <v>57</v>
      </c>
      <c r="B17" s="16" t="s">
        <v>60</v>
      </c>
      <c r="C17" s="33">
        <f>C18</f>
        <v>0</v>
      </c>
      <c r="D17" s="33">
        <f>D18</f>
        <v>0</v>
      </c>
      <c r="E17" s="33">
        <f>E18</f>
        <v>0</v>
      </c>
    </row>
    <row r="18" spans="1:5" ht="39" customHeight="1" hidden="1">
      <c r="A18" s="21" t="s">
        <v>31</v>
      </c>
      <c r="B18" s="16" t="s">
        <v>61</v>
      </c>
      <c r="C18" s="33">
        <v>0</v>
      </c>
      <c r="D18" s="33">
        <v>0</v>
      </c>
      <c r="E18" s="33">
        <v>0</v>
      </c>
    </row>
    <row r="19" spans="1:5" ht="39" customHeight="1" hidden="1">
      <c r="A19" s="21" t="s">
        <v>32</v>
      </c>
      <c r="B19" s="22" t="s">
        <v>66</v>
      </c>
      <c r="C19" s="33">
        <v>0</v>
      </c>
      <c r="D19" s="33">
        <v>0</v>
      </c>
      <c r="E19" s="33">
        <v>0</v>
      </c>
    </row>
    <row r="20" spans="1:5" ht="39" customHeight="1" hidden="1">
      <c r="A20" s="21" t="s">
        <v>33</v>
      </c>
      <c r="B20" s="22" t="s">
        <v>67</v>
      </c>
      <c r="C20" s="33">
        <v>0</v>
      </c>
      <c r="D20" s="33">
        <v>0</v>
      </c>
      <c r="E20" s="33">
        <v>0</v>
      </c>
    </row>
    <row r="21" spans="1:11" ht="42" customHeight="1">
      <c r="A21" s="8" t="s">
        <v>8</v>
      </c>
      <c r="B21" s="23" t="s">
        <v>9</v>
      </c>
      <c r="C21" s="31">
        <f>C22+C24</f>
        <v>-5537000</v>
      </c>
      <c r="D21" s="31">
        <f>D22+D24</f>
        <v>-3544.7309999999998</v>
      </c>
      <c r="E21" s="31">
        <f>E22+E24</f>
        <v>0</v>
      </c>
      <c r="J21" s="387"/>
      <c r="K21" s="387"/>
    </row>
    <row r="22" spans="1:11" ht="40.5" customHeight="1" hidden="1">
      <c r="A22" s="21" t="s">
        <v>70</v>
      </c>
      <c r="B22" s="18" t="s">
        <v>10</v>
      </c>
      <c r="C22" s="33">
        <f>C23</f>
        <v>0</v>
      </c>
      <c r="D22" s="33">
        <f>D23</f>
        <v>21657</v>
      </c>
      <c r="E22" s="33">
        <f>E23</f>
        <v>0</v>
      </c>
      <c r="J22" s="390"/>
      <c r="K22" s="390"/>
    </row>
    <row r="23" spans="1:12" ht="52.5" customHeight="1" hidden="1">
      <c r="A23" s="21" t="s">
        <v>71</v>
      </c>
      <c r="B23" s="18" t="s">
        <v>11</v>
      </c>
      <c r="C23" s="33">
        <v>0</v>
      </c>
      <c r="D23" s="106">
        <v>21657</v>
      </c>
      <c r="E23" s="107">
        <v>0</v>
      </c>
      <c r="G23" s="6"/>
      <c r="H23" s="28"/>
      <c r="I23" s="34"/>
      <c r="J23" s="34"/>
      <c r="K23" s="34"/>
      <c r="L23" s="2"/>
    </row>
    <row r="24" spans="1:10" ht="39.75" customHeight="1">
      <c r="A24" s="21" t="s">
        <v>72</v>
      </c>
      <c r="B24" s="18" t="s">
        <v>12</v>
      </c>
      <c r="C24" s="33">
        <f>C25</f>
        <v>-5537000</v>
      </c>
      <c r="D24" s="33">
        <f>D25</f>
        <v>-25201.731</v>
      </c>
      <c r="E24" s="33">
        <f>E25</f>
        <v>0</v>
      </c>
      <c r="H24" s="28"/>
      <c r="J24" s="28"/>
    </row>
    <row r="25" spans="1:11" ht="51">
      <c r="A25" s="21" t="s">
        <v>73</v>
      </c>
      <c r="B25" s="18" t="s">
        <v>13</v>
      </c>
      <c r="C25" s="33">
        <v>-5537000</v>
      </c>
      <c r="D25" s="106">
        <v>-25201.731</v>
      </c>
      <c r="E25" s="107"/>
      <c r="H25" s="28">
        <v>442554848</v>
      </c>
      <c r="I25" s="28">
        <v>443740679</v>
      </c>
      <c r="K25"/>
    </row>
    <row r="26" spans="1:9" ht="25.5" customHeight="1">
      <c r="A26" s="8" t="s">
        <v>14</v>
      </c>
      <c r="B26" s="9" t="s">
        <v>15</v>
      </c>
      <c r="C26" s="31">
        <f>C27+C31</f>
        <v>0</v>
      </c>
      <c r="D26" s="31">
        <f>D27+D31</f>
        <v>-5504799</v>
      </c>
      <c r="E26" s="31">
        <f>E27+E31</f>
        <v>0</v>
      </c>
      <c r="H26" s="6">
        <v>437017848</v>
      </c>
      <c r="I26" s="28">
        <v>443740679</v>
      </c>
    </row>
    <row r="27" spans="1:9" ht="12.75">
      <c r="A27" s="15" t="s">
        <v>16</v>
      </c>
      <c r="B27" s="18" t="s">
        <v>17</v>
      </c>
      <c r="C27" s="33">
        <f>C28</f>
        <v>-445054848</v>
      </c>
      <c r="D27" s="33">
        <f aca="true" t="shared" si="0" ref="D27:E29">D28</f>
        <v>-411219023</v>
      </c>
      <c r="E27" s="33">
        <f t="shared" si="0"/>
        <v>-446240679</v>
      </c>
      <c r="H27" s="28">
        <f>H25-H26</f>
        <v>5537000</v>
      </c>
      <c r="I27" s="28">
        <f>I25-I26</f>
        <v>0</v>
      </c>
    </row>
    <row r="28" spans="1:8" ht="21" customHeight="1">
      <c r="A28" s="15" t="s">
        <v>18</v>
      </c>
      <c r="B28" s="19" t="s">
        <v>19</v>
      </c>
      <c r="C28" s="33">
        <f>C29</f>
        <v>-445054848</v>
      </c>
      <c r="D28" s="33">
        <f t="shared" si="0"/>
        <v>-411219023</v>
      </c>
      <c r="E28" s="33">
        <f t="shared" si="0"/>
        <v>-446240679</v>
      </c>
      <c r="H28" s="6"/>
    </row>
    <row r="29" spans="1:5" ht="25.5">
      <c r="A29" s="15" t="s">
        <v>20</v>
      </c>
      <c r="B29" s="18" t="s">
        <v>21</v>
      </c>
      <c r="C29" s="33">
        <f>C30</f>
        <v>-445054848</v>
      </c>
      <c r="D29" s="33">
        <f t="shared" si="0"/>
        <v>-411219023</v>
      </c>
      <c r="E29" s="33">
        <f t="shared" si="0"/>
        <v>-446240679</v>
      </c>
    </row>
    <row r="30" spans="1:8" ht="25.5">
      <c r="A30" s="15" t="s">
        <v>22</v>
      </c>
      <c r="B30" s="18" t="s">
        <v>65</v>
      </c>
      <c r="C30" s="33">
        <f>-442554848-C37</f>
        <v>-445054848</v>
      </c>
      <c r="D30" s="33">
        <f>-408536023-D37</f>
        <v>-411219023</v>
      </c>
      <c r="E30" s="33">
        <f>-443740679-E37</f>
        <v>-446240679</v>
      </c>
      <c r="H30" s="6"/>
    </row>
    <row r="31" spans="1:5" ht="14.25" customHeight="1">
      <c r="A31" s="15" t="s">
        <v>23</v>
      </c>
      <c r="B31" s="18" t="s">
        <v>24</v>
      </c>
      <c r="C31" s="33">
        <f>C32</f>
        <v>445054848</v>
      </c>
      <c r="D31" s="33">
        <f aca="true" t="shared" si="1" ref="D31:E33">D32</f>
        <v>405714224</v>
      </c>
      <c r="E31" s="33">
        <f t="shared" si="1"/>
        <v>446240679</v>
      </c>
    </row>
    <row r="32" spans="1:8" ht="12.75">
      <c r="A32" s="15" t="s">
        <v>25</v>
      </c>
      <c r="B32" s="20" t="s">
        <v>26</v>
      </c>
      <c r="C32" s="33">
        <f>C33</f>
        <v>445054848</v>
      </c>
      <c r="D32" s="33">
        <f t="shared" si="1"/>
        <v>405714224</v>
      </c>
      <c r="E32" s="33">
        <f t="shared" si="1"/>
        <v>446240679</v>
      </c>
      <c r="H32" s="6"/>
    </row>
    <row r="33" spans="1:5" ht="25.5">
      <c r="A33" s="15" t="s">
        <v>27</v>
      </c>
      <c r="B33" s="18" t="s">
        <v>28</v>
      </c>
      <c r="C33" s="33">
        <f>C34</f>
        <v>445054848</v>
      </c>
      <c r="D33" s="33">
        <f t="shared" si="1"/>
        <v>405714224</v>
      </c>
      <c r="E33" s="33">
        <f t="shared" si="1"/>
        <v>446240679</v>
      </c>
    </row>
    <row r="34" spans="1:10" ht="25.5">
      <c r="A34" s="15" t="s">
        <v>29</v>
      </c>
      <c r="B34" s="18" t="s">
        <v>0</v>
      </c>
      <c r="C34" s="33">
        <f>442554848-C44</f>
        <v>445054848</v>
      </c>
      <c r="D34" s="33">
        <f>403031224-D44</f>
        <v>405714224</v>
      </c>
      <c r="E34" s="33">
        <f>443740679-E44</f>
        <v>446240679</v>
      </c>
      <c r="H34" s="6"/>
      <c r="J34" s="5"/>
    </row>
    <row r="35" spans="1:5" ht="25.5">
      <c r="A35" s="24" t="s">
        <v>35</v>
      </c>
      <c r="B35" s="25" t="s">
        <v>36</v>
      </c>
      <c r="C35" s="35">
        <f>C36</f>
        <v>0</v>
      </c>
      <c r="D35" s="35">
        <f>D36</f>
        <v>0</v>
      </c>
      <c r="E35" s="35">
        <f>E36</f>
        <v>0</v>
      </c>
    </row>
    <row r="36" spans="1:5" ht="38.25" hidden="1">
      <c r="A36" s="24" t="s">
        <v>37</v>
      </c>
      <c r="B36" s="25" t="s">
        <v>38</v>
      </c>
      <c r="C36" s="35">
        <f>C37+C44</f>
        <v>0</v>
      </c>
      <c r="D36" s="35">
        <f>D37+D44</f>
        <v>0</v>
      </c>
      <c r="E36" s="35">
        <f>E37+E44</f>
        <v>0</v>
      </c>
    </row>
    <row r="37" spans="1:5" ht="27.75" customHeight="1">
      <c r="A37" s="12" t="s">
        <v>39</v>
      </c>
      <c r="B37" s="13" t="s">
        <v>40</v>
      </c>
      <c r="C37" s="36">
        <f>C41+C43</f>
        <v>2500000</v>
      </c>
      <c r="D37" s="36">
        <f>D41+D43</f>
        <v>2683000</v>
      </c>
      <c r="E37" s="36">
        <f>E41+E43</f>
        <v>2500000</v>
      </c>
    </row>
    <row r="38" spans="1:5" ht="55.5" customHeight="1">
      <c r="A38" s="12" t="s">
        <v>41</v>
      </c>
      <c r="B38" s="13" t="s">
        <v>54</v>
      </c>
      <c r="C38" s="36">
        <f>C39</f>
        <v>2000000</v>
      </c>
      <c r="D38" s="36">
        <f aca="true" t="shared" si="2" ref="D38:E40">D39</f>
        <v>2000000</v>
      </c>
      <c r="E38" s="36">
        <f t="shared" si="2"/>
        <v>2000000</v>
      </c>
    </row>
    <row r="39" spans="1:5" ht="51">
      <c r="A39" s="12" t="s">
        <v>42</v>
      </c>
      <c r="B39" s="13" t="s">
        <v>43</v>
      </c>
      <c r="C39" s="36">
        <f>C40</f>
        <v>2000000</v>
      </c>
      <c r="D39" s="36">
        <f t="shared" si="2"/>
        <v>2000000</v>
      </c>
      <c r="E39" s="36">
        <f t="shared" si="2"/>
        <v>2000000</v>
      </c>
    </row>
    <row r="40" spans="1:5" ht="25.5">
      <c r="A40" s="12" t="s">
        <v>44</v>
      </c>
      <c r="B40" s="13" t="s">
        <v>45</v>
      </c>
      <c r="C40" s="36">
        <f>C41</f>
        <v>2000000</v>
      </c>
      <c r="D40" s="36">
        <f t="shared" si="2"/>
        <v>2000000</v>
      </c>
      <c r="E40" s="36">
        <f t="shared" si="2"/>
        <v>2000000</v>
      </c>
    </row>
    <row r="41" spans="1:5" ht="76.5">
      <c r="A41" s="12" t="s">
        <v>46</v>
      </c>
      <c r="B41" s="13" t="s">
        <v>47</v>
      </c>
      <c r="C41" s="36">
        <v>2000000</v>
      </c>
      <c r="D41" s="36">
        <v>2000000</v>
      </c>
      <c r="E41" s="36">
        <v>2000000</v>
      </c>
    </row>
    <row r="42" spans="1:5" ht="45">
      <c r="A42" s="12" t="s">
        <v>74</v>
      </c>
      <c r="B42" s="37" t="s">
        <v>75</v>
      </c>
      <c r="C42" s="36">
        <v>500000</v>
      </c>
      <c r="D42" s="36">
        <v>683000</v>
      </c>
      <c r="E42" s="36">
        <v>500000</v>
      </c>
    </row>
    <row r="43" spans="1:5" ht="75">
      <c r="A43" s="12" t="s">
        <v>76</v>
      </c>
      <c r="B43" s="37" t="s">
        <v>77</v>
      </c>
      <c r="C43" s="36">
        <v>500000</v>
      </c>
      <c r="D43" s="36">
        <v>683000</v>
      </c>
      <c r="E43" s="36">
        <v>500000</v>
      </c>
    </row>
    <row r="44" spans="1:5" ht="25.5">
      <c r="A44" s="12" t="s">
        <v>48</v>
      </c>
      <c r="B44" s="13" t="s">
        <v>49</v>
      </c>
      <c r="C44" s="36">
        <f aca="true" t="shared" si="3" ref="C44:E45">C45</f>
        <v>-2500000</v>
      </c>
      <c r="D44" s="36">
        <f t="shared" si="3"/>
        <v>-2683000</v>
      </c>
      <c r="E44" s="36">
        <f t="shared" si="3"/>
        <v>-2500000</v>
      </c>
    </row>
    <row r="45" spans="1:5" ht="38.25">
      <c r="A45" s="12" t="s">
        <v>50</v>
      </c>
      <c r="B45" s="13" t="s">
        <v>51</v>
      </c>
      <c r="C45" s="36">
        <f t="shared" si="3"/>
        <v>-2500000</v>
      </c>
      <c r="D45" s="36">
        <f t="shared" si="3"/>
        <v>-2683000</v>
      </c>
      <c r="E45" s="36">
        <f t="shared" si="3"/>
        <v>-2500000</v>
      </c>
    </row>
    <row r="46" spans="1:5" ht="51">
      <c r="A46" s="12" t="s">
        <v>52</v>
      </c>
      <c r="B46" s="13" t="s">
        <v>53</v>
      </c>
      <c r="C46" s="36">
        <f>C47+C49</f>
        <v>-2500000</v>
      </c>
      <c r="D46" s="36">
        <f>D47+D49</f>
        <v>-2683000</v>
      </c>
      <c r="E46" s="36">
        <f>E47+E49</f>
        <v>-2500000</v>
      </c>
    </row>
    <row r="47" spans="1:5" ht="25.5">
      <c r="A47" s="12" t="s">
        <v>55</v>
      </c>
      <c r="B47" s="13" t="s">
        <v>45</v>
      </c>
      <c r="C47" s="36">
        <v>-2000000</v>
      </c>
      <c r="D47" s="36">
        <v>-2000000</v>
      </c>
      <c r="E47" s="36">
        <v>-2000000</v>
      </c>
    </row>
    <row r="48" spans="1:5" ht="25.5">
      <c r="A48" s="12" t="s">
        <v>56</v>
      </c>
      <c r="B48" s="13" t="s">
        <v>45</v>
      </c>
      <c r="C48" s="36">
        <v>-2000000</v>
      </c>
      <c r="D48" s="36">
        <v>-2000000</v>
      </c>
      <c r="E48" s="36">
        <v>-2000000</v>
      </c>
    </row>
    <row r="49" spans="1:5" ht="25.5">
      <c r="A49" s="12" t="s">
        <v>78</v>
      </c>
      <c r="B49" s="13" t="s">
        <v>79</v>
      </c>
      <c r="C49" s="36">
        <v>-500000</v>
      </c>
      <c r="D49" s="36">
        <v>-683000</v>
      </c>
      <c r="E49" s="36">
        <v>-500000</v>
      </c>
    </row>
    <row r="50" spans="1:5" ht="48.75" customHeight="1">
      <c r="A50" s="12" t="s">
        <v>80</v>
      </c>
      <c r="B50" s="13" t="s">
        <v>81</v>
      </c>
      <c r="C50" s="36">
        <v>-500000</v>
      </c>
      <c r="D50" s="36">
        <v>-683000</v>
      </c>
      <c r="E50" s="36">
        <v>-500000</v>
      </c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>
      <c r="B61" s="5"/>
    </row>
    <row r="62" ht="12.75">
      <c r="B62" s="5"/>
    </row>
    <row r="63" ht="12.75"/>
    <row r="64" ht="12.75"/>
    <row r="65" ht="12.75"/>
    <row r="66" ht="12.75"/>
    <row r="67" ht="12.75"/>
    <row r="68" ht="12.75"/>
    <row r="69" ht="12.75">
      <c r="B69" s="5"/>
    </row>
  </sheetData>
  <sheetProtection/>
  <mergeCells count="12">
    <mergeCell ref="B7:C7"/>
    <mergeCell ref="A8:D8"/>
    <mergeCell ref="A9:E9"/>
    <mergeCell ref="A10:E10"/>
    <mergeCell ref="J21:K21"/>
    <mergeCell ref="J22:K22"/>
    <mergeCell ref="A1:E1"/>
    <mergeCell ref="A2:E2"/>
    <mergeCell ref="A3:E3"/>
    <mergeCell ref="B4:E4"/>
    <mergeCell ref="B5:C5"/>
    <mergeCell ref="B6:C6"/>
  </mergeCells>
  <printOptions/>
  <pageMargins left="0.31496062992125984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9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18.375" style="0" customWidth="1"/>
    <col min="2" max="2" width="60.25390625" style="0" customWidth="1"/>
    <col min="3" max="3" width="14.625" style="299" customWidth="1"/>
  </cols>
  <sheetData>
    <row r="1" spans="1:3" ht="12.75">
      <c r="A1" s="2"/>
      <c r="B1" s="396" t="s">
        <v>126</v>
      </c>
      <c r="C1" s="396"/>
    </row>
    <row r="2" spans="1:3" ht="11.25" customHeight="1">
      <c r="A2" s="2"/>
      <c r="B2" s="396" t="s">
        <v>127</v>
      </c>
      <c r="C2" s="396"/>
    </row>
    <row r="3" spans="1:3" ht="12.75" customHeight="1">
      <c r="A3" s="2"/>
      <c r="B3" s="396" t="s">
        <v>128</v>
      </c>
      <c r="C3" s="396"/>
    </row>
    <row r="4" spans="1:3" ht="12.75" customHeight="1">
      <c r="A4" s="2"/>
      <c r="B4" s="396" t="s">
        <v>129</v>
      </c>
      <c r="C4" s="396"/>
    </row>
    <row r="5" spans="1:3" ht="12.75" customHeight="1">
      <c r="A5" s="2"/>
      <c r="B5" s="396" t="s">
        <v>130</v>
      </c>
      <c r="C5" s="396"/>
    </row>
    <row r="6" spans="1:3" ht="13.5" customHeight="1">
      <c r="A6" s="2"/>
      <c r="B6" s="397" t="s">
        <v>131</v>
      </c>
      <c r="C6" s="397"/>
    </row>
    <row r="7" spans="1:3" ht="11.25" customHeight="1">
      <c r="A7" s="2"/>
      <c r="B7" s="396" t="s">
        <v>132</v>
      </c>
      <c r="C7" s="396"/>
    </row>
    <row r="8" spans="1:3" ht="12" customHeight="1">
      <c r="A8" s="2"/>
      <c r="B8" s="396" t="s">
        <v>133</v>
      </c>
      <c r="C8" s="396"/>
    </row>
    <row r="9" spans="1:3" ht="11.25" customHeight="1">
      <c r="A9" s="2"/>
      <c r="B9" s="396" t="s">
        <v>134</v>
      </c>
      <c r="C9" s="396"/>
    </row>
    <row r="10" spans="1:3" ht="13.5" customHeight="1">
      <c r="A10" s="400"/>
      <c r="B10" s="400"/>
      <c r="C10" s="400"/>
    </row>
    <row r="11" spans="2:3" ht="12.75" hidden="1">
      <c r="B11" s="109"/>
      <c r="C11" s="109"/>
    </row>
    <row r="12" spans="1:3" ht="15.75" customHeight="1">
      <c r="A12" s="401" t="s">
        <v>135</v>
      </c>
      <c r="B12" s="401"/>
      <c r="C12" s="401"/>
    </row>
    <row r="13" spans="1:3" ht="14.25" customHeight="1">
      <c r="A13" s="401" t="s">
        <v>136</v>
      </c>
      <c r="B13" s="401"/>
      <c r="C13" s="401"/>
    </row>
    <row r="14" spans="1:3" ht="18.75" customHeight="1">
      <c r="A14" s="398" t="s">
        <v>137</v>
      </c>
      <c r="B14" s="398"/>
      <c r="C14" s="398"/>
    </row>
    <row r="15" spans="1:3" ht="12.75" hidden="1">
      <c r="A15" s="112"/>
      <c r="B15" s="113"/>
      <c r="C15" s="114"/>
    </row>
    <row r="16" spans="1:3" ht="13.5" customHeight="1">
      <c r="A16" s="112"/>
      <c r="B16" s="113"/>
      <c r="C16" s="116" t="s">
        <v>138</v>
      </c>
    </row>
    <row r="17" spans="1:3" ht="41.25" customHeight="1">
      <c r="A17" s="118" t="s">
        <v>62</v>
      </c>
      <c r="B17" s="119" t="s">
        <v>139</v>
      </c>
      <c r="C17" s="120" t="s">
        <v>140</v>
      </c>
    </row>
    <row r="18" spans="1:3" ht="12.75">
      <c r="A18" s="122">
        <v>1</v>
      </c>
      <c r="B18" s="122">
        <v>2</v>
      </c>
      <c r="C18" s="123">
        <v>3</v>
      </c>
    </row>
    <row r="19" spans="1:3" ht="16.5" customHeight="1">
      <c r="A19" s="399" t="s">
        <v>141</v>
      </c>
      <c r="B19" s="399"/>
      <c r="C19" s="124">
        <f>C20+C158</f>
        <v>565650249.77</v>
      </c>
    </row>
    <row r="20" spans="1:3" ht="15.75" customHeight="1">
      <c r="A20" s="125" t="s">
        <v>142</v>
      </c>
      <c r="B20" s="126" t="s">
        <v>143</v>
      </c>
      <c r="C20" s="124">
        <f>C21+C37+C52+C60+C82+C90+C93+C113+C116+C155+C58+C27</f>
        <v>208270821</v>
      </c>
    </row>
    <row r="21" spans="1:3" ht="16.5" customHeight="1">
      <c r="A21" s="128" t="s">
        <v>144</v>
      </c>
      <c r="B21" s="129" t="s">
        <v>145</v>
      </c>
      <c r="C21" s="124">
        <f>C22</f>
        <v>132418673</v>
      </c>
    </row>
    <row r="22" spans="1:3" ht="16.5" customHeight="1">
      <c r="A22" s="128" t="s">
        <v>146</v>
      </c>
      <c r="B22" s="130" t="s">
        <v>147</v>
      </c>
      <c r="C22" s="124">
        <f>C23+C24+C25+C26</f>
        <v>132418673</v>
      </c>
    </row>
    <row r="23" spans="1:3" ht="52.5" customHeight="1">
      <c r="A23" s="131" t="s">
        <v>148</v>
      </c>
      <c r="B23" s="132" t="s">
        <v>149</v>
      </c>
      <c r="C23" s="133">
        <v>128289798</v>
      </c>
    </row>
    <row r="24" spans="1:3" ht="76.5" customHeight="1">
      <c r="A24" s="131" t="s">
        <v>150</v>
      </c>
      <c r="B24" s="132" t="s">
        <v>151</v>
      </c>
      <c r="C24" s="133">
        <v>2650408</v>
      </c>
    </row>
    <row r="25" spans="1:3" ht="38.25">
      <c r="A25" s="134" t="s">
        <v>152</v>
      </c>
      <c r="B25" s="132" t="s">
        <v>153</v>
      </c>
      <c r="C25" s="135">
        <v>1478467</v>
      </c>
    </row>
    <row r="26" spans="1:3" ht="63.75" hidden="1">
      <c r="A26" s="131" t="s">
        <v>154</v>
      </c>
      <c r="B26" s="132" t="s">
        <v>155</v>
      </c>
      <c r="C26" s="133"/>
    </row>
    <row r="27" spans="1:3" s="138" customFormat="1" ht="24" customHeight="1">
      <c r="A27" s="136" t="s">
        <v>156</v>
      </c>
      <c r="B27" s="137" t="s">
        <v>157</v>
      </c>
      <c r="C27" s="124">
        <f>C28</f>
        <v>4904469</v>
      </c>
    </row>
    <row r="28" spans="1:3" s="138" customFormat="1" ht="27" customHeight="1">
      <c r="A28" s="136" t="s">
        <v>158</v>
      </c>
      <c r="B28" s="132" t="s">
        <v>159</v>
      </c>
      <c r="C28" s="124">
        <f>C29+C31+C33+C35</f>
        <v>4904469</v>
      </c>
    </row>
    <row r="29" spans="1:3" ht="50.25" customHeight="1">
      <c r="A29" s="136" t="s">
        <v>160</v>
      </c>
      <c r="B29" s="137" t="s">
        <v>161</v>
      </c>
      <c r="C29" s="139">
        <f>C30</f>
        <v>1778489</v>
      </c>
    </row>
    <row r="30" spans="1:3" ht="78" customHeight="1">
      <c r="A30" s="140" t="s">
        <v>162</v>
      </c>
      <c r="B30" s="141" t="s">
        <v>163</v>
      </c>
      <c r="C30" s="133">
        <v>1778489</v>
      </c>
    </row>
    <row r="31" spans="1:3" ht="63" customHeight="1">
      <c r="A31" s="136" t="s">
        <v>164</v>
      </c>
      <c r="B31" s="137" t="s">
        <v>165</v>
      </c>
      <c r="C31" s="139">
        <f>C32</f>
        <v>12461</v>
      </c>
    </row>
    <row r="32" spans="1:3" ht="90" customHeight="1">
      <c r="A32" s="140" t="s">
        <v>166</v>
      </c>
      <c r="B32" s="142" t="s">
        <v>167</v>
      </c>
      <c r="C32" s="133">
        <v>12461</v>
      </c>
    </row>
    <row r="33" spans="1:3" ht="51.75" customHeight="1">
      <c r="A33" s="136" t="s">
        <v>168</v>
      </c>
      <c r="B33" s="137" t="s">
        <v>169</v>
      </c>
      <c r="C33" s="139">
        <f>C34</f>
        <v>3444233</v>
      </c>
    </row>
    <row r="34" spans="1:3" ht="77.25" customHeight="1">
      <c r="A34" s="140" t="s">
        <v>170</v>
      </c>
      <c r="B34" s="141" t="s">
        <v>171</v>
      </c>
      <c r="C34" s="133">
        <v>3444233</v>
      </c>
    </row>
    <row r="35" spans="1:3" ht="51.75" customHeight="1">
      <c r="A35" s="136" t="s">
        <v>172</v>
      </c>
      <c r="B35" s="137" t="s">
        <v>173</v>
      </c>
      <c r="C35" s="139">
        <f>C36</f>
        <v>-330714</v>
      </c>
    </row>
    <row r="36" spans="1:3" ht="77.25" customHeight="1">
      <c r="A36" s="140" t="s">
        <v>174</v>
      </c>
      <c r="B36" s="141" t="s">
        <v>175</v>
      </c>
      <c r="C36" s="133">
        <v>-330714</v>
      </c>
    </row>
    <row r="37" spans="1:3" ht="18" customHeight="1">
      <c r="A37" s="125" t="s">
        <v>176</v>
      </c>
      <c r="B37" s="126" t="s">
        <v>177</v>
      </c>
      <c r="C37" s="124">
        <f>C44+C47+C50+C38</f>
        <v>4955770</v>
      </c>
    </row>
    <row r="38" spans="1:3" ht="25.5" customHeight="1">
      <c r="A38" s="143" t="s">
        <v>178</v>
      </c>
      <c r="B38" s="144" t="s">
        <v>179</v>
      </c>
      <c r="C38" s="145">
        <f>C39+C41+C43</f>
        <v>218624</v>
      </c>
    </row>
    <row r="39" spans="1:3" ht="26.25" customHeight="1">
      <c r="A39" s="143" t="s">
        <v>180</v>
      </c>
      <c r="B39" s="146" t="s">
        <v>181</v>
      </c>
      <c r="C39" s="145">
        <f>C40</f>
        <v>150067</v>
      </c>
    </row>
    <row r="40" spans="1:3" ht="27" customHeight="1">
      <c r="A40" s="143" t="s">
        <v>182</v>
      </c>
      <c r="B40" s="146" t="s">
        <v>181</v>
      </c>
      <c r="C40" s="135">
        <v>150067</v>
      </c>
    </row>
    <row r="41" spans="1:3" ht="27" customHeight="1">
      <c r="A41" s="143" t="s">
        <v>183</v>
      </c>
      <c r="B41" s="147" t="s">
        <v>184</v>
      </c>
      <c r="C41" s="145">
        <f>C42</f>
        <v>68557</v>
      </c>
    </row>
    <row r="42" spans="1:3" ht="38.25" customHeight="1">
      <c r="A42" s="148" t="s">
        <v>185</v>
      </c>
      <c r="B42" s="149" t="s">
        <v>186</v>
      </c>
      <c r="C42" s="133">
        <v>68557</v>
      </c>
    </row>
    <row r="43" spans="1:3" ht="22.5" hidden="1">
      <c r="A43" s="150" t="s">
        <v>187</v>
      </c>
      <c r="B43" s="151" t="s">
        <v>188</v>
      </c>
      <c r="C43" s="133"/>
    </row>
    <row r="44" spans="1:3" s="5" customFormat="1" ht="17.25" customHeight="1">
      <c r="A44" s="125" t="s">
        <v>189</v>
      </c>
      <c r="B44" s="126" t="s">
        <v>190</v>
      </c>
      <c r="C44" s="124">
        <f>C45+C46</f>
        <v>4686961</v>
      </c>
    </row>
    <row r="45" spans="1:3" ht="17.25" customHeight="1">
      <c r="A45" s="131" t="s">
        <v>191</v>
      </c>
      <c r="B45" s="152" t="s">
        <v>190</v>
      </c>
      <c r="C45" s="133">
        <v>4686961</v>
      </c>
    </row>
    <row r="46" spans="1:3" ht="27" customHeight="1" hidden="1">
      <c r="A46" s="131" t="s">
        <v>192</v>
      </c>
      <c r="B46" s="132" t="s">
        <v>193</v>
      </c>
      <c r="C46" s="133"/>
    </row>
    <row r="47" spans="1:3" s="5" customFormat="1" ht="15.75" customHeight="1">
      <c r="A47" s="125" t="s">
        <v>194</v>
      </c>
      <c r="B47" s="129" t="s">
        <v>195</v>
      </c>
      <c r="C47" s="124">
        <f>C48+C49</f>
        <v>22195</v>
      </c>
    </row>
    <row r="48" spans="1:3" ht="16.5" customHeight="1">
      <c r="A48" s="131" t="s">
        <v>196</v>
      </c>
      <c r="B48" s="153" t="s">
        <v>195</v>
      </c>
      <c r="C48" s="133">
        <v>22195</v>
      </c>
    </row>
    <row r="49" spans="1:3" ht="25.5" hidden="1">
      <c r="A49" s="131" t="s">
        <v>197</v>
      </c>
      <c r="B49" s="132" t="s">
        <v>198</v>
      </c>
      <c r="C49" s="133"/>
    </row>
    <row r="50" spans="1:3" s="5" customFormat="1" ht="25.5">
      <c r="A50" s="125" t="s">
        <v>199</v>
      </c>
      <c r="B50" s="154" t="s">
        <v>200</v>
      </c>
      <c r="C50" s="124">
        <f>C51</f>
        <v>27990</v>
      </c>
    </row>
    <row r="51" spans="1:3" ht="25.5">
      <c r="A51" s="131" t="s">
        <v>201</v>
      </c>
      <c r="B51" s="154" t="s">
        <v>202</v>
      </c>
      <c r="C51" s="133">
        <v>27990</v>
      </c>
    </row>
    <row r="52" spans="1:3" ht="15.75" customHeight="1">
      <c r="A52" s="125" t="s">
        <v>203</v>
      </c>
      <c r="B52" s="126" t="s">
        <v>204</v>
      </c>
      <c r="C52" s="124">
        <f>C53+C55</f>
        <v>1159228</v>
      </c>
    </row>
    <row r="53" spans="1:3" ht="23.25" customHeight="1">
      <c r="A53" s="125" t="s">
        <v>205</v>
      </c>
      <c r="B53" s="137" t="s">
        <v>206</v>
      </c>
      <c r="C53" s="124">
        <f>C54</f>
        <v>1159228</v>
      </c>
    </row>
    <row r="54" spans="1:3" ht="39.75" customHeight="1">
      <c r="A54" s="131" t="s">
        <v>207</v>
      </c>
      <c r="B54" s="132" t="s">
        <v>208</v>
      </c>
      <c r="C54" s="133">
        <v>1159228</v>
      </c>
    </row>
    <row r="55" spans="1:3" ht="25.5" customHeight="1" hidden="1">
      <c r="A55" s="155" t="s">
        <v>209</v>
      </c>
      <c r="B55" s="156" t="s">
        <v>210</v>
      </c>
      <c r="C55" s="157">
        <f>C56+C57</f>
        <v>0</v>
      </c>
    </row>
    <row r="56" spans="1:3" ht="51" hidden="1">
      <c r="A56" s="131" t="s">
        <v>211</v>
      </c>
      <c r="B56" s="132" t="s">
        <v>212</v>
      </c>
      <c r="C56" s="158"/>
    </row>
    <row r="57" spans="1:3" ht="25.5" hidden="1">
      <c r="A57" s="131" t="s">
        <v>213</v>
      </c>
      <c r="B57" s="132" t="s">
        <v>214</v>
      </c>
      <c r="C57" s="133"/>
    </row>
    <row r="58" spans="1:3" ht="25.5" hidden="1">
      <c r="A58" s="159" t="s">
        <v>215</v>
      </c>
      <c r="B58" s="160" t="s">
        <v>216</v>
      </c>
      <c r="C58" s="124">
        <f>C59</f>
        <v>0</v>
      </c>
    </row>
    <row r="59" spans="1:3" s="113" customFormat="1" ht="51" hidden="1">
      <c r="A59" s="161" t="s">
        <v>217</v>
      </c>
      <c r="B59" s="162" t="s">
        <v>218</v>
      </c>
      <c r="C59" s="133"/>
    </row>
    <row r="60" spans="1:3" ht="26.25" customHeight="1">
      <c r="A60" s="125" t="s">
        <v>219</v>
      </c>
      <c r="B60" s="163" t="s">
        <v>220</v>
      </c>
      <c r="C60" s="124">
        <f>C61+C63+C65+C67+C75+C77+C79</f>
        <v>8333691</v>
      </c>
    </row>
    <row r="61" spans="1:3" ht="51" hidden="1">
      <c r="A61" s="164" t="s">
        <v>221</v>
      </c>
      <c r="B61" s="165" t="s">
        <v>222</v>
      </c>
      <c r="C61" s="124">
        <f>C62</f>
        <v>0</v>
      </c>
    </row>
    <row r="62" spans="1:3" ht="38.25" hidden="1">
      <c r="A62" s="166" t="s">
        <v>223</v>
      </c>
      <c r="B62" s="167" t="s">
        <v>224</v>
      </c>
      <c r="C62" s="133"/>
    </row>
    <row r="63" spans="1:3" ht="12.75" hidden="1">
      <c r="A63" s="164" t="s">
        <v>225</v>
      </c>
      <c r="B63" s="165" t="s">
        <v>226</v>
      </c>
      <c r="C63" s="124">
        <f>C64</f>
        <v>0</v>
      </c>
    </row>
    <row r="64" spans="1:3" ht="0.75" customHeight="1" hidden="1">
      <c r="A64" s="166" t="s">
        <v>227</v>
      </c>
      <c r="B64" s="132" t="s">
        <v>228</v>
      </c>
      <c r="C64" s="133"/>
    </row>
    <row r="65" spans="1:3" ht="25.5" hidden="1">
      <c r="A65" s="125" t="s">
        <v>229</v>
      </c>
      <c r="B65" s="165" t="s">
        <v>230</v>
      </c>
      <c r="C65" s="124">
        <f>C66</f>
        <v>0</v>
      </c>
    </row>
    <row r="66" spans="1:3" ht="25.5" hidden="1">
      <c r="A66" s="131" t="s">
        <v>231</v>
      </c>
      <c r="B66" s="132" t="s">
        <v>232</v>
      </c>
      <c r="C66" s="135"/>
    </row>
    <row r="67" spans="1:3" ht="58.5" customHeight="1">
      <c r="A67" s="125" t="s">
        <v>233</v>
      </c>
      <c r="B67" s="137" t="s">
        <v>234</v>
      </c>
      <c r="C67" s="124">
        <f>C68+C71+C73</f>
        <v>8333691</v>
      </c>
    </row>
    <row r="68" spans="1:3" ht="48.75" customHeight="1">
      <c r="A68" s="125" t="s">
        <v>235</v>
      </c>
      <c r="B68" s="137" t="s">
        <v>236</v>
      </c>
      <c r="C68" s="124">
        <f>C69+C70</f>
        <v>7262991</v>
      </c>
    </row>
    <row r="69" spans="1:3" ht="63.75" customHeight="1">
      <c r="A69" s="131" t="s">
        <v>237</v>
      </c>
      <c r="B69" s="142" t="s">
        <v>238</v>
      </c>
      <c r="C69" s="168">
        <f>4716009+2100000</f>
        <v>6816009</v>
      </c>
    </row>
    <row r="70" spans="1:3" ht="58.5" customHeight="1">
      <c r="A70" s="131" t="s">
        <v>239</v>
      </c>
      <c r="B70" s="132" t="s">
        <v>240</v>
      </c>
      <c r="C70" s="168">
        <v>446982</v>
      </c>
    </row>
    <row r="71" spans="1:3" ht="15.75" customHeight="1" hidden="1">
      <c r="A71" s="169" t="s">
        <v>241</v>
      </c>
      <c r="B71" s="165" t="s">
        <v>242</v>
      </c>
      <c r="C71" s="133">
        <f>C72</f>
        <v>0</v>
      </c>
    </row>
    <row r="72" spans="1:3" ht="15.75" customHeight="1" hidden="1">
      <c r="A72" s="131" t="s">
        <v>243</v>
      </c>
      <c r="B72" s="132" t="s">
        <v>244</v>
      </c>
      <c r="C72" s="133"/>
    </row>
    <row r="73" spans="1:3" ht="65.25" customHeight="1">
      <c r="A73" s="125" t="s">
        <v>245</v>
      </c>
      <c r="B73" s="165" t="s">
        <v>246</v>
      </c>
      <c r="C73" s="124">
        <f>C74</f>
        <v>1070700</v>
      </c>
    </row>
    <row r="74" spans="1:3" ht="51" customHeight="1">
      <c r="A74" s="131" t="s">
        <v>247</v>
      </c>
      <c r="B74" s="132" t="s">
        <v>248</v>
      </c>
      <c r="C74" s="133">
        <v>1070700</v>
      </c>
    </row>
    <row r="75" spans="1:3" ht="25.5" hidden="1">
      <c r="A75" s="169" t="s">
        <v>249</v>
      </c>
      <c r="B75" s="165" t="s">
        <v>250</v>
      </c>
      <c r="C75" s="124">
        <f>C76</f>
        <v>0</v>
      </c>
    </row>
    <row r="76" spans="1:3" ht="38.25" hidden="1">
      <c r="A76" s="131" t="s">
        <v>251</v>
      </c>
      <c r="B76" s="132" t="s">
        <v>252</v>
      </c>
      <c r="C76" s="133"/>
    </row>
    <row r="77" spans="1:3" ht="63.75" hidden="1">
      <c r="A77" s="169" t="s">
        <v>253</v>
      </c>
      <c r="B77" s="165" t="s">
        <v>254</v>
      </c>
      <c r="C77" s="124">
        <f>C78</f>
        <v>0</v>
      </c>
    </row>
    <row r="78" spans="1:3" ht="63.75" hidden="1">
      <c r="A78" s="131" t="s">
        <v>255</v>
      </c>
      <c r="B78" s="132" t="s">
        <v>256</v>
      </c>
      <c r="C78" s="133"/>
    </row>
    <row r="79" spans="1:3" ht="3.75" customHeight="1" hidden="1">
      <c r="A79" s="169" t="s">
        <v>257</v>
      </c>
      <c r="B79" s="165" t="s">
        <v>258</v>
      </c>
      <c r="C79" s="124">
        <f>C80</f>
        <v>0</v>
      </c>
    </row>
    <row r="80" spans="1:3" ht="63.75" hidden="1">
      <c r="A80" s="131" t="s">
        <v>259</v>
      </c>
      <c r="B80" s="132" t="s">
        <v>260</v>
      </c>
      <c r="C80" s="133">
        <f>C81</f>
        <v>0</v>
      </c>
    </row>
    <row r="81" spans="1:3" ht="51" hidden="1">
      <c r="A81" s="131" t="s">
        <v>261</v>
      </c>
      <c r="B81" s="132" t="s">
        <v>262</v>
      </c>
      <c r="C81" s="133"/>
    </row>
    <row r="82" spans="1:3" ht="16.5" customHeight="1">
      <c r="A82" s="125" t="s">
        <v>263</v>
      </c>
      <c r="B82" s="126" t="s">
        <v>264</v>
      </c>
      <c r="C82" s="124">
        <f>C83</f>
        <v>143220</v>
      </c>
    </row>
    <row r="83" spans="1:3" ht="15.75" customHeight="1">
      <c r="A83" s="131" t="s">
        <v>265</v>
      </c>
      <c r="B83" s="152" t="s">
        <v>266</v>
      </c>
      <c r="C83" s="124">
        <f>SUM(C84:C87)</f>
        <v>143220</v>
      </c>
    </row>
    <row r="84" spans="1:3" ht="24.75" customHeight="1">
      <c r="A84" s="131" t="s">
        <v>267</v>
      </c>
      <c r="B84" s="146" t="s">
        <v>268</v>
      </c>
      <c r="C84" s="133">
        <v>133210</v>
      </c>
    </row>
    <row r="85" spans="1:3" ht="12.75" hidden="1">
      <c r="A85" s="131" t="s">
        <v>269</v>
      </c>
      <c r="B85" s="146" t="s">
        <v>270</v>
      </c>
      <c r="C85" s="133"/>
    </row>
    <row r="86" spans="1:3" ht="15" customHeight="1">
      <c r="A86" s="131" t="s">
        <v>271</v>
      </c>
      <c r="B86" s="146" t="s">
        <v>270</v>
      </c>
      <c r="C86" s="133">
        <v>7260</v>
      </c>
    </row>
    <row r="87" spans="1:3" s="171" customFormat="1" ht="15">
      <c r="A87" s="125" t="s">
        <v>272</v>
      </c>
      <c r="B87" s="170" t="s">
        <v>273</v>
      </c>
      <c r="C87" s="124">
        <f>C88+C89</f>
        <v>2750</v>
      </c>
    </row>
    <row r="88" spans="1:3" s="171" customFormat="1" ht="13.5" customHeight="1">
      <c r="A88" s="134" t="s">
        <v>274</v>
      </c>
      <c r="B88" s="172" t="s">
        <v>275</v>
      </c>
      <c r="C88" s="133">
        <v>2750</v>
      </c>
    </row>
    <row r="89" spans="1:3" s="41" customFormat="1" ht="15" customHeight="1" hidden="1">
      <c r="A89" s="134" t="s">
        <v>276</v>
      </c>
      <c r="B89" s="173" t="s">
        <v>277</v>
      </c>
      <c r="C89" s="135"/>
    </row>
    <row r="90" spans="1:3" ht="22.5" customHeight="1">
      <c r="A90" s="125" t="s">
        <v>278</v>
      </c>
      <c r="B90" s="174" t="s">
        <v>279</v>
      </c>
      <c r="C90" s="124">
        <f>C91</f>
        <v>8508843</v>
      </c>
    </row>
    <row r="91" spans="1:3" ht="15.75" customHeight="1">
      <c r="A91" s="125" t="s">
        <v>280</v>
      </c>
      <c r="B91" s="175" t="s">
        <v>281</v>
      </c>
      <c r="C91" s="124">
        <f>C92</f>
        <v>8508843</v>
      </c>
    </row>
    <row r="92" spans="1:3" ht="24.75" customHeight="1">
      <c r="A92" s="131" t="s">
        <v>282</v>
      </c>
      <c r="B92" s="144" t="s">
        <v>283</v>
      </c>
      <c r="C92" s="135">
        <f>14124184+712000-6327341</f>
        <v>8508843</v>
      </c>
    </row>
    <row r="93" spans="1:3" ht="24" customHeight="1">
      <c r="A93" s="125" t="s">
        <v>284</v>
      </c>
      <c r="B93" s="137" t="s">
        <v>285</v>
      </c>
      <c r="C93" s="124">
        <f>C94+C96+C101+C102+C105+C107</f>
        <v>47029000</v>
      </c>
    </row>
    <row r="94" spans="1:3" ht="12.75" hidden="1">
      <c r="A94" s="164" t="s">
        <v>286</v>
      </c>
      <c r="B94" s="165" t="s">
        <v>287</v>
      </c>
      <c r="C94" s="124">
        <f>C95</f>
        <v>0</v>
      </c>
    </row>
    <row r="95" spans="1:3" ht="25.5" hidden="1">
      <c r="A95" s="166" t="s">
        <v>288</v>
      </c>
      <c r="B95" s="132" t="s">
        <v>289</v>
      </c>
      <c r="C95" s="133"/>
    </row>
    <row r="96" spans="1:3" ht="51" hidden="1">
      <c r="A96" s="164" t="s">
        <v>290</v>
      </c>
      <c r="B96" s="165" t="s">
        <v>291</v>
      </c>
      <c r="C96" s="124">
        <f>C97+C98+C99+C100</f>
        <v>0</v>
      </c>
    </row>
    <row r="97" spans="1:3" ht="63.75" hidden="1">
      <c r="A97" s="166" t="s">
        <v>292</v>
      </c>
      <c r="B97" s="132" t="s">
        <v>293</v>
      </c>
      <c r="C97" s="133"/>
    </row>
    <row r="98" spans="1:3" ht="63.75" hidden="1">
      <c r="A98" s="166" t="s">
        <v>294</v>
      </c>
      <c r="B98" s="132" t="s">
        <v>295</v>
      </c>
      <c r="C98" s="133"/>
    </row>
    <row r="99" spans="1:3" ht="63.75" hidden="1">
      <c r="A99" s="166" t="s">
        <v>296</v>
      </c>
      <c r="B99" s="132" t="s">
        <v>297</v>
      </c>
      <c r="C99" s="133"/>
    </row>
    <row r="100" spans="1:3" ht="63.75" hidden="1">
      <c r="A100" s="166" t="s">
        <v>298</v>
      </c>
      <c r="B100" s="132" t="s">
        <v>299</v>
      </c>
      <c r="C100" s="133"/>
    </row>
    <row r="101" spans="1:3" ht="38.25" hidden="1">
      <c r="A101" s="164" t="s">
        <v>300</v>
      </c>
      <c r="B101" s="165" t="s">
        <v>301</v>
      </c>
      <c r="C101" s="124">
        <f>C103</f>
        <v>0</v>
      </c>
    </row>
    <row r="102" spans="1:3" ht="38.25" hidden="1">
      <c r="A102" s="164" t="s">
        <v>302</v>
      </c>
      <c r="B102" s="165" t="s">
        <v>303</v>
      </c>
      <c r="C102" s="124">
        <f>C104</f>
        <v>0</v>
      </c>
    </row>
    <row r="103" spans="1:3" ht="0.75" customHeight="1" hidden="1">
      <c r="A103" s="166" t="s">
        <v>304</v>
      </c>
      <c r="B103" s="132" t="s">
        <v>305</v>
      </c>
      <c r="C103" s="133"/>
    </row>
    <row r="104" spans="1:3" ht="38.25" hidden="1">
      <c r="A104" s="166" t="s">
        <v>306</v>
      </c>
      <c r="B104" s="132" t="s">
        <v>307</v>
      </c>
      <c r="C104" s="133"/>
    </row>
    <row r="105" spans="1:3" ht="12.75" hidden="1">
      <c r="A105" s="164" t="s">
        <v>308</v>
      </c>
      <c r="B105" s="165" t="s">
        <v>309</v>
      </c>
      <c r="C105" s="133">
        <f>C106</f>
        <v>0</v>
      </c>
    </row>
    <row r="106" spans="1:3" ht="25.5" hidden="1">
      <c r="A106" s="166" t="s">
        <v>310</v>
      </c>
      <c r="B106" s="132" t="s">
        <v>311</v>
      </c>
      <c r="C106" s="133"/>
    </row>
    <row r="107" spans="1:3" ht="26.25" customHeight="1">
      <c r="A107" s="125" t="s">
        <v>312</v>
      </c>
      <c r="B107" s="165" t="s">
        <v>313</v>
      </c>
      <c r="C107" s="124">
        <f>C108+C111</f>
        <v>47029000</v>
      </c>
    </row>
    <row r="108" spans="1:3" ht="26.25" customHeight="1">
      <c r="A108" s="125" t="s">
        <v>314</v>
      </c>
      <c r="B108" s="165" t="s">
        <v>315</v>
      </c>
      <c r="C108" s="124">
        <f>C109+C110</f>
        <v>47029000</v>
      </c>
    </row>
    <row r="109" spans="1:3" ht="39" customHeight="1">
      <c r="A109" s="131" t="s">
        <v>316</v>
      </c>
      <c r="B109" s="142" t="s">
        <v>317</v>
      </c>
      <c r="C109" s="133">
        <f>2000+23475000+600000+22900000</f>
        <v>46977000</v>
      </c>
    </row>
    <row r="110" spans="1:3" ht="39" customHeight="1">
      <c r="A110" s="131" t="s">
        <v>318</v>
      </c>
      <c r="B110" s="132" t="s">
        <v>319</v>
      </c>
      <c r="C110" s="133">
        <f>2000+50000</f>
        <v>52000</v>
      </c>
    </row>
    <row r="111" spans="1:3" ht="38.25" hidden="1">
      <c r="A111" s="176" t="s">
        <v>320</v>
      </c>
      <c r="B111" s="177" t="s">
        <v>321</v>
      </c>
      <c r="C111" s="133">
        <f>C112</f>
        <v>0</v>
      </c>
    </row>
    <row r="112" spans="1:3" ht="38.25" hidden="1">
      <c r="A112" s="178" t="s">
        <v>322</v>
      </c>
      <c r="B112" s="167" t="s">
        <v>323</v>
      </c>
      <c r="C112" s="133"/>
    </row>
    <row r="113" spans="1:3" ht="12.75" hidden="1">
      <c r="A113" s="125" t="s">
        <v>324</v>
      </c>
      <c r="B113" s="126" t="s">
        <v>325</v>
      </c>
      <c r="C113" s="124">
        <f>C114</f>
        <v>0</v>
      </c>
    </row>
    <row r="114" spans="1:3" ht="25.5" hidden="1">
      <c r="A114" s="125" t="s">
        <v>326</v>
      </c>
      <c r="B114" s="165" t="s">
        <v>327</v>
      </c>
      <c r="C114" s="124">
        <f>C115</f>
        <v>0</v>
      </c>
    </row>
    <row r="115" spans="1:3" ht="25.5" hidden="1">
      <c r="A115" s="131" t="s">
        <v>328</v>
      </c>
      <c r="B115" s="132" t="s">
        <v>329</v>
      </c>
      <c r="C115" s="133"/>
    </row>
    <row r="116" spans="1:3" ht="17.25" customHeight="1">
      <c r="A116" s="125" t="s">
        <v>330</v>
      </c>
      <c r="B116" s="126" t="s">
        <v>331</v>
      </c>
      <c r="C116" s="124">
        <f>C117+C120+C122+C124+C126+C128+C139+C143+C144+C148+C153+C152+C142+C150+C146</f>
        <v>817927</v>
      </c>
    </row>
    <row r="117" spans="1:3" ht="25.5" customHeight="1">
      <c r="A117" s="125" t="s">
        <v>332</v>
      </c>
      <c r="B117" s="165" t="s">
        <v>333</v>
      </c>
      <c r="C117" s="124">
        <f>C118+C119</f>
        <v>3000</v>
      </c>
    </row>
    <row r="118" spans="1:3" ht="0.75" customHeight="1" hidden="1">
      <c r="A118" s="131" t="s">
        <v>334</v>
      </c>
      <c r="B118" s="132" t="s">
        <v>335</v>
      </c>
      <c r="C118" s="133"/>
    </row>
    <row r="119" spans="1:3" ht="38.25">
      <c r="A119" s="131" t="s">
        <v>336</v>
      </c>
      <c r="B119" s="132" t="s">
        <v>337</v>
      </c>
      <c r="C119" s="133">
        <v>3000</v>
      </c>
    </row>
    <row r="120" spans="1:3" ht="48" hidden="1">
      <c r="A120" s="125" t="s">
        <v>338</v>
      </c>
      <c r="B120" s="137" t="s">
        <v>339</v>
      </c>
      <c r="C120" s="124">
        <f>C121</f>
        <v>0</v>
      </c>
    </row>
    <row r="121" spans="1:3" ht="38.25" hidden="1">
      <c r="A121" s="131" t="s">
        <v>340</v>
      </c>
      <c r="B121" s="132" t="s">
        <v>341</v>
      </c>
      <c r="C121" s="135"/>
    </row>
    <row r="122" spans="1:3" ht="25.5" hidden="1">
      <c r="A122" s="125" t="s">
        <v>342</v>
      </c>
      <c r="B122" s="165" t="s">
        <v>343</v>
      </c>
      <c r="C122" s="124">
        <f>C123</f>
        <v>0</v>
      </c>
    </row>
    <row r="123" spans="1:3" ht="25.5" hidden="1">
      <c r="A123" s="131" t="s">
        <v>344</v>
      </c>
      <c r="B123" s="132" t="s">
        <v>345</v>
      </c>
      <c r="C123" s="133"/>
    </row>
    <row r="124" spans="1:3" ht="23.25" customHeight="1">
      <c r="A124" s="125" t="s">
        <v>346</v>
      </c>
      <c r="B124" s="137" t="s">
        <v>347</v>
      </c>
      <c r="C124" s="124">
        <f>C125</f>
        <v>41000</v>
      </c>
    </row>
    <row r="125" spans="1:3" ht="38.25" customHeight="1">
      <c r="A125" s="131" t="s">
        <v>348</v>
      </c>
      <c r="B125" s="132" t="s">
        <v>349</v>
      </c>
      <c r="C125" s="133">
        <v>41000</v>
      </c>
    </row>
    <row r="126" spans="1:3" s="5" customFormat="1" ht="12.75" hidden="1">
      <c r="A126" s="125" t="s">
        <v>350</v>
      </c>
      <c r="B126" s="126" t="s">
        <v>351</v>
      </c>
      <c r="C126" s="124">
        <f>C127</f>
        <v>0</v>
      </c>
    </row>
    <row r="127" spans="1:3" ht="38.25" hidden="1">
      <c r="A127" s="131" t="s">
        <v>352</v>
      </c>
      <c r="B127" s="132" t="s">
        <v>353</v>
      </c>
      <c r="C127" s="133"/>
    </row>
    <row r="128" spans="1:3" ht="72" hidden="1">
      <c r="A128" s="125" t="s">
        <v>354</v>
      </c>
      <c r="B128" s="137" t="s">
        <v>355</v>
      </c>
      <c r="C128" s="145">
        <f>C129+C130+C131+C132+C133+C134+C135+C137</f>
        <v>0</v>
      </c>
    </row>
    <row r="129" spans="1:3" ht="25.5" hidden="1">
      <c r="A129" s="131" t="s">
        <v>356</v>
      </c>
      <c r="B129" s="132" t="s">
        <v>357</v>
      </c>
      <c r="C129" s="133"/>
    </row>
    <row r="130" spans="1:3" ht="25.5" hidden="1">
      <c r="A130" s="131" t="s">
        <v>358</v>
      </c>
      <c r="B130" s="132" t="s">
        <v>359</v>
      </c>
      <c r="C130" s="133"/>
    </row>
    <row r="131" spans="1:3" ht="25.5" hidden="1">
      <c r="A131" s="131" t="s">
        <v>360</v>
      </c>
      <c r="B131" s="132" t="s">
        <v>361</v>
      </c>
      <c r="C131" s="133"/>
    </row>
    <row r="132" spans="1:3" ht="25.5" hidden="1">
      <c r="A132" s="131" t="s">
        <v>362</v>
      </c>
      <c r="B132" s="132" t="s">
        <v>363</v>
      </c>
      <c r="C132" s="133"/>
    </row>
    <row r="133" spans="1:3" ht="25.5" hidden="1">
      <c r="A133" s="131" t="s">
        <v>364</v>
      </c>
      <c r="B133" s="132" t="s">
        <v>365</v>
      </c>
      <c r="C133" s="133"/>
    </row>
    <row r="134" spans="1:3" s="41" customFormat="1" ht="24" customHeight="1" hidden="1">
      <c r="A134" s="134" t="s">
        <v>366</v>
      </c>
      <c r="B134" s="179" t="s">
        <v>367</v>
      </c>
      <c r="C134" s="135"/>
    </row>
    <row r="135" spans="1:3" ht="25.5" hidden="1">
      <c r="A135" s="169" t="s">
        <v>368</v>
      </c>
      <c r="B135" s="165" t="s">
        <v>369</v>
      </c>
      <c r="C135" s="133">
        <f>C136</f>
        <v>0</v>
      </c>
    </row>
    <row r="136" spans="1:3" ht="38.25" hidden="1">
      <c r="A136" s="131" t="s">
        <v>370</v>
      </c>
      <c r="B136" s="132" t="s">
        <v>371</v>
      </c>
      <c r="C136" s="133"/>
    </row>
    <row r="137" spans="1:3" ht="25.5" hidden="1">
      <c r="A137" s="169" t="s">
        <v>372</v>
      </c>
      <c r="B137" s="165" t="s">
        <v>373</v>
      </c>
      <c r="C137" s="133">
        <f>C138</f>
        <v>0</v>
      </c>
    </row>
    <row r="138" spans="1:3" ht="38.25" hidden="1">
      <c r="A138" s="131" t="s">
        <v>374</v>
      </c>
      <c r="B138" s="132" t="s">
        <v>375</v>
      </c>
      <c r="C138" s="133"/>
    </row>
    <row r="139" spans="1:3" ht="38.25">
      <c r="A139" s="131" t="s">
        <v>376</v>
      </c>
      <c r="B139" s="132" t="s">
        <v>377</v>
      </c>
      <c r="C139" s="124">
        <v>2000</v>
      </c>
    </row>
    <row r="140" spans="1:3" ht="24">
      <c r="A140" s="180" t="s">
        <v>378</v>
      </c>
      <c r="B140" s="137" t="s">
        <v>379</v>
      </c>
      <c r="C140" s="145">
        <f>C141+C143</f>
        <v>40000</v>
      </c>
    </row>
    <row r="141" spans="1:3" ht="38.25" hidden="1">
      <c r="A141" s="136" t="s">
        <v>380</v>
      </c>
      <c r="B141" s="165" t="s">
        <v>381</v>
      </c>
      <c r="C141" s="145">
        <f>C142</f>
        <v>0</v>
      </c>
    </row>
    <row r="142" spans="1:3" ht="38.25" hidden="1">
      <c r="A142" s="181" t="s">
        <v>382</v>
      </c>
      <c r="B142" s="132" t="s">
        <v>383</v>
      </c>
      <c r="C142" s="133"/>
    </row>
    <row r="143" spans="1:3" ht="24" customHeight="1">
      <c r="A143" s="131" t="s">
        <v>384</v>
      </c>
      <c r="B143" s="132" t="s">
        <v>385</v>
      </c>
      <c r="C143" s="133">
        <f>25000+15000</f>
        <v>40000</v>
      </c>
    </row>
    <row r="144" spans="1:3" ht="25.5" hidden="1">
      <c r="A144" s="169" t="s">
        <v>386</v>
      </c>
      <c r="B144" s="165" t="s">
        <v>387</v>
      </c>
      <c r="C144" s="124">
        <f>C145</f>
        <v>0</v>
      </c>
    </row>
    <row r="145" spans="1:3" ht="38.25" hidden="1">
      <c r="A145" s="131" t="s">
        <v>388</v>
      </c>
      <c r="B145" s="132" t="s">
        <v>389</v>
      </c>
      <c r="C145" s="133"/>
    </row>
    <row r="146" spans="1:3" ht="35.25" customHeight="1" hidden="1">
      <c r="A146" s="182" t="s">
        <v>390</v>
      </c>
      <c r="B146" s="183" t="s">
        <v>391</v>
      </c>
      <c r="C146" s="124">
        <f>C147</f>
        <v>0</v>
      </c>
    </row>
    <row r="147" spans="1:3" ht="51" hidden="1">
      <c r="A147" s="184" t="s">
        <v>392</v>
      </c>
      <c r="B147" s="142" t="s">
        <v>393</v>
      </c>
      <c r="C147" s="133"/>
    </row>
    <row r="148" spans="1:3" ht="16.5" customHeight="1">
      <c r="A148" s="185" t="s">
        <v>394</v>
      </c>
      <c r="B148" s="186" t="s">
        <v>395</v>
      </c>
      <c r="C148" s="187">
        <f>C149</f>
        <v>10842</v>
      </c>
    </row>
    <row r="149" spans="1:3" ht="25.5" customHeight="1">
      <c r="A149" s="188" t="s">
        <v>396</v>
      </c>
      <c r="B149" s="189" t="s">
        <v>397</v>
      </c>
      <c r="C149" s="133">
        <f>2842+8000</f>
        <v>10842</v>
      </c>
    </row>
    <row r="150" spans="1:3" s="193" customFormat="1" ht="25.5" hidden="1">
      <c r="A150" s="190" t="s">
        <v>398</v>
      </c>
      <c r="B150" s="191" t="s">
        <v>399</v>
      </c>
      <c r="C150" s="192">
        <f>C151</f>
        <v>0</v>
      </c>
    </row>
    <row r="151" spans="1:3" ht="38.25" hidden="1">
      <c r="A151" s="194" t="s">
        <v>400</v>
      </c>
      <c r="B151" s="195" t="s">
        <v>401</v>
      </c>
      <c r="C151" s="145"/>
    </row>
    <row r="152" spans="1:3" ht="51" customHeight="1">
      <c r="A152" s="140" t="s">
        <v>402</v>
      </c>
      <c r="B152" s="132" t="s">
        <v>403</v>
      </c>
      <c r="C152" s="133">
        <f>114676-50000</f>
        <v>64676</v>
      </c>
    </row>
    <row r="153" spans="1:3" s="5" customFormat="1" ht="24" customHeight="1">
      <c r="A153" s="125" t="s">
        <v>404</v>
      </c>
      <c r="B153" s="137" t="s">
        <v>405</v>
      </c>
      <c r="C153" s="124">
        <f>C154</f>
        <v>656409</v>
      </c>
    </row>
    <row r="154" spans="1:3" ht="26.25" customHeight="1">
      <c r="A154" s="131" t="s">
        <v>406</v>
      </c>
      <c r="B154" s="132" t="s">
        <v>407</v>
      </c>
      <c r="C154" s="133">
        <f>670409-14000</f>
        <v>656409</v>
      </c>
    </row>
    <row r="155" spans="1:3" ht="15.75" hidden="1">
      <c r="A155" s="164" t="s">
        <v>408</v>
      </c>
      <c r="B155" s="126" t="s">
        <v>409</v>
      </c>
      <c r="C155" s="196">
        <f>C156</f>
        <v>0</v>
      </c>
    </row>
    <row r="156" spans="1:3" ht="12.75" hidden="1">
      <c r="A156" s="164" t="s">
        <v>410</v>
      </c>
      <c r="B156" s="177" t="s">
        <v>411</v>
      </c>
      <c r="C156" s="197">
        <f>C157</f>
        <v>0</v>
      </c>
    </row>
    <row r="157" spans="1:3" ht="12.75" hidden="1">
      <c r="A157" s="131" t="s">
        <v>412</v>
      </c>
      <c r="B157" s="132" t="s">
        <v>413</v>
      </c>
      <c r="C157" s="197"/>
    </row>
    <row r="158" spans="1:3" ht="17.25" customHeight="1">
      <c r="A158" s="198" t="s">
        <v>414</v>
      </c>
      <c r="B158" s="199" t="s">
        <v>415</v>
      </c>
      <c r="C158" s="200">
        <f>C159+C250+C257+C254</f>
        <v>357379428.77</v>
      </c>
    </row>
    <row r="159" spans="1:3" ht="27" customHeight="1">
      <c r="A159" s="198" t="s">
        <v>416</v>
      </c>
      <c r="B159" s="202" t="s">
        <v>417</v>
      </c>
      <c r="C159" s="203">
        <f>C160+C165+C193+C243</f>
        <v>350020140</v>
      </c>
    </row>
    <row r="160" spans="1:3" ht="16.5" customHeight="1">
      <c r="A160" s="205" t="s">
        <v>418</v>
      </c>
      <c r="B160" s="206" t="s">
        <v>419</v>
      </c>
      <c r="C160" s="207">
        <f>C161+C163</f>
        <v>11301886</v>
      </c>
    </row>
    <row r="161" spans="1:3" ht="12.75">
      <c r="A161" s="205" t="s">
        <v>420</v>
      </c>
      <c r="B161" s="208" t="s">
        <v>421</v>
      </c>
      <c r="C161" s="207">
        <f>C162</f>
        <v>9341043</v>
      </c>
    </row>
    <row r="162" spans="1:3" s="41" customFormat="1" ht="25.5">
      <c r="A162" s="209" t="s">
        <v>422</v>
      </c>
      <c r="B162" s="210" t="s">
        <v>423</v>
      </c>
      <c r="C162" s="211">
        <v>9341043</v>
      </c>
    </row>
    <row r="163" spans="1:3" ht="25.5">
      <c r="A163" s="205" t="s">
        <v>424</v>
      </c>
      <c r="B163" s="212" t="s">
        <v>425</v>
      </c>
      <c r="C163" s="203">
        <f>C164</f>
        <v>1960843</v>
      </c>
    </row>
    <row r="164" spans="1:3" ht="25.5">
      <c r="A164" s="213" t="s">
        <v>426</v>
      </c>
      <c r="B164" s="214" t="s">
        <v>427</v>
      </c>
      <c r="C164" s="211">
        <v>1960843</v>
      </c>
    </row>
    <row r="165" spans="1:3" ht="25.5" customHeight="1">
      <c r="A165" s="125" t="s">
        <v>428</v>
      </c>
      <c r="B165" s="215" t="s">
        <v>429</v>
      </c>
      <c r="C165" s="203">
        <f>C180+C166+C168+C172+C170+C176+C174</f>
        <v>37606744</v>
      </c>
    </row>
    <row r="166" spans="1:3" s="5" customFormat="1" ht="0.75" customHeight="1" hidden="1">
      <c r="A166" s="216"/>
      <c r="B166" s="217"/>
      <c r="C166" s="203">
        <f>C167</f>
        <v>0</v>
      </c>
    </row>
    <row r="167" spans="1:3" ht="12.75" hidden="1">
      <c r="A167" s="218"/>
      <c r="B167" s="219"/>
      <c r="C167" s="211"/>
    </row>
    <row r="168" spans="1:3" s="5" customFormat="1" ht="24" hidden="1">
      <c r="A168" s="182" t="s">
        <v>430</v>
      </c>
      <c r="B168" s="220" t="s">
        <v>431</v>
      </c>
      <c r="C168" s="203">
        <f>C169</f>
        <v>0</v>
      </c>
    </row>
    <row r="169" spans="1:3" ht="33" customHeight="1" hidden="1">
      <c r="A169" s="221" t="s">
        <v>432</v>
      </c>
      <c r="B169" s="219" t="s">
        <v>433</v>
      </c>
      <c r="C169" s="211"/>
    </row>
    <row r="170" spans="1:3" ht="24" hidden="1">
      <c r="A170" s="222" t="s">
        <v>434</v>
      </c>
      <c r="B170" s="223" t="s">
        <v>435</v>
      </c>
      <c r="C170" s="203">
        <f>C171</f>
        <v>0</v>
      </c>
    </row>
    <row r="171" spans="1:3" ht="38.25" hidden="1">
      <c r="A171" s="224" t="s">
        <v>436</v>
      </c>
      <c r="B171" s="225" t="s">
        <v>437</v>
      </c>
      <c r="C171" s="211"/>
    </row>
    <row r="172" spans="1:3" ht="35.25" customHeight="1">
      <c r="A172" s="182" t="s">
        <v>438</v>
      </c>
      <c r="B172" s="220" t="s">
        <v>439</v>
      </c>
      <c r="C172" s="203">
        <f>C173</f>
        <v>1300000</v>
      </c>
    </row>
    <row r="173" spans="1:3" ht="36" customHeight="1">
      <c r="A173" s="221" t="s">
        <v>440</v>
      </c>
      <c r="B173" s="219" t="s">
        <v>441</v>
      </c>
      <c r="C173" s="211">
        <v>1300000</v>
      </c>
    </row>
    <row r="174" spans="1:3" ht="36">
      <c r="A174" s="182" t="s">
        <v>442</v>
      </c>
      <c r="B174" s="226" t="s">
        <v>443</v>
      </c>
      <c r="C174" s="203">
        <f>C175</f>
        <v>1302450</v>
      </c>
    </row>
    <row r="175" spans="1:3" ht="38.25">
      <c r="A175" s="221" t="s">
        <v>444</v>
      </c>
      <c r="B175" s="227" t="s">
        <v>445</v>
      </c>
      <c r="C175" s="211">
        <v>1302450</v>
      </c>
    </row>
    <row r="176" spans="1:3" s="171" customFormat="1" ht="36.75" customHeight="1">
      <c r="A176" s="182" t="s">
        <v>446</v>
      </c>
      <c r="B176" s="226" t="s">
        <v>447</v>
      </c>
      <c r="C176" s="203">
        <f>C177+C178+C179</f>
        <v>18215813</v>
      </c>
    </row>
    <row r="177" spans="1:3" ht="52.5" customHeight="1">
      <c r="A177" s="221" t="s">
        <v>448</v>
      </c>
      <c r="B177" s="227" t="s">
        <v>449</v>
      </c>
      <c r="C177" s="211">
        <v>4742062</v>
      </c>
    </row>
    <row r="178" spans="1:3" ht="51.75" customHeight="1">
      <c r="A178" s="221" t="s">
        <v>448</v>
      </c>
      <c r="B178" s="227" t="s">
        <v>450</v>
      </c>
      <c r="C178" s="211">
        <v>12172899</v>
      </c>
    </row>
    <row r="179" spans="1:3" ht="50.25" customHeight="1">
      <c r="A179" s="221" t="s">
        <v>448</v>
      </c>
      <c r="B179" s="228" t="s">
        <v>451</v>
      </c>
      <c r="C179" s="211">
        <v>1300852</v>
      </c>
    </row>
    <row r="180" spans="1:3" ht="15.75" customHeight="1">
      <c r="A180" s="229" t="s">
        <v>452</v>
      </c>
      <c r="B180" s="230" t="s">
        <v>453</v>
      </c>
      <c r="C180" s="203">
        <f>SUM(C181:C192)</f>
        <v>16788481</v>
      </c>
    </row>
    <row r="181" spans="1:3" ht="38.25" hidden="1">
      <c r="A181" s="231" t="s">
        <v>454</v>
      </c>
      <c r="B181" s="228" t="s">
        <v>455</v>
      </c>
      <c r="C181" s="211"/>
    </row>
    <row r="182" spans="1:3" ht="51" hidden="1">
      <c r="A182" s="231" t="s">
        <v>454</v>
      </c>
      <c r="B182" s="232" t="s">
        <v>456</v>
      </c>
      <c r="C182" s="211"/>
    </row>
    <row r="183" spans="1:3" ht="24" customHeight="1">
      <c r="A183" s="231" t="s">
        <v>457</v>
      </c>
      <c r="B183" s="233" t="s">
        <v>458</v>
      </c>
      <c r="C183" s="211">
        <v>1800000</v>
      </c>
    </row>
    <row r="184" spans="1:3" ht="12.75" hidden="1">
      <c r="A184" s="234"/>
      <c r="B184" s="228"/>
      <c r="C184" s="211"/>
    </row>
    <row r="185" spans="1:3" ht="38.25">
      <c r="A185" s="231" t="s">
        <v>457</v>
      </c>
      <c r="B185" s="232" t="s">
        <v>459</v>
      </c>
      <c r="C185" s="211">
        <v>1017730</v>
      </c>
    </row>
    <row r="186" spans="1:3" ht="25.5">
      <c r="A186" s="231" t="s">
        <v>457</v>
      </c>
      <c r="B186" s="233" t="s">
        <v>460</v>
      </c>
      <c r="C186" s="235">
        <v>1607171</v>
      </c>
    </row>
    <row r="187" spans="1:3" ht="48.75" customHeight="1">
      <c r="A187" s="231" t="s">
        <v>457</v>
      </c>
      <c r="B187" s="236" t="s">
        <v>461</v>
      </c>
      <c r="C187" s="237">
        <v>48449</v>
      </c>
    </row>
    <row r="188" spans="1:3" ht="48.75" customHeight="1">
      <c r="A188" s="231" t="s">
        <v>457</v>
      </c>
      <c r="B188" s="236" t="s">
        <v>462</v>
      </c>
      <c r="C188" s="211">
        <v>889886</v>
      </c>
    </row>
    <row r="189" spans="1:3" ht="39" customHeight="1">
      <c r="A189" s="231" t="s">
        <v>457</v>
      </c>
      <c r="B189" s="232" t="s">
        <v>463</v>
      </c>
      <c r="C189" s="211">
        <v>615795</v>
      </c>
    </row>
    <row r="190" spans="1:3" ht="39" customHeight="1">
      <c r="A190" s="231" t="s">
        <v>457</v>
      </c>
      <c r="B190" s="232" t="s">
        <v>464</v>
      </c>
      <c r="C190" s="211">
        <v>1748640</v>
      </c>
    </row>
    <row r="191" spans="1:3" ht="39" customHeight="1">
      <c r="A191" s="231" t="s">
        <v>457</v>
      </c>
      <c r="B191" s="232" t="s">
        <v>465</v>
      </c>
      <c r="C191" s="211">
        <v>9060810</v>
      </c>
    </row>
    <row r="192" spans="1:3" ht="12.75" hidden="1">
      <c r="A192" s="231" t="s">
        <v>454</v>
      </c>
      <c r="B192" s="132"/>
      <c r="C192" s="211"/>
    </row>
    <row r="193" spans="1:3" ht="14.25" customHeight="1">
      <c r="A193" s="125" t="s">
        <v>466</v>
      </c>
      <c r="B193" s="238" t="s">
        <v>467</v>
      </c>
      <c r="C193" s="203">
        <f>C196+C198+C200+C202+C204+C206+C208+C220+C210+C215+C217+C212+C194</f>
        <v>300791510</v>
      </c>
    </row>
    <row r="194" spans="1:3" ht="36" customHeight="1">
      <c r="A194" s="125" t="s">
        <v>468</v>
      </c>
      <c r="B194" s="240" t="s">
        <v>469</v>
      </c>
      <c r="C194" s="241">
        <f>C195</f>
        <v>63415</v>
      </c>
    </row>
    <row r="195" spans="1:3" ht="38.25">
      <c r="A195" s="134" t="s">
        <v>470</v>
      </c>
      <c r="B195" s="242" t="s">
        <v>471</v>
      </c>
      <c r="C195" s="243">
        <v>63415</v>
      </c>
    </row>
    <row r="196" spans="1:3" ht="25.5" customHeight="1">
      <c r="A196" s="125" t="s">
        <v>472</v>
      </c>
      <c r="B196" s="244" t="s">
        <v>473</v>
      </c>
      <c r="C196" s="203">
        <f>C197</f>
        <v>9054167</v>
      </c>
    </row>
    <row r="197" spans="1:3" ht="39" customHeight="1">
      <c r="A197" s="134" t="s">
        <v>474</v>
      </c>
      <c r="B197" s="228" t="s">
        <v>475</v>
      </c>
      <c r="C197" s="243">
        <v>9054167</v>
      </c>
    </row>
    <row r="198" spans="1:3" ht="0.75" customHeight="1" hidden="1">
      <c r="A198" s="245" t="s">
        <v>476</v>
      </c>
      <c r="B198" s="183" t="s">
        <v>477</v>
      </c>
      <c r="C198" s="203">
        <f>C199</f>
        <v>0</v>
      </c>
    </row>
    <row r="199" spans="1:3" s="41" customFormat="1" ht="51" hidden="1">
      <c r="A199" s="246" t="s">
        <v>478</v>
      </c>
      <c r="B199" s="142" t="s">
        <v>479</v>
      </c>
      <c r="C199" s="211"/>
    </row>
    <row r="200" spans="1:3" ht="12.75" hidden="1">
      <c r="A200" s="131"/>
      <c r="B200" s="247"/>
      <c r="C200" s="211">
        <f>C201</f>
        <v>0</v>
      </c>
    </row>
    <row r="201" spans="1:3" ht="12.75" hidden="1">
      <c r="A201" s="248"/>
      <c r="B201" s="249"/>
      <c r="C201" s="250"/>
    </row>
    <row r="202" spans="1:3" ht="17.25" customHeight="1">
      <c r="A202" s="125" t="s">
        <v>480</v>
      </c>
      <c r="B202" s="251" t="s">
        <v>481</v>
      </c>
      <c r="C202" s="203">
        <f>C203</f>
        <v>2746541</v>
      </c>
    </row>
    <row r="203" spans="1:3" ht="15" customHeight="1">
      <c r="A203" s="252" t="s">
        <v>482</v>
      </c>
      <c r="B203" s="253" t="s">
        <v>483</v>
      </c>
      <c r="C203" s="211">
        <v>2746541</v>
      </c>
    </row>
    <row r="204" spans="1:3" ht="25.5" hidden="1">
      <c r="A204" s="131" t="s">
        <v>484</v>
      </c>
      <c r="B204" s="247" t="s">
        <v>485</v>
      </c>
      <c r="C204" s="211">
        <f>C205</f>
        <v>0</v>
      </c>
    </row>
    <row r="205" spans="1:3" ht="38.25" hidden="1">
      <c r="A205" s="131" t="s">
        <v>486</v>
      </c>
      <c r="B205" s="247" t="s">
        <v>487</v>
      </c>
      <c r="C205" s="211"/>
    </row>
    <row r="206" spans="1:3" ht="26.25" customHeight="1" hidden="1">
      <c r="A206" s="131" t="s">
        <v>488</v>
      </c>
      <c r="B206" s="247" t="s">
        <v>489</v>
      </c>
      <c r="C206" s="211">
        <f>C207</f>
        <v>0</v>
      </c>
    </row>
    <row r="207" spans="1:3" ht="0.75" customHeight="1" hidden="1">
      <c r="A207" s="131" t="s">
        <v>490</v>
      </c>
      <c r="B207" s="254"/>
      <c r="C207" s="250"/>
    </row>
    <row r="208" spans="1:3" ht="38.25" customHeight="1" hidden="1">
      <c r="A208" s="42"/>
      <c r="B208" s="42"/>
      <c r="C208" s="211">
        <f>C209</f>
        <v>0</v>
      </c>
    </row>
    <row r="209" spans="1:3" ht="41.25" customHeight="1" hidden="1">
      <c r="A209" s="42"/>
      <c r="B209" s="42"/>
      <c r="C209" s="211"/>
    </row>
    <row r="210" spans="1:3" ht="12.75" hidden="1">
      <c r="A210" s="255" t="s">
        <v>491</v>
      </c>
      <c r="B210" s="132"/>
      <c r="C210" s="211">
        <f>C211</f>
        <v>0</v>
      </c>
    </row>
    <row r="211" spans="1:3" ht="12.75" hidden="1">
      <c r="A211" s="256" t="s">
        <v>492</v>
      </c>
      <c r="B211" s="257"/>
      <c r="C211" s="250"/>
    </row>
    <row r="212" spans="1:3" ht="132" customHeight="1" hidden="1">
      <c r="A212" s="258" t="s">
        <v>493</v>
      </c>
      <c r="B212" s="259" t="s">
        <v>494</v>
      </c>
      <c r="C212" s="211"/>
    </row>
    <row r="213" spans="1:3" ht="102" hidden="1">
      <c r="A213" s="258" t="s">
        <v>495</v>
      </c>
      <c r="B213" s="259" t="s">
        <v>496</v>
      </c>
      <c r="C213" s="211"/>
    </row>
    <row r="214" spans="1:3" ht="102" hidden="1">
      <c r="A214" s="258" t="s">
        <v>495</v>
      </c>
      <c r="B214" s="259" t="s">
        <v>497</v>
      </c>
      <c r="C214" s="211"/>
    </row>
    <row r="215" spans="1:3" ht="12.75" hidden="1">
      <c r="A215" s="258"/>
      <c r="B215" s="132"/>
      <c r="C215" s="211"/>
    </row>
    <row r="216" spans="1:3" ht="12.75" hidden="1">
      <c r="A216" s="258"/>
      <c r="B216" s="260"/>
      <c r="C216" s="211"/>
    </row>
    <row r="217" spans="1:3" ht="12.75" hidden="1">
      <c r="A217" s="258"/>
      <c r="B217" s="261"/>
      <c r="C217" s="211"/>
    </row>
    <row r="218" spans="1:3" ht="12.75" hidden="1">
      <c r="A218" s="258"/>
      <c r="B218" s="261"/>
      <c r="C218" s="211"/>
    </row>
    <row r="219" spans="1:3" s="264" customFormat="1" ht="15.75" customHeight="1">
      <c r="A219" s="262" t="s">
        <v>498</v>
      </c>
      <c r="B219" s="263" t="s">
        <v>499</v>
      </c>
      <c r="C219" s="203">
        <f>C220</f>
        <v>288927387</v>
      </c>
    </row>
    <row r="220" spans="1:3" ht="15.75" customHeight="1">
      <c r="A220" s="262" t="s">
        <v>500</v>
      </c>
      <c r="B220" s="263" t="s">
        <v>501</v>
      </c>
      <c r="C220" s="241">
        <f>SUM(C222:C242)</f>
        <v>288927387</v>
      </c>
    </row>
    <row r="221" spans="1:3" ht="13.5" customHeight="1">
      <c r="A221" s="213"/>
      <c r="B221" s="265" t="s">
        <v>502</v>
      </c>
      <c r="C221" s="211"/>
    </row>
    <row r="222" spans="1:3" ht="38.25" customHeight="1">
      <c r="A222" s="213" t="s">
        <v>500</v>
      </c>
      <c r="B222" s="179" t="s">
        <v>503</v>
      </c>
      <c r="C222" s="243">
        <v>876600</v>
      </c>
    </row>
    <row r="223" spans="1:3" ht="62.25" customHeight="1">
      <c r="A223" s="213" t="s">
        <v>500</v>
      </c>
      <c r="B223" s="228" t="s">
        <v>504</v>
      </c>
      <c r="C223" s="243">
        <v>193829050</v>
      </c>
    </row>
    <row r="224" spans="1:3" ht="63" customHeight="1">
      <c r="A224" s="213" t="s">
        <v>500</v>
      </c>
      <c r="B224" s="228" t="s">
        <v>505</v>
      </c>
      <c r="C224" s="243">
        <v>20466008</v>
      </c>
    </row>
    <row r="225" spans="1:3" ht="26.25" customHeight="1" hidden="1">
      <c r="A225" s="213" t="s">
        <v>506</v>
      </c>
      <c r="B225" s="247" t="s">
        <v>507</v>
      </c>
      <c r="C225" s="243"/>
    </row>
    <row r="226" spans="1:3" ht="62.25" customHeight="1">
      <c r="A226" s="213" t="s">
        <v>500</v>
      </c>
      <c r="B226" s="228" t="s">
        <v>508</v>
      </c>
      <c r="C226" s="266">
        <v>45980129</v>
      </c>
    </row>
    <row r="227" spans="1:3" ht="53.25" customHeight="1">
      <c r="A227" s="213" t="s">
        <v>500</v>
      </c>
      <c r="B227" s="267" t="s">
        <v>509</v>
      </c>
      <c r="C227" s="243">
        <v>2080810</v>
      </c>
    </row>
    <row r="228" spans="1:3" ht="64.5" customHeight="1">
      <c r="A228" s="213" t="s">
        <v>500</v>
      </c>
      <c r="B228" s="228" t="s">
        <v>510</v>
      </c>
      <c r="C228" s="243">
        <v>223052</v>
      </c>
    </row>
    <row r="229" spans="1:3" ht="38.25" customHeight="1">
      <c r="A229" s="213" t="s">
        <v>500</v>
      </c>
      <c r="B229" s="228" t="s">
        <v>511</v>
      </c>
      <c r="C229" s="243">
        <v>1575907</v>
      </c>
    </row>
    <row r="230" spans="1:3" ht="51" customHeight="1">
      <c r="A230" s="213" t="s">
        <v>500</v>
      </c>
      <c r="B230" s="228" t="s">
        <v>512</v>
      </c>
      <c r="C230" s="243">
        <v>52872</v>
      </c>
    </row>
    <row r="231" spans="1:3" ht="25.5" customHeight="1">
      <c r="A231" s="213" t="s">
        <v>500</v>
      </c>
      <c r="B231" s="228" t="s">
        <v>513</v>
      </c>
      <c r="C231" s="243">
        <v>329014</v>
      </c>
    </row>
    <row r="232" spans="1:3" ht="39.75" customHeight="1">
      <c r="A232" s="213" t="s">
        <v>500</v>
      </c>
      <c r="B232" s="228" t="s">
        <v>514</v>
      </c>
      <c r="C232" s="243">
        <v>292200</v>
      </c>
    </row>
    <row r="233" spans="1:3" ht="38.25" customHeight="1">
      <c r="A233" s="213" t="s">
        <v>500</v>
      </c>
      <c r="B233" s="228" t="s">
        <v>515</v>
      </c>
      <c r="C233" s="243">
        <v>292200</v>
      </c>
    </row>
    <row r="234" spans="1:3" ht="25.5" customHeight="1">
      <c r="A234" s="213" t="s">
        <v>500</v>
      </c>
      <c r="B234" s="228" t="s">
        <v>516</v>
      </c>
      <c r="C234" s="243">
        <v>292200</v>
      </c>
    </row>
    <row r="235" spans="1:3" ht="38.25" customHeight="1">
      <c r="A235" s="213" t="s">
        <v>500</v>
      </c>
      <c r="B235" s="228" t="s">
        <v>517</v>
      </c>
      <c r="C235" s="243">
        <v>122900</v>
      </c>
    </row>
    <row r="236" spans="1:3" ht="26.25" customHeight="1">
      <c r="A236" s="213" t="s">
        <v>500</v>
      </c>
      <c r="B236" s="242" t="s">
        <v>518</v>
      </c>
      <c r="C236" s="266">
        <v>10537877</v>
      </c>
    </row>
    <row r="237" spans="1:3" ht="26.25" customHeight="1">
      <c r="A237" s="213" t="s">
        <v>500</v>
      </c>
      <c r="B237" s="179" t="s">
        <v>519</v>
      </c>
      <c r="C237" s="266">
        <v>1556884</v>
      </c>
    </row>
    <row r="238" spans="1:3" ht="64.5" customHeight="1">
      <c r="A238" s="213" t="s">
        <v>500</v>
      </c>
      <c r="B238" s="228" t="s">
        <v>520</v>
      </c>
      <c r="C238" s="243">
        <v>295849</v>
      </c>
    </row>
    <row r="239" spans="1:3" ht="38.25" customHeight="1">
      <c r="A239" s="213" t="s">
        <v>500</v>
      </c>
      <c r="B239" s="228" t="s">
        <v>521</v>
      </c>
      <c r="C239" s="243">
        <v>2045400</v>
      </c>
    </row>
    <row r="240" spans="1:3" ht="38.25" customHeight="1">
      <c r="A240" s="213" t="s">
        <v>500</v>
      </c>
      <c r="B240" s="179" t="s">
        <v>522</v>
      </c>
      <c r="C240" s="243">
        <v>280884</v>
      </c>
    </row>
    <row r="241" spans="1:3" ht="51.75" customHeight="1">
      <c r="A241" s="213" t="s">
        <v>500</v>
      </c>
      <c r="B241" s="179" t="s">
        <v>523</v>
      </c>
      <c r="C241" s="243">
        <v>29220</v>
      </c>
    </row>
    <row r="242" spans="1:3" ht="51" customHeight="1">
      <c r="A242" s="213" t="s">
        <v>500</v>
      </c>
      <c r="B242" s="228" t="s">
        <v>524</v>
      </c>
      <c r="C242" s="243">
        <v>7768331</v>
      </c>
    </row>
    <row r="243" spans="1:3" s="5" customFormat="1" ht="15" customHeight="1">
      <c r="A243" s="268" t="s">
        <v>525</v>
      </c>
      <c r="B243" s="269" t="s">
        <v>526</v>
      </c>
      <c r="C243" s="203">
        <f>C246+C248+C244</f>
        <v>320000</v>
      </c>
    </row>
    <row r="244" spans="1:3" s="5" customFormat="1" ht="35.25" customHeight="1">
      <c r="A244" s="270" t="s">
        <v>527</v>
      </c>
      <c r="B244" s="271" t="s">
        <v>528</v>
      </c>
      <c r="C244" s="203">
        <f>C245</f>
        <v>290000</v>
      </c>
    </row>
    <row r="245" spans="1:3" s="5" customFormat="1" ht="51" customHeight="1">
      <c r="A245" s="272" t="s">
        <v>529</v>
      </c>
      <c r="B245" s="273" t="s">
        <v>530</v>
      </c>
      <c r="C245" s="211">
        <v>290000</v>
      </c>
    </row>
    <row r="246" spans="1:3" ht="36" customHeight="1">
      <c r="A246" s="182" t="s">
        <v>531</v>
      </c>
      <c r="B246" s="183" t="s">
        <v>532</v>
      </c>
      <c r="C246" s="274">
        <f>C247</f>
        <v>30000</v>
      </c>
    </row>
    <row r="247" spans="1:3" ht="38.25" customHeight="1">
      <c r="A247" s="221" t="s">
        <v>533</v>
      </c>
      <c r="B247" s="142" t="s">
        <v>534</v>
      </c>
      <c r="C247" s="275">
        <v>30000</v>
      </c>
    </row>
    <row r="248" spans="1:3" s="171" customFormat="1" ht="15" hidden="1">
      <c r="A248" s="276" t="s">
        <v>535</v>
      </c>
      <c r="B248" s="277" t="s">
        <v>536</v>
      </c>
      <c r="C248" s="274">
        <f>C249</f>
        <v>0</v>
      </c>
    </row>
    <row r="249" spans="1:3" ht="24" hidden="1">
      <c r="A249" s="218" t="s">
        <v>537</v>
      </c>
      <c r="B249" s="278" t="s">
        <v>538</v>
      </c>
      <c r="C249" s="211"/>
    </row>
    <row r="250" spans="1:3" ht="15" customHeight="1">
      <c r="A250" s="279" t="s">
        <v>539</v>
      </c>
      <c r="B250" s="280" t="s">
        <v>540</v>
      </c>
      <c r="C250" s="281">
        <f>C251</f>
        <v>8037472</v>
      </c>
    </row>
    <row r="251" spans="1:3" ht="16.5" customHeight="1">
      <c r="A251" s="136" t="s">
        <v>541</v>
      </c>
      <c r="B251" s="163" t="s">
        <v>542</v>
      </c>
      <c r="C251" s="282">
        <f>C253+C252</f>
        <v>8037472</v>
      </c>
    </row>
    <row r="252" spans="1:3" ht="38.25" customHeight="1">
      <c r="A252" s="283" t="s">
        <v>543</v>
      </c>
      <c r="B252" s="273" t="s">
        <v>544</v>
      </c>
      <c r="C252" s="284">
        <f>6327341</f>
        <v>6327341</v>
      </c>
    </row>
    <row r="253" spans="1:3" s="5" customFormat="1" ht="18" customHeight="1">
      <c r="A253" s="283" t="s">
        <v>545</v>
      </c>
      <c r="B253" s="152" t="s">
        <v>542</v>
      </c>
      <c r="C253" s="285">
        <f>1710131</f>
        <v>1710131</v>
      </c>
    </row>
    <row r="254" spans="1:3" s="5" customFormat="1" ht="1.5" customHeight="1" hidden="1">
      <c r="A254" s="286" t="s">
        <v>546</v>
      </c>
      <c r="B254" s="287" t="s">
        <v>547</v>
      </c>
      <c r="C254" s="288">
        <f>C255</f>
        <v>0</v>
      </c>
    </row>
    <row r="255" spans="1:3" s="5" customFormat="1" ht="48" hidden="1">
      <c r="A255" s="289" t="s">
        <v>548</v>
      </c>
      <c r="B255" s="290" t="s">
        <v>549</v>
      </c>
      <c r="C255" s="211">
        <f>C256</f>
        <v>0</v>
      </c>
    </row>
    <row r="256" spans="1:3" s="5" customFormat="1" ht="36" hidden="1">
      <c r="A256" s="289" t="s">
        <v>550</v>
      </c>
      <c r="B256" s="290" t="s">
        <v>551</v>
      </c>
      <c r="C256" s="211"/>
    </row>
    <row r="257" spans="1:3" s="5" customFormat="1" ht="35.25" customHeight="1">
      <c r="A257" s="291" t="s">
        <v>552</v>
      </c>
      <c r="B257" s="292" t="s">
        <v>553</v>
      </c>
      <c r="C257" s="293">
        <f>C258</f>
        <v>-678183.23</v>
      </c>
    </row>
    <row r="258" spans="1:3" s="5" customFormat="1" ht="26.25" customHeight="1">
      <c r="A258" s="294" t="s">
        <v>554</v>
      </c>
      <c r="B258" s="295" t="s">
        <v>555</v>
      </c>
      <c r="C258" s="296">
        <f>C259</f>
        <v>-678183.23</v>
      </c>
    </row>
    <row r="259" spans="1:3" s="5" customFormat="1" ht="38.25" customHeight="1">
      <c r="A259" s="294" t="s">
        <v>556</v>
      </c>
      <c r="B259" s="295" t="s">
        <v>557</v>
      </c>
      <c r="C259" s="296">
        <v>-678183.23</v>
      </c>
    </row>
  </sheetData>
  <sheetProtection/>
  <mergeCells count="14">
    <mergeCell ref="A14:C14"/>
    <mergeCell ref="A19:B19"/>
    <mergeCell ref="B7:C7"/>
    <mergeCell ref="B8:C8"/>
    <mergeCell ref="B9:C9"/>
    <mergeCell ref="A10:C10"/>
    <mergeCell ref="A12:C12"/>
    <mergeCell ref="A13:C13"/>
    <mergeCell ref="B1:C1"/>
    <mergeCell ref="B2:C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1"/>
  <sheetViews>
    <sheetView zoomScalePageLayoutView="0" workbookViewId="0" topLeftCell="A1">
      <selection activeCell="A242" sqref="A242:IV242"/>
    </sheetView>
  </sheetViews>
  <sheetFormatPr defaultColWidth="9.00390625" defaultRowHeight="12.75"/>
  <cols>
    <col min="1" max="1" width="18.375" style="0" customWidth="1"/>
    <col min="2" max="2" width="52.375" style="0" customWidth="1"/>
    <col min="3" max="3" width="12.625" style="298" customWidth="1"/>
    <col min="4" max="4" width="12.00390625" style="298" customWidth="1"/>
    <col min="5" max="5" width="13.125" style="386" customWidth="1"/>
    <col min="6" max="6" width="13.625" style="386" customWidth="1"/>
  </cols>
  <sheetData>
    <row r="1" spans="1:6" ht="12.75" customHeight="1">
      <c r="A1" s="2"/>
      <c r="B1" s="402" t="s">
        <v>558</v>
      </c>
      <c r="C1" s="402"/>
      <c r="D1" s="402"/>
      <c r="E1" s="300"/>
      <c r="F1" s="300"/>
    </row>
    <row r="2" spans="1:6" ht="11.25" customHeight="1">
      <c r="A2" s="2"/>
      <c r="B2" s="396" t="s">
        <v>127</v>
      </c>
      <c r="C2" s="396"/>
      <c r="D2" s="396"/>
      <c r="E2" s="301"/>
      <c r="F2" s="301"/>
    </row>
    <row r="3" spans="1:6" ht="12.75" customHeight="1">
      <c r="A3" s="2"/>
      <c r="B3" s="396" t="s">
        <v>128</v>
      </c>
      <c r="C3" s="396"/>
      <c r="D3" s="396"/>
      <c r="E3" s="301"/>
      <c r="F3" s="301"/>
    </row>
    <row r="4" spans="1:6" ht="12.75" customHeight="1">
      <c r="A4" s="2"/>
      <c r="B4" s="396" t="s">
        <v>559</v>
      </c>
      <c r="C4" s="396"/>
      <c r="D4" s="396"/>
      <c r="E4" s="301"/>
      <c r="F4" s="301"/>
    </row>
    <row r="5" spans="1:6" ht="12.75" customHeight="1">
      <c r="A5" s="2"/>
      <c r="B5" s="396" t="s">
        <v>130</v>
      </c>
      <c r="C5" s="396"/>
      <c r="D5" s="396"/>
      <c r="E5" s="301"/>
      <c r="F5" s="301"/>
    </row>
    <row r="6" spans="1:6" ht="13.5" customHeight="1">
      <c r="A6" s="2"/>
      <c r="B6" s="397" t="s">
        <v>131</v>
      </c>
      <c r="C6" s="397"/>
      <c r="D6" s="397"/>
      <c r="E6" s="302"/>
      <c r="F6" s="302"/>
    </row>
    <row r="7" spans="1:6" ht="12.75">
      <c r="A7" s="2"/>
      <c r="B7" s="396" t="s">
        <v>132</v>
      </c>
      <c r="C7" s="396"/>
      <c r="D7" s="396"/>
      <c r="E7" s="301"/>
      <c r="F7" s="301"/>
    </row>
    <row r="8" spans="1:6" ht="12.75">
      <c r="A8" s="2"/>
      <c r="B8" s="396" t="s">
        <v>133</v>
      </c>
      <c r="C8" s="396"/>
      <c r="D8" s="396"/>
      <c r="E8" s="301"/>
      <c r="F8" s="301"/>
    </row>
    <row r="9" spans="1:6" ht="12.75">
      <c r="A9" s="2"/>
      <c r="B9" s="396" t="s">
        <v>560</v>
      </c>
      <c r="C9" s="396"/>
      <c r="D9" s="396"/>
      <c r="E9" s="301"/>
      <c r="F9" s="301"/>
    </row>
    <row r="10" spans="1:6" ht="13.5" customHeight="1">
      <c r="A10" s="400"/>
      <c r="B10" s="400"/>
      <c r="C10" s="110"/>
      <c r="D10" s="110"/>
      <c r="E10" s="301"/>
      <c r="F10" s="301"/>
    </row>
    <row r="11" spans="2:6" ht="12.75" hidden="1">
      <c r="B11" s="109"/>
      <c r="C11" s="108"/>
      <c r="D11" s="108"/>
      <c r="E11" s="300"/>
      <c r="F11" s="300"/>
    </row>
    <row r="12" spans="1:6" ht="15.75" customHeight="1">
      <c r="A12" s="401" t="s">
        <v>561</v>
      </c>
      <c r="B12" s="401"/>
      <c r="C12" s="111"/>
      <c r="D12" s="111"/>
      <c r="E12" s="303"/>
      <c r="F12" s="303"/>
    </row>
    <row r="13" spans="1:6" ht="14.25" customHeight="1">
      <c r="A13" s="401" t="s">
        <v>136</v>
      </c>
      <c r="B13" s="401"/>
      <c r="C13" s="111"/>
      <c r="D13" s="111"/>
      <c r="E13" s="303"/>
      <c r="F13" s="303"/>
    </row>
    <row r="14" spans="1:6" ht="16.5" customHeight="1">
      <c r="A14" s="398" t="s">
        <v>562</v>
      </c>
      <c r="B14" s="398"/>
      <c r="C14" s="111"/>
      <c r="D14" s="111"/>
      <c r="E14" s="303"/>
      <c r="F14" s="303"/>
    </row>
    <row r="15" spans="1:6" ht="12.75" hidden="1">
      <c r="A15" s="112"/>
      <c r="B15" s="113"/>
      <c r="C15" s="115"/>
      <c r="D15" s="115"/>
      <c r="E15" s="304"/>
      <c r="F15" s="304"/>
    </row>
    <row r="16" spans="1:6" ht="13.5" customHeight="1">
      <c r="A16" s="112"/>
      <c r="B16" s="113"/>
      <c r="C16" s="117"/>
      <c r="D16" s="116" t="s">
        <v>138</v>
      </c>
      <c r="E16" s="117"/>
      <c r="F16" s="117"/>
    </row>
    <row r="17" spans="1:6" ht="40.5" customHeight="1">
      <c r="A17" s="118" t="s">
        <v>62</v>
      </c>
      <c r="B17" s="119" t="s">
        <v>139</v>
      </c>
      <c r="C17" s="120" t="s">
        <v>563</v>
      </c>
      <c r="D17" s="120" t="s">
        <v>564</v>
      </c>
      <c r="E17" s="121"/>
      <c r="F17" s="121"/>
    </row>
    <row r="18" spans="1:6" ht="12.75">
      <c r="A18" s="122">
        <v>1</v>
      </c>
      <c r="B18" s="122">
        <v>2</v>
      </c>
      <c r="C18" s="122">
        <v>3</v>
      </c>
      <c r="D18" s="122">
        <v>4</v>
      </c>
      <c r="E18" s="305"/>
      <c r="F18" s="305"/>
    </row>
    <row r="19" spans="1:6" ht="12.75">
      <c r="A19" s="403" t="s">
        <v>141</v>
      </c>
      <c r="B19" s="404"/>
      <c r="C19" s="306">
        <f>C20+C160</f>
        <v>442554848</v>
      </c>
      <c r="D19" s="139">
        <f>D20+D160</f>
        <v>443740679</v>
      </c>
      <c r="E19" s="305"/>
      <c r="F19" s="305"/>
    </row>
    <row r="20" spans="1:6" ht="12.75">
      <c r="A20" s="125" t="s">
        <v>142</v>
      </c>
      <c r="B20" s="126" t="s">
        <v>143</v>
      </c>
      <c r="C20" s="139">
        <f>C23+C39+C54+C63+C85+C92+C95+C115+C118+C157+C60+C29</f>
        <v>165876001</v>
      </c>
      <c r="D20" s="139">
        <f>D23+D39+D54+D63+D85+D92+D95+D115+D118+D157+D60+D29</f>
        <v>168522544</v>
      </c>
      <c r="E20" s="307"/>
      <c r="F20" s="307"/>
    </row>
    <row r="21" spans="1:6" s="312" customFormat="1" ht="12.75" hidden="1">
      <c r="A21" s="308"/>
      <c r="B21" s="309" t="s">
        <v>565</v>
      </c>
      <c r="C21" s="310">
        <f>C22+C62+C160</f>
        <v>442554848</v>
      </c>
      <c r="D21" s="310">
        <f>D22+D62+D160</f>
        <v>443740679</v>
      </c>
      <c r="E21" s="311"/>
      <c r="F21" s="311"/>
    </row>
    <row r="22" spans="1:6" s="317" customFormat="1" ht="12.75" hidden="1">
      <c r="A22" s="313"/>
      <c r="B22" s="314" t="s">
        <v>566</v>
      </c>
      <c r="C22" s="315">
        <f>C23+C29+C39+C54</f>
        <v>150880320</v>
      </c>
      <c r="D22" s="315">
        <f>D23+D29+D39+D54</f>
        <v>153526863</v>
      </c>
      <c r="E22" s="316"/>
      <c r="F22" s="316"/>
    </row>
    <row r="23" spans="1:6" s="41" customFormat="1" ht="17.25" customHeight="1">
      <c r="A23" s="318" t="s">
        <v>144</v>
      </c>
      <c r="B23" s="319" t="s">
        <v>145</v>
      </c>
      <c r="C23" s="281">
        <f>C24</f>
        <v>139607551</v>
      </c>
      <c r="D23" s="281">
        <f>D24</f>
        <v>145405631</v>
      </c>
      <c r="E23" s="320"/>
      <c r="F23" s="320"/>
    </row>
    <row r="24" spans="1:6" ht="17.25" customHeight="1">
      <c r="A24" s="128" t="s">
        <v>146</v>
      </c>
      <c r="B24" s="130" t="s">
        <v>147</v>
      </c>
      <c r="C24" s="139">
        <f>C25+C26+C27+C28</f>
        <v>139607551</v>
      </c>
      <c r="D24" s="139">
        <f>D25+D26+D27+D28</f>
        <v>145405631</v>
      </c>
      <c r="E24" s="307"/>
      <c r="F24" s="307"/>
    </row>
    <row r="25" spans="1:6" ht="63.75" customHeight="1">
      <c r="A25" s="131" t="s">
        <v>148</v>
      </c>
      <c r="B25" s="132" t="s">
        <v>149</v>
      </c>
      <c r="C25" s="133">
        <v>135339009</v>
      </c>
      <c r="D25" s="133">
        <v>141032288</v>
      </c>
      <c r="E25" s="321"/>
      <c r="F25" s="321"/>
    </row>
    <row r="26" spans="1:6" ht="89.25">
      <c r="A26" s="131" t="s">
        <v>150</v>
      </c>
      <c r="B26" s="132" t="s">
        <v>151</v>
      </c>
      <c r="C26" s="133">
        <v>2787530</v>
      </c>
      <c r="D26" s="133">
        <v>2913115</v>
      </c>
      <c r="E26" s="321"/>
      <c r="F26" s="321"/>
    </row>
    <row r="27" spans="1:6" ht="38.25">
      <c r="A27" s="134" t="s">
        <v>152</v>
      </c>
      <c r="B27" s="132" t="s">
        <v>153</v>
      </c>
      <c r="C27" s="135">
        <v>1481012</v>
      </c>
      <c r="D27" s="135">
        <v>1460228</v>
      </c>
      <c r="E27" s="322"/>
      <c r="F27" s="322"/>
    </row>
    <row r="28" spans="1:6" ht="76.5" hidden="1">
      <c r="A28" s="131" t="s">
        <v>154</v>
      </c>
      <c r="B28" s="132" t="s">
        <v>155</v>
      </c>
      <c r="C28" s="133"/>
      <c r="D28" s="133"/>
      <c r="E28" s="321"/>
      <c r="F28" s="321"/>
    </row>
    <row r="29" spans="1:6" s="138" customFormat="1" ht="39" customHeight="1">
      <c r="A29" s="136" t="s">
        <v>156</v>
      </c>
      <c r="B29" s="215" t="s">
        <v>157</v>
      </c>
      <c r="C29" s="127">
        <f>C30</f>
        <v>5148267</v>
      </c>
      <c r="D29" s="127">
        <f>D30</f>
        <v>5506162</v>
      </c>
      <c r="E29" s="307"/>
      <c r="F29" s="307"/>
    </row>
    <row r="30" spans="1:6" s="138" customFormat="1" ht="27" customHeight="1">
      <c r="A30" s="136" t="s">
        <v>158</v>
      </c>
      <c r="B30" s="132" t="s">
        <v>159</v>
      </c>
      <c r="C30" s="127">
        <f>C31+C33+C35+C37</f>
        <v>5148267</v>
      </c>
      <c r="D30" s="127">
        <f>D31+D33+D35+D37</f>
        <v>5506162</v>
      </c>
      <c r="E30" s="307"/>
      <c r="F30" s="307"/>
    </row>
    <row r="31" spans="1:6" ht="64.5" customHeight="1">
      <c r="A31" s="136" t="s">
        <v>160</v>
      </c>
      <c r="B31" s="137" t="s">
        <v>161</v>
      </c>
      <c r="C31" s="139">
        <f>C32</f>
        <v>1865589</v>
      </c>
      <c r="D31" s="139">
        <f>D32</f>
        <v>1991348</v>
      </c>
      <c r="E31" s="321"/>
      <c r="F31" s="321"/>
    </row>
    <row r="32" spans="1:6" ht="64.5" customHeight="1">
      <c r="A32" s="140" t="s">
        <v>162</v>
      </c>
      <c r="B32" s="141" t="s">
        <v>163</v>
      </c>
      <c r="C32" s="133">
        <v>1865589</v>
      </c>
      <c r="D32" s="133">
        <v>1991348</v>
      </c>
      <c r="E32" s="321"/>
      <c r="F32" s="321"/>
    </row>
    <row r="33" spans="1:6" ht="75.75" customHeight="1">
      <c r="A33" s="136" t="s">
        <v>164</v>
      </c>
      <c r="B33" s="137" t="s">
        <v>165</v>
      </c>
      <c r="C33" s="139">
        <f>C34</f>
        <v>12318</v>
      </c>
      <c r="D33" s="139">
        <f>D34</f>
        <v>12748</v>
      </c>
      <c r="E33" s="321"/>
      <c r="F33" s="321"/>
    </row>
    <row r="34" spans="1:6" ht="75.75" customHeight="1">
      <c r="A34" s="140" t="s">
        <v>166</v>
      </c>
      <c r="B34" s="142" t="s">
        <v>167</v>
      </c>
      <c r="C34" s="323">
        <v>12318</v>
      </c>
      <c r="D34" s="323">
        <v>12748</v>
      </c>
      <c r="E34" s="321"/>
      <c r="F34" s="321"/>
    </row>
    <row r="35" spans="1:6" ht="64.5" customHeight="1">
      <c r="A35" s="136" t="s">
        <v>168</v>
      </c>
      <c r="B35" s="137" t="s">
        <v>169</v>
      </c>
      <c r="C35" s="139">
        <f>C36</f>
        <v>3617400</v>
      </c>
      <c r="D35" s="139">
        <f>D36</f>
        <v>3862671</v>
      </c>
      <c r="E35" s="321"/>
      <c r="F35" s="321"/>
    </row>
    <row r="36" spans="1:6" ht="64.5" customHeight="1">
      <c r="A36" s="140" t="s">
        <v>170</v>
      </c>
      <c r="B36" s="141" t="s">
        <v>171</v>
      </c>
      <c r="C36" s="133">
        <v>3617400</v>
      </c>
      <c r="D36" s="133">
        <v>3862671</v>
      </c>
      <c r="E36" s="321"/>
      <c r="F36" s="321"/>
    </row>
    <row r="37" spans="1:6" ht="63.75" customHeight="1">
      <c r="A37" s="136" t="s">
        <v>172</v>
      </c>
      <c r="B37" s="137" t="s">
        <v>173</v>
      </c>
      <c r="C37" s="139">
        <f>C38</f>
        <v>-347040</v>
      </c>
      <c r="D37" s="139">
        <f>D38</f>
        <v>-360605</v>
      </c>
      <c r="E37" s="321"/>
      <c r="F37" s="321"/>
    </row>
    <row r="38" spans="1:6" ht="63.75" customHeight="1">
      <c r="A38" s="140" t="s">
        <v>174</v>
      </c>
      <c r="B38" s="141" t="s">
        <v>175</v>
      </c>
      <c r="C38" s="133">
        <v>-347040</v>
      </c>
      <c r="D38" s="133">
        <v>-360605</v>
      </c>
      <c r="E38" s="321"/>
      <c r="F38" s="321"/>
    </row>
    <row r="39" spans="1:6" ht="16.5" customHeight="1">
      <c r="A39" s="125" t="s">
        <v>176</v>
      </c>
      <c r="B39" s="126" t="s">
        <v>177</v>
      </c>
      <c r="C39" s="124">
        <f>C46+C49+C52+C40</f>
        <v>4965274</v>
      </c>
      <c r="D39" s="124">
        <f>D46+D49+D52+D40</f>
        <v>1455842</v>
      </c>
      <c r="E39" s="324"/>
      <c r="F39" s="324"/>
    </row>
    <row r="40" spans="1:6" ht="24" customHeight="1">
      <c r="A40" s="198" t="s">
        <v>567</v>
      </c>
      <c r="B40" s="319" t="s">
        <v>179</v>
      </c>
      <c r="C40" s="145">
        <f>C41+C43+C45</f>
        <v>227151</v>
      </c>
      <c r="D40" s="145">
        <f>D41+D43+D45</f>
        <v>231920</v>
      </c>
      <c r="E40" s="325"/>
      <c r="F40" s="325"/>
    </row>
    <row r="41" spans="1:6" ht="26.25" customHeight="1">
      <c r="A41" s="198" t="s">
        <v>568</v>
      </c>
      <c r="B41" s="319" t="s">
        <v>569</v>
      </c>
      <c r="C41" s="145">
        <f>C42</f>
        <v>155920</v>
      </c>
      <c r="D41" s="145">
        <f>D42</f>
        <v>159194</v>
      </c>
      <c r="E41" s="325"/>
      <c r="F41" s="325"/>
    </row>
    <row r="42" spans="1:6" ht="27" customHeight="1">
      <c r="A42" s="326" t="s">
        <v>570</v>
      </c>
      <c r="B42" s="327" t="s">
        <v>569</v>
      </c>
      <c r="C42" s="135">
        <v>155920</v>
      </c>
      <c r="D42" s="135">
        <v>159194</v>
      </c>
      <c r="E42" s="322"/>
      <c r="F42" s="322"/>
    </row>
    <row r="43" spans="1:6" ht="37.5" customHeight="1">
      <c r="A43" s="326" t="s">
        <v>571</v>
      </c>
      <c r="B43" s="327" t="s">
        <v>184</v>
      </c>
      <c r="C43" s="145">
        <f>C44</f>
        <v>71231</v>
      </c>
      <c r="D43" s="145">
        <f>D44</f>
        <v>72726</v>
      </c>
      <c r="E43" s="325"/>
      <c r="F43" s="325"/>
    </row>
    <row r="44" spans="1:6" ht="53.25" customHeight="1">
      <c r="A44" s="328" t="s">
        <v>572</v>
      </c>
      <c r="B44" s="179" t="s">
        <v>186</v>
      </c>
      <c r="C44" s="133">
        <v>71231</v>
      </c>
      <c r="D44" s="133">
        <v>72726</v>
      </c>
      <c r="E44" s="321"/>
      <c r="F44" s="321"/>
    </row>
    <row r="45" spans="1:6" ht="27" customHeight="1" hidden="1">
      <c r="A45" s="329" t="s">
        <v>187</v>
      </c>
      <c r="B45" s="330" t="s">
        <v>573</v>
      </c>
      <c r="C45" s="133"/>
      <c r="D45" s="133"/>
      <c r="E45" s="321"/>
      <c r="F45" s="321"/>
    </row>
    <row r="46" spans="1:6" s="5" customFormat="1" ht="25.5" customHeight="1">
      <c r="A46" s="125" t="s">
        <v>189</v>
      </c>
      <c r="B46" s="165" t="s">
        <v>190</v>
      </c>
      <c r="C46" s="124">
        <f>C47+C48</f>
        <v>4686961</v>
      </c>
      <c r="D46" s="124">
        <f>D47+D48</f>
        <v>1171740</v>
      </c>
      <c r="E46" s="324"/>
      <c r="F46" s="324"/>
    </row>
    <row r="47" spans="1:6" ht="26.25" customHeight="1">
      <c r="A47" s="131" t="s">
        <v>191</v>
      </c>
      <c r="B47" s="132" t="s">
        <v>190</v>
      </c>
      <c r="C47" s="331">
        <v>4686961</v>
      </c>
      <c r="D47" s="331">
        <v>1171740</v>
      </c>
      <c r="E47" s="322"/>
      <c r="F47" s="322"/>
    </row>
    <row r="48" spans="1:6" ht="38.25" hidden="1">
      <c r="A48" s="131" t="s">
        <v>192</v>
      </c>
      <c r="B48" s="132" t="s">
        <v>193</v>
      </c>
      <c r="C48" s="133"/>
      <c r="D48" s="133"/>
      <c r="E48" s="321"/>
      <c r="F48" s="321"/>
    </row>
    <row r="49" spans="1:6" s="5" customFormat="1" ht="16.5" customHeight="1">
      <c r="A49" s="125" t="s">
        <v>194</v>
      </c>
      <c r="B49" s="126" t="s">
        <v>195</v>
      </c>
      <c r="C49" s="124">
        <f>C50+C51</f>
        <v>23172</v>
      </c>
      <c r="D49" s="124">
        <f>D50+D51</f>
        <v>24192</v>
      </c>
      <c r="E49" s="324"/>
      <c r="F49" s="324"/>
    </row>
    <row r="50" spans="1:6" ht="16.5" customHeight="1">
      <c r="A50" s="131" t="s">
        <v>196</v>
      </c>
      <c r="B50" s="153" t="s">
        <v>195</v>
      </c>
      <c r="C50" s="332">
        <v>23172</v>
      </c>
      <c r="D50" s="333">
        <v>24192</v>
      </c>
      <c r="E50" s="321"/>
      <c r="F50" s="321"/>
    </row>
    <row r="51" spans="1:6" ht="13.5" customHeight="1" hidden="1">
      <c r="A51" s="131" t="s">
        <v>197</v>
      </c>
      <c r="B51" s="132" t="s">
        <v>198</v>
      </c>
      <c r="C51" s="133"/>
      <c r="D51" s="133"/>
      <c r="E51" s="321"/>
      <c r="F51" s="321"/>
    </row>
    <row r="52" spans="1:6" s="5" customFormat="1" ht="25.5">
      <c r="A52" s="125" t="s">
        <v>199</v>
      </c>
      <c r="B52" s="154" t="s">
        <v>200</v>
      </c>
      <c r="C52" s="124">
        <f>C53</f>
        <v>27990</v>
      </c>
      <c r="D52" s="124">
        <f>D53</f>
        <v>27990</v>
      </c>
      <c r="E52" s="324"/>
      <c r="F52" s="324"/>
    </row>
    <row r="53" spans="1:6" ht="38.25">
      <c r="A53" s="131" t="s">
        <v>201</v>
      </c>
      <c r="B53" s="154" t="s">
        <v>202</v>
      </c>
      <c r="C53" s="133">
        <v>27990</v>
      </c>
      <c r="D53" s="133">
        <v>27990</v>
      </c>
      <c r="E53" s="321"/>
      <c r="F53" s="321"/>
    </row>
    <row r="54" spans="1:6" ht="18.75" customHeight="1">
      <c r="A54" s="125" t="s">
        <v>203</v>
      </c>
      <c r="B54" s="126" t="s">
        <v>204</v>
      </c>
      <c r="C54" s="139">
        <f>C55+C57</f>
        <v>1159228</v>
      </c>
      <c r="D54" s="139">
        <f>D55+D57</f>
        <v>1159228</v>
      </c>
      <c r="E54" s="324"/>
      <c r="F54" s="324"/>
    </row>
    <row r="55" spans="1:6" ht="26.25" customHeight="1">
      <c r="A55" s="125" t="s">
        <v>205</v>
      </c>
      <c r="B55" s="165" t="s">
        <v>206</v>
      </c>
      <c r="C55" s="139">
        <f>C56</f>
        <v>1159228</v>
      </c>
      <c r="D55" s="139">
        <f>D56</f>
        <v>1159228</v>
      </c>
      <c r="E55" s="324"/>
      <c r="F55" s="324"/>
    </row>
    <row r="56" spans="1:6" ht="39" customHeight="1">
      <c r="A56" s="131" t="s">
        <v>207</v>
      </c>
      <c r="B56" s="132" t="s">
        <v>208</v>
      </c>
      <c r="C56" s="133">
        <v>1159228</v>
      </c>
      <c r="D56" s="133">
        <v>1159228</v>
      </c>
      <c r="E56" s="321"/>
      <c r="F56" s="321"/>
    </row>
    <row r="57" spans="1:6" ht="25.5" customHeight="1" hidden="1">
      <c r="A57" s="155" t="s">
        <v>209</v>
      </c>
      <c r="B57" s="156" t="s">
        <v>210</v>
      </c>
      <c r="C57" s="157"/>
      <c r="D57" s="157"/>
      <c r="E57" s="334"/>
      <c r="F57" s="334"/>
    </row>
    <row r="58" spans="1:6" ht="51" hidden="1">
      <c r="A58" s="131" t="s">
        <v>211</v>
      </c>
      <c r="B58" s="132" t="s">
        <v>212</v>
      </c>
      <c r="C58" s="133"/>
      <c r="D58" s="133"/>
      <c r="E58" s="321"/>
      <c r="F58" s="321"/>
    </row>
    <row r="59" spans="1:6" ht="25.5" hidden="1">
      <c r="A59" s="131" t="s">
        <v>213</v>
      </c>
      <c r="B59" s="132" t="s">
        <v>214</v>
      </c>
      <c r="C59" s="133"/>
      <c r="D59" s="133"/>
      <c r="E59" s="321"/>
      <c r="F59" s="321"/>
    </row>
    <row r="60" spans="1:6" ht="0.75" customHeight="1" hidden="1">
      <c r="A60" s="159" t="s">
        <v>215</v>
      </c>
      <c r="B60" s="160" t="s">
        <v>216</v>
      </c>
      <c r="C60" s="124"/>
      <c r="D60" s="124"/>
      <c r="E60" s="324"/>
      <c r="F60" s="324"/>
    </row>
    <row r="61" spans="1:6" s="113" customFormat="1" ht="51" hidden="1">
      <c r="A61" s="161" t="s">
        <v>217</v>
      </c>
      <c r="B61" s="162" t="s">
        <v>218</v>
      </c>
      <c r="C61" s="133"/>
      <c r="D61" s="133"/>
      <c r="E61" s="321"/>
      <c r="F61" s="321"/>
    </row>
    <row r="62" spans="1:6" s="338" customFormat="1" ht="12.75" hidden="1">
      <c r="A62" s="335"/>
      <c r="B62" s="314" t="s">
        <v>574</v>
      </c>
      <c r="C62" s="336">
        <f>C63+C85+C92+C95+C118</f>
        <v>14995681</v>
      </c>
      <c r="D62" s="336">
        <f>D63+D85+D92+D95+D118</f>
        <v>14995681</v>
      </c>
      <c r="E62" s="337"/>
      <c r="F62" s="337"/>
    </row>
    <row r="63" spans="1:6" ht="41.25" customHeight="1">
      <c r="A63" s="125" t="s">
        <v>219</v>
      </c>
      <c r="B63" s="126" t="s">
        <v>220</v>
      </c>
      <c r="C63" s="124">
        <f>C64+C66+C68+C70+C78+C80+C82</f>
        <v>6233691</v>
      </c>
      <c r="D63" s="124">
        <f>D64+D66+D68+D70+D78+D80+D82</f>
        <v>6233691</v>
      </c>
      <c r="E63" s="324"/>
      <c r="F63" s="324"/>
    </row>
    <row r="64" spans="1:6" ht="63.75" hidden="1">
      <c r="A64" s="164" t="s">
        <v>221</v>
      </c>
      <c r="B64" s="165" t="s">
        <v>222</v>
      </c>
      <c r="C64" s="124"/>
      <c r="D64" s="124"/>
      <c r="E64" s="324"/>
      <c r="F64" s="324"/>
    </row>
    <row r="65" spans="1:6" ht="51" hidden="1">
      <c r="A65" s="166" t="s">
        <v>223</v>
      </c>
      <c r="B65" s="167" t="s">
        <v>224</v>
      </c>
      <c r="C65" s="133"/>
      <c r="D65" s="133"/>
      <c r="E65" s="321"/>
      <c r="F65" s="321"/>
    </row>
    <row r="66" spans="1:6" ht="12.75" hidden="1">
      <c r="A66" s="164" t="s">
        <v>225</v>
      </c>
      <c r="B66" s="165" t="s">
        <v>226</v>
      </c>
      <c r="C66" s="124"/>
      <c r="D66" s="124"/>
      <c r="E66" s="324"/>
      <c r="F66" s="324"/>
    </row>
    <row r="67" spans="1:6" ht="25.5" hidden="1">
      <c r="A67" s="166" t="s">
        <v>227</v>
      </c>
      <c r="B67" s="132" t="s">
        <v>228</v>
      </c>
      <c r="C67" s="133"/>
      <c r="D67" s="133"/>
      <c r="E67" s="321"/>
      <c r="F67" s="321"/>
    </row>
    <row r="68" spans="1:6" ht="26.25" customHeight="1" hidden="1">
      <c r="A68" s="125" t="s">
        <v>229</v>
      </c>
      <c r="B68" s="165" t="s">
        <v>230</v>
      </c>
      <c r="C68" s="124">
        <f>C69</f>
        <v>0</v>
      </c>
      <c r="D68" s="124">
        <f>D69</f>
        <v>0</v>
      </c>
      <c r="E68" s="324"/>
      <c r="F68" s="324"/>
    </row>
    <row r="69" spans="1:6" ht="26.25" customHeight="1" hidden="1">
      <c r="A69" s="131" t="s">
        <v>231</v>
      </c>
      <c r="B69" s="132" t="s">
        <v>232</v>
      </c>
      <c r="C69" s="133"/>
      <c r="D69" s="133"/>
      <c r="E69" s="321"/>
      <c r="F69" s="321"/>
    </row>
    <row r="70" spans="1:6" ht="77.25" customHeight="1">
      <c r="A70" s="125" t="s">
        <v>233</v>
      </c>
      <c r="B70" s="165" t="s">
        <v>234</v>
      </c>
      <c r="C70" s="124">
        <f>C71+C74+C76</f>
        <v>6233691</v>
      </c>
      <c r="D70" s="124">
        <f>D71+D74+D76</f>
        <v>6233691</v>
      </c>
      <c r="E70" s="324"/>
      <c r="F70" s="324"/>
    </row>
    <row r="71" spans="1:6" ht="51.75" customHeight="1">
      <c r="A71" s="125" t="s">
        <v>235</v>
      </c>
      <c r="B71" s="165" t="s">
        <v>236</v>
      </c>
      <c r="C71" s="124">
        <f>C72+C73</f>
        <v>5162991</v>
      </c>
      <c r="D71" s="124">
        <f>D72+D73</f>
        <v>5162991</v>
      </c>
      <c r="E71" s="324"/>
      <c r="F71" s="324"/>
    </row>
    <row r="72" spans="1:6" ht="64.5" customHeight="1">
      <c r="A72" s="131" t="s">
        <v>237</v>
      </c>
      <c r="B72" s="142" t="s">
        <v>238</v>
      </c>
      <c r="C72" s="339">
        <v>4716009</v>
      </c>
      <c r="D72" s="339">
        <v>4716009</v>
      </c>
      <c r="E72" s="340"/>
      <c r="F72" s="340"/>
    </row>
    <row r="73" spans="1:6" ht="63.75" customHeight="1">
      <c r="A73" s="131" t="s">
        <v>239</v>
      </c>
      <c r="B73" s="132" t="s">
        <v>240</v>
      </c>
      <c r="C73" s="339">
        <v>446982</v>
      </c>
      <c r="D73" s="339">
        <v>446982</v>
      </c>
      <c r="E73" s="340"/>
      <c r="F73" s="340"/>
    </row>
    <row r="74" spans="1:6" ht="15.75" customHeight="1" hidden="1">
      <c r="A74" s="169" t="s">
        <v>241</v>
      </c>
      <c r="B74" s="165" t="s">
        <v>242</v>
      </c>
      <c r="C74" s="133"/>
      <c r="D74" s="133"/>
      <c r="E74" s="321"/>
      <c r="F74" s="321"/>
    </row>
    <row r="75" spans="1:6" ht="15.75" customHeight="1" hidden="1">
      <c r="A75" s="131" t="s">
        <v>243</v>
      </c>
      <c r="B75" s="132" t="s">
        <v>244</v>
      </c>
      <c r="C75" s="133"/>
      <c r="D75" s="133"/>
      <c r="E75" s="321"/>
      <c r="F75" s="321"/>
    </row>
    <row r="76" spans="1:6" ht="76.5" customHeight="1">
      <c r="A76" s="125" t="s">
        <v>245</v>
      </c>
      <c r="B76" s="165" t="s">
        <v>246</v>
      </c>
      <c r="C76" s="124">
        <f>C77</f>
        <v>1070700</v>
      </c>
      <c r="D76" s="124">
        <f>D77</f>
        <v>1070700</v>
      </c>
      <c r="E76" s="324"/>
      <c r="F76" s="324"/>
    </row>
    <row r="77" spans="1:6" ht="64.5" customHeight="1">
      <c r="A77" s="131" t="s">
        <v>247</v>
      </c>
      <c r="B77" s="132" t="s">
        <v>248</v>
      </c>
      <c r="C77" s="133">
        <v>1070700</v>
      </c>
      <c r="D77" s="133">
        <v>1070700</v>
      </c>
      <c r="E77" s="321"/>
      <c r="F77" s="321"/>
    </row>
    <row r="78" spans="1:6" ht="25.5" hidden="1">
      <c r="A78" s="169" t="s">
        <v>249</v>
      </c>
      <c r="B78" s="165" t="s">
        <v>250</v>
      </c>
      <c r="C78" s="124"/>
      <c r="D78" s="124"/>
      <c r="E78" s="324"/>
      <c r="F78" s="324"/>
    </row>
    <row r="79" spans="1:6" ht="51" hidden="1">
      <c r="A79" s="131" t="s">
        <v>251</v>
      </c>
      <c r="B79" s="132" t="s">
        <v>252</v>
      </c>
      <c r="C79" s="133"/>
      <c r="D79" s="133"/>
      <c r="E79" s="321"/>
      <c r="F79" s="321"/>
    </row>
    <row r="80" spans="1:6" ht="76.5" hidden="1">
      <c r="A80" s="169" t="s">
        <v>253</v>
      </c>
      <c r="B80" s="165" t="s">
        <v>254</v>
      </c>
      <c r="C80" s="124"/>
      <c r="D80" s="124"/>
      <c r="E80" s="324"/>
      <c r="F80" s="324"/>
    </row>
    <row r="81" spans="1:6" ht="63.75" hidden="1">
      <c r="A81" s="131" t="s">
        <v>255</v>
      </c>
      <c r="B81" s="132" t="s">
        <v>256</v>
      </c>
      <c r="C81" s="133"/>
      <c r="D81" s="133"/>
      <c r="E81" s="321"/>
      <c r="F81" s="321"/>
    </row>
    <row r="82" spans="1:6" ht="3.75" customHeight="1" hidden="1">
      <c r="A82" s="169" t="s">
        <v>257</v>
      </c>
      <c r="B82" s="165" t="s">
        <v>258</v>
      </c>
      <c r="C82" s="124"/>
      <c r="D82" s="124"/>
      <c r="E82" s="324"/>
      <c r="F82" s="324"/>
    </row>
    <row r="83" spans="1:6" ht="76.5" hidden="1">
      <c r="A83" s="131" t="s">
        <v>259</v>
      </c>
      <c r="B83" s="132" t="s">
        <v>260</v>
      </c>
      <c r="C83" s="133"/>
      <c r="D83" s="133"/>
      <c r="E83" s="321"/>
      <c r="F83" s="321"/>
    </row>
    <row r="84" spans="1:6" ht="63.75" hidden="1">
      <c r="A84" s="131" t="s">
        <v>261</v>
      </c>
      <c r="B84" s="132" t="s">
        <v>262</v>
      </c>
      <c r="C84" s="133"/>
      <c r="D84" s="133"/>
      <c r="E84" s="321"/>
      <c r="F84" s="321"/>
    </row>
    <row r="85" spans="1:6" ht="28.5" customHeight="1">
      <c r="A85" s="125" t="s">
        <v>263</v>
      </c>
      <c r="B85" s="126" t="s">
        <v>264</v>
      </c>
      <c r="C85" s="124">
        <f>C86</f>
        <v>143220</v>
      </c>
      <c r="D85" s="124">
        <f>D86</f>
        <v>143220</v>
      </c>
      <c r="E85" s="324"/>
      <c r="F85" s="324"/>
    </row>
    <row r="86" spans="1:6" ht="15.75" customHeight="1">
      <c r="A86" s="131" t="s">
        <v>265</v>
      </c>
      <c r="B86" s="152" t="s">
        <v>266</v>
      </c>
      <c r="C86" s="124">
        <f>SUM(C87:C90)</f>
        <v>143220</v>
      </c>
      <c r="D86" s="124">
        <f>SUM(D87:D90)</f>
        <v>143220</v>
      </c>
      <c r="E86" s="324"/>
      <c r="F86" s="324"/>
    </row>
    <row r="87" spans="1:6" ht="25.5">
      <c r="A87" s="131" t="s">
        <v>267</v>
      </c>
      <c r="B87" s="341" t="s">
        <v>268</v>
      </c>
      <c r="C87" s="133">
        <v>133210</v>
      </c>
      <c r="D87" s="133">
        <v>133210</v>
      </c>
      <c r="E87" s="321"/>
      <c r="F87" s="321"/>
    </row>
    <row r="88" spans="1:6" ht="15" customHeight="1" hidden="1">
      <c r="A88" s="131" t="s">
        <v>269</v>
      </c>
      <c r="B88" s="341" t="s">
        <v>575</v>
      </c>
      <c r="C88" s="133"/>
      <c r="D88" s="133"/>
      <c r="E88" s="321"/>
      <c r="F88" s="321"/>
    </row>
    <row r="89" spans="1:6" ht="12.75">
      <c r="A89" s="131" t="s">
        <v>271</v>
      </c>
      <c r="B89" s="341" t="s">
        <v>270</v>
      </c>
      <c r="C89" s="133">
        <v>7260</v>
      </c>
      <c r="D89" s="133">
        <v>7260</v>
      </c>
      <c r="E89" s="321"/>
      <c r="F89" s="321"/>
    </row>
    <row r="90" spans="1:6" ht="17.25" customHeight="1">
      <c r="A90" s="125" t="s">
        <v>272</v>
      </c>
      <c r="B90" s="170" t="s">
        <v>273</v>
      </c>
      <c r="C90" s="133">
        <f>C91</f>
        <v>2750</v>
      </c>
      <c r="D90" s="133">
        <f>D91</f>
        <v>2750</v>
      </c>
      <c r="E90" s="321"/>
      <c r="F90" s="321"/>
    </row>
    <row r="91" spans="1:6" ht="17.25" customHeight="1">
      <c r="A91" s="134" t="s">
        <v>274</v>
      </c>
      <c r="B91" s="172" t="s">
        <v>275</v>
      </c>
      <c r="C91" s="133">
        <v>2750</v>
      </c>
      <c r="D91" s="133">
        <v>2750</v>
      </c>
      <c r="E91" s="321"/>
      <c r="F91" s="321"/>
    </row>
    <row r="92" spans="1:6" ht="27.75" customHeight="1">
      <c r="A92" s="125" t="s">
        <v>278</v>
      </c>
      <c r="B92" s="165" t="s">
        <v>279</v>
      </c>
      <c r="C92" s="139">
        <f>C93</f>
        <v>7796843</v>
      </c>
      <c r="D92" s="139">
        <f>D93</f>
        <v>7796843</v>
      </c>
      <c r="E92" s="324"/>
      <c r="F92" s="324"/>
    </row>
    <row r="93" spans="1:6" ht="15.75" customHeight="1">
      <c r="A93" s="125" t="s">
        <v>280</v>
      </c>
      <c r="B93" s="342" t="s">
        <v>576</v>
      </c>
      <c r="C93" s="139">
        <f>C94</f>
        <v>7796843</v>
      </c>
      <c r="D93" s="139">
        <f>D94</f>
        <v>7796843</v>
      </c>
      <c r="E93" s="324"/>
      <c r="F93" s="324"/>
    </row>
    <row r="94" spans="1:6" ht="24.75" customHeight="1">
      <c r="A94" s="131" t="s">
        <v>282</v>
      </c>
      <c r="B94" s="153" t="s">
        <v>283</v>
      </c>
      <c r="C94" s="135">
        <f>14124184-6327341</f>
        <v>7796843</v>
      </c>
      <c r="D94" s="135">
        <f>14124184-6327341</f>
        <v>7796843</v>
      </c>
      <c r="E94" s="322"/>
      <c r="F94" s="322"/>
    </row>
    <row r="95" spans="1:6" ht="26.25" customHeight="1">
      <c r="A95" s="125" t="s">
        <v>284</v>
      </c>
      <c r="B95" s="165" t="s">
        <v>285</v>
      </c>
      <c r="C95" s="124">
        <f>C96+C98+C103+C104+C107+C109</f>
        <v>4000</v>
      </c>
      <c r="D95" s="124">
        <f>D96+D98+D103+D104+D107+D109</f>
        <v>4000</v>
      </c>
      <c r="E95" s="324"/>
      <c r="F95" s="324"/>
    </row>
    <row r="96" spans="1:6" ht="12.75" hidden="1">
      <c r="A96" s="164" t="s">
        <v>286</v>
      </c>
      <c r="B96" s="165" t="s">
        <v>287</v>
      </c>
      <c r="C96" s="124"/>
      <c r="D96" s="124"/>
      <c r="E96" s="324"/>
      <c r="F96" s="324"/>
    </row>
    <row r="97" spans="1:6" ht="25.5" hidden="1">
      <c r="A97" s="166" t="s">
        <v>288</v>
      </c>
      <c r="B97" s="132" t="s">
        <v>289</v>
      </c>
      <c r="C97" s="133"/>
      <c r="D97" s="133"/>
      <c r="E97" s="321"/>
      <c r="F97" s="321"/>
    </row>
    <row r="98" spans="1:6" ht="63.75" hidden="1">
      <c r="A98" s="164" t="s">
        <v>290</v>
      </c>
      <c r="B98" s="165" t="s">
        <v>291</v>
      </c>
      <c r="C98" s="124"/>
      <c r="D98" s="124"/>
      <c r="E98" s="324"/>
      <c r="F98" s="324"/>
    </row>
    <row r="99" spans="1:6" ht="76.5" hidden="1">
      <c r="A99" s="166" t="s">
        <v>292</v>
      </c>
      <c r="B99" s="132" t="s">
        <v>293</v>
      </c>
      <c r="C99" s="133"/>
      <c r="D99" s="133"/>
      <c r="E99" s="321"/>
      <c r="F99" s="321"/>
    </row>
    <row r="100" spans="1:6" ht="76.5" hidden="1">
      <c r="A100" s="166" t="s">
        <v>294</v>
      </c>
      <c r="B100" s="132" t="s">
        <v>295</v>
      </c>
      <c r="C100" s="133"/>
      <c r="D100" s="133"/>
      <c r="E100" s="321"/>
      <c r="F100" s="321"/>
    </row>
    <row r="101" spans="1:6" ht="76.5" hidden="1">
      <c r="A101" s="166" t="s">
        <v>296</v>
      </c>
      <c r="B101" s="132" t="s">
        <v>297</v>
      </c>
      <c r="C101" s="133"/>
      <c r="D101" s="133"/>
      <c r="E101" s="321"/>
      <c r="F101" s="321"/>
    </row>
    <row r="102" spans="1:6" ht="76.5" hidden="1">
      <c r="A102" s="166" t="s">
        <v>298</v>
      </c>
      <c r="B102" s="132" t="s">
        <v>299</v>
      </c>
      <c r="C102" s="133"/>
      <c r="D102" s="133"/>
      <c r="E102" s="321"/>
      <c r="F102" s="321"/>
    </row>
    <row r="103" spans="1:6" ht="38.25" hidden="1">
      <c r="A103" s="164" t="s">
        <v>300</v>
      </c>
      <c r="B103" s="165" t="s">
        <v>301</v>
      </c>
      <c r="C103" s="124"/>
      <c r="D103" s="124"/>
      <c r="E103" s="324"/>
      <c r="F103" s="324"/>
    </row>
    <row r="104" spans="1:6" ht="38.25" hidden="1">
      <c r="A104" s="164" t="s">
        <v>302</v>
      </c>
      <c r="B104" s="165" t="s">
        <v>303</v>
      </c>
      <c r="C104" s="124"/>
      <c r="D104" s="124"/>
      <c r="E104" s="324"/>
      <c r="F104" s="324"/>
    </row>
    <row r="105" spans="1:6" ht="0.75" customHeight="1" hidden="1">
      <c r="A105" s="166" t="s">
        <v>304</v>
      </c>
      <c r="B105" s="132" t="s">
        <v>305</v>
      </c>
      <c r="C105" s="133"/>
      <c r="D105" s="133"/>
      <c r="E105" s="321"/>
      <c r="F105" s="321"/>
    </row>
    <row r="106" spans="1:6" ht="51" hidden="1">
      <c r="A106" s="166" t="s">
        <v>306</v>
      </c>
      <c r="B106" s="132" t="s">
        <v>307</v>
      </c>
      <c r="C106" s="133"/>
      <c r="D106" s="133"/>
      <c r="E106" s="321"/>
      <c r="F106" s="321"/>
    </row>
    <row r="107" spans="1:6" ht="12.75" hidden="1">
      <c r="A107" s="164" t="s">
        <v>308</v>
      </c>
      <c r="B107" s="165" t="s">
        <v>309</v>
      </c>
      <c r="C107" s="133"/>
      <c r="D107" s="133"/>
      <c r="E107" s="321"/>
      <c r="F107" s="321"/>
    </row>
    <row r="108" spans="1:6" ht="25.5" hidden="1">
      <c r="A108" s="166" t="s">
        <v>310</v>
      </c>
      <c r="B108" s="132" t="s">
        <v>311</v>
      </c>
      <c r="C108" s="133"/>
      <c r="D108" s="133"/>
      <c r="E108" s="321"/>
      <c r="F108" s="321"/>
    </row>
    <row r="109" spans="1:6" ht="29.25" customHeight="1">
      <c r="A109" s="164" t="s">
        <v>312</v>
      </c>
      <c r="B109" s="165" t="s">
        <v>313</v>
      </c>
      <c r="C109" s="124">
        <f>C110+C113</f>
        <v>4000</v>
      </c>
      <c r="D109" s="124">
        <f>D110+D113</f>
        <v>4000</v>
      </c>
      <c r="E109" s="324"/>
      <c r="F109" s="343"/>
    </row>
    <row r="110" spans="1:6" ht="24.75" customHeight="1">
      <c r="A110" s="125" t="s">
        <v>314</v>
      </c>
      <c r="B110" s="165" t="s">
        <v>315</v>
      </c>
      <c r="C110" s="124">
        <f>C111+C112</f>
        <v>4000</v>
      </c>
      <c r="D110" s="124">
        <f>D111+D112</f>
        <v>4000</v>
      </c>
      <c r="E110" s="324"/>
      <c r="F110" s="324"/>
    </row>
    <row r="111" spans="1:6" ht="51">
      <c r="A111" s="131" t="s">
        <v>316</v>
      </c>
      <c r="B111" s="142" t="s">
        <v>317</v>
      </c>
      <c r="C111" s="133">
        <v>2000</v>
      </c>
      <c r="D111" s="133">
        <v>2000</v>
      </c>
      <c r="E111" s="321"/>
      <c r="F111" s="321"/>
    </row>
    <row r="112" spans="1:6" ht="39" customHeight="1">
      <c r="A112" s="131" t="s">
        <v>318</v>
      </c>
      <c r="B112" s="132" t="s">
        <v>319</v>
      </c>
      <c r="C112" s="133">
        <v>2000</v>
      </c>
      <c r="D112" s="133">
        <v>2000</v>
      </c>
      <c r="E112" s="321"/>
      <c r="F112" s="321"/>
    </row>
    <row r="113" spans="1:6" ht="38.25" hidden="1">
      <c r="A113" s="176" t="s">
        <v>320</v>
      </c>
      <c r="B113" s="177" t="s">
        <v>321</v>
      </c>
      <c r="C113" s="133"/>
      <c r="D113" s="133"/>
      <c r="E113" s="321"/>
      <c r="F113" s="321"/>
    </row>
    <row r="114" spans="1:6" ht="51" hidden="1">
      <c r="A114" s="178" t="s">
        <v>322</v>
      </c>
      <c r="B114" s="167" t="s">
        <v>323</v>
      </c>
      <c r="C114" s="133"/>
      <c r="D114" s="133"/>
      <c r="E114" s="321"/>
      <c r="F114" s="321"/>
    </row>
    <row r="115" spans="1:6" ht="12.75" hidden="1">
      <c r="A115" s="125" t="s">
        <v>324</v>
      </c>
      <c r="B115" s="126" t="s">
        <v>325</v>
      </c>
      <c r="C115" s="124">
        <f>C116</f>
        <v>0</v>
      </c>
      <c r="D115" s="124">
        <f>D116</f>
        <v>0</v>
      </c>
      <c r="E115" s="324"/>
      <c r="F115" s="324"/>
    </row>
    <row r="116" spans="1:6" ht="25.5" hidden="1">
      <c r="A116" s="125" t="s">
        <v>326</v>
      </c>
      <c r="B116" s="165" t="s">
        <v>327</v>
      </c>
      <c r="C116" s="124">
        <f>C117</f>
        <v>0</v>
      </c>
      <c r="D116" s="124">
        <f>D117</f>
        <v>0</v>
      </c>
      <c r="E116" s="324"/>
      <c r="F116" s="324"/>
    </row>
    <row r="117" spans="1:6" ht="25.5" hidden="1">
      <c r="A117" s="131" t="s">
        <v>328</v>
      </c>
      <c r="B117" s="132" t="s">
        <v>329</v>
      </c>
      <c r="C117" s="133"/>
      <c r="D117" s="133"/>
      <c r="E117" s="321"/>
      <c r="F117" s="321"/>
    </row>
    <row r="118" spans="1:6" ht="16.5" customHeight="1">
      <c r="A118" s="125" t="s">
        <v>330</v>
      </c>
      <c r="B118" s="126" t="s">
        <v>331</v>
      </c>
      <c r="C118" s="124">
        <f>C119+C122+C124+C126+C128+C130+C141+C145+C146+C150+C155+C154+C144+C152+C148</f>
        <v>817927</v>
      </c>
      <c r="D118" s="124">
        <f>D119+D122+D124+D126+D128+D130+D141+D145+D146+D150+D155+D154+D144+D152+D148</f>
        <v>817927</v>
      </c>
      <c r="E118" s="324"/>
      <c r="F118" s="324"/>
    </row>
    <row r="119" spans="1:6" ht="25.5" hidden="1">
      <c r="A119" s="125" t="s">
        <v>332</v>
      </c>
      <c r="B119" s="165" t="s">
        <v>333</v>
      </c>
      <c r="C119" s="124">
        <f>C120+C121</f>
        <v>0</v>
      </c>
      <c r="D119" s="124">
        <f>D120+D121</f>
        <v>0</v>
      </c>
      <c r="E119" s="324"/>
      <c r="F119" s="324"/>
    </row>
    <row r="120" spans="1:6" ht="0.75" customHeight="1" hidden="1">
      <c r="A120" s="131" t="s">
        <v>334</v>
      </c>
      <c r="B120" s="132" t="s">
        <v>335</v>
      </c>
      <c r="C120" s="133"/>
      <c r="D120" s="133"/>
      <c r="E120" s="321"/>
      <c r="F120" s="321"/>
    </row>
    <row r="121" spans="1:6" ht="51" hidden="1">
      <c r="A121" s="131" t="s">
        <v>336</v>
      </c>
      <c r="B121" s="132" t="s">
        <v>337</v>
      </c>
      <c r="C121" s="133"/>
      <c r="D121" s="133"/>
      <c r="E121" s="321"/>
      <c r="F121" s="321"/>
    </row>
    <row r="122" spans="1:6" ht="50.25" customHeight="1" hidden="1">
      <c r="A122" s="125" t="s">
        <v>338</v>
      </c>
      <c r="B122" s="344" t="s">
        <v>339</v>
      </c>
      <c r="C122" s="124">
        <f>C123</f>
        <v>0</v>
      </c>
      <c r="D122" s="124">
        <f>D123</f>
        <v>0</v>
      </c>
      <c r="E122" s="324"/>
      <c r="F122" s="324"/>
    </row>
    <row r="123" spans="1:6" ht="54.75" customHeight="1" hidden="1">
      <c r="A123" s="131" t="s">
        <v>340</v>
      </c>
      <c r="B123" s="330" t="s">
        <v>341</v>
      </c>
      <c r="C123" s="135"/>
      <c r="D123" s="135"/>
      <c r="E123" s="322"/>
      <c r="F123" s="322"/>
    </row>
    <row r="124" spans="1:6" ht="0.75" customHeight="1" hidden="1">
      <c r="A124" s="169" t="s">
        <v>342</v>
      </c>
      <c r="B124" s="165" t="s">
        <v>343</v>
      </c>
      <c r="C124" s="124"/>
      <c r="D124" s="124"/>
      <c r="E124" s="324"/>
      <c r="F124" s="324"/>
    </row>
    <row r="125" spans="1:6" ht="25.5" hidden="1">
      <c r="A125" s="131" t="s">
        <v>344</v>
      </c>
      <c r="B125" s="132" t="s">
        <v>345</v>
      </c>
      <c r="C125" s="133"/>
      <c r="D125" s="133"/>
      <c r="E125" s="321"/>
      <c r="F125" s="321"/>
    </row>
    <row r="126" spans="1:6" ht="14.25" customHeight="1" hidden="1">
      <c r="A126" s="169" t="s">
        <v>346</v>
      </c>
      <c r="B126" s="165" t="s">
        <v>347</v>
      </c>
      <c r="C126" s="124"/>
      <c r="D126" s="124"/>
      <c r="E126" s="324"/>
      <c r="F126" s="324"/>
    </row>
    <row r="127" spans="1:6" ht="17.25" customHeight="1" hidden="1">
      <c r="A127" s="131" t="s">
        <v>348</v>
      </c>
      <c r="B127" s="132" t="s">
        <v>349</v>
      </c>
      <c r="C127" s="133"/>
      <c r="D127" s="133"/>
      <c r="E127" s="321"/>
      <c r="F127" s="321"/>
    </row>
    <row r="128" spans="1:6" s="5" customFormat="1" ht="25.5" hidden="1">
      <c r="A128" s="169" t="s">
        <v>350</v>
      </c>
      <c r="B128" s="165" t="s">
        <v>351</v>
      </c>
      <c r="C128" s="124"/>
      <c r="D128" s="124"/>
      <c r="E128" s="324"/>
      <c r="F128" s="324"/>
    </row>
    <row r="129" spans="1:6" ht="51" hidden="1">
      <c r="A129" s="131" t="s">
        <v>352</v>
      </c>
      <c r="B129" s="132" t="s">
        <v>353</v>
      </c>
      <c r="C129" s="133"/>
      <c r="D129" s="133"/>
      <c r="E129" s="321"/>
      <c r="F129" s="321"/>
    </row>
    <row r="130" spans="1:6" ht="90.75" customHeight="1">
      <c r="A130" s="125" t="s">
        <v>354</v>
      </c>
      <c r="B130" s="165" t="s">
        <v>355</v>
      </c>
      <c r="C130" s="124">
        <f>C131+C132+C133+C134+C135+C136+C137+C139</f>
        <v>5000</v>
      </c>
      <c r="D130" s="124">
        <f>D131+D132+D133+D134+D135+D136+D137+D139</f>
        <v>5000</v>
      </c>
      <c r="E130" s="324"/>
      <c r="F130" s="324"/>
    </row>
    <row r="131" spans="1:6" ht="25.5" hidden="1">
      <c r="A131" s="131" t="s">
        <v>356</v>
      </c>
      <c r="B131" s="132" t="s">
        <v>357</v>
      </c>
      <c r="C131" s="133"/>
      <c r="D131" s="133"/>
      <c r="E131" s="321"/>
      <c r="F131" s="321"/>
    </row>
    <row r="132" spans="1:6" ht="38.25" hidden="1">
      <c r="A132" s="131" t="s">
        <v>358</v>
      </c>
      <c r="B132" s="132" t="s">
        <v>359</v>
      </c>
      <c r="C132" s="133"/>
      <c r="D132" s="133"/>
      <c r="E132" s="321"/>
      <c r="F132" s="321"/>
    </row>
    <row r="133" spans="1:6" ht="24.75" customHeight="1" hidden="1">
      <c r="A133" s="131" t="s">
        <v>360</v>
      </c>
      <c r="B133" s="132" t="s">
        <v>361</v>
      </c>
      <c r="C133" s="133"/>
      <c r="D133" s="133"/>
      <c r="E133" s="321"/>
      <c r="F133" s="321"/>
    </row>
    <row r="134" spans="1:6" ht="25.5" hidden="1">
      <c r="A134" s="131" t="s">
        <v>362</v>
      </c>
      <c r="B134" s="132" t="s">
        <v>363</v>
      </c>
      <c r="C134" s="133"/>
      <c r="D134" s="133"/>
      <c r="E134" s="321"/>
      <c r="F134" s="321"/>
    </row>
    <row r="135" spans="1:6" ht="25.5" hidden="1">
      <c r="A135" s="131" t="s">
        <v>364</v>
      </c>
      <c r="B135" s="132" t="s">
        <v>365</v>
      </c>
      <c r="C135" s="133"/>
      <c r="D135" s="133"/>
      <c r="E135" s="321"/>
      <c r="F135" s="321"/>
    </row>
    <row r="136" spans="1:6" s="41" customFormat="1" ht="24.75" customHeight="1">
      <c r="A136" s="134" t="s">
        <v>366</v>
      </c>
      <c r="B136" s="179" t="s">
        <v>367</v>
      </c>
      <c r="C136" s="135">
        <v>5000</v>
      </c>
      <c r="D136" s="135">
        <v>5000</v>
      </c>
      <c r="E136" s="322"/>
      <c r="F136" s="322"/>
    </row>
    <row r="137" spans="1:6" ht="0.75" customHeight="1" hidden="1">
      <c r="A137" s="169" t="s">
        <v>368</v>
      </c>
      <c r="B137" s="165" t="s">
        <v>369</v>
      </c>
      <c r="C137" s="133">
        <f>C138</f>
        <v>0</v>
      </c>
      <c r="D137" s="133">
        <f>D138</f>
        <v>0</v>
      </c>
      <c r="E137" s="321"/>
      <c r="F137" s="321"/>
    </row>
    <row r="138" spans="1:6" ht="38.25" hidden="1">
      <c r="A138" s="131" t="s">
        <v>370</v>
      </c>
      <c r="B138" s="132" t="s">
        <v>371</v>
      </c>
      <c r="C138" s="133"/>
      <c r="D138" s="133"/>
      <c r="E138" s="321"/>
      <c r="F138" s="321"/>
    </row>
    <row r="139" spans="1:6" ht="25.5" hidden="1">
      <c r="A139" s="169" t="s">
        <v>372</v>
      </c>
      <c r="B139" s="165" t="s">
        <v>373</v>
      </c>
      <c r="C139" s="133">
        <f>C140</f>
        <v>0</v>
      </c>
      <c r="D139" s="133">
        <f>D140</f>
        <v>0</v>
      </c>
      <c r="E139" s="321"/>
      <c r="F139" s="321"/>
    </row>
    <row r="140" spans="1:6" ht="38.25" hidden="1">
      <c r="A140" s="131" t="s">
        <v>374</v>
      </c>
      <c r="B140" s="132" t="s">
        <v>375</v>
      </c>
      <c r="C140" s="133"/>
      <c r="D140" s="133"/>
      <c r="E140" s="321"/>
      <c r="F140" s="321"/>
    </row>
    <row r="141" spans="1:6" ht="51.75" customHeight="1" hidden="1">
      <c r="A141" s="131" t="s">
        <v>376</v>
      </c>
      <c r="B141" s="132" t="s">
        <v>377</v>
      </c>
      <c r="C141" s="124"/>
      <c r="D141" s="124"/>
      <c r="E141" s="324"/>
      <c r="F141" s="324"/>
    </row>
    <row r="142" spans="1:6" ht="27.75" customHeight="1">
      <c r="A142" s="180" t="s">
        <v>378</v>
      </c>
      <c r="B142" s="165" t="s">
        <v>379</v>
      </c>
      <c r="C142" s="145">
        <f>C143+C145</f>
        <v>25000</v>
      </c>
      <c r="D142" s="145">
        <f>D143+D145</f>
        <v>25000</v>
      </c>
      <c r="E142" s="325"/>
      <c r="F142" s="325"/>
    </row>
    <row r="143" spans="1:6" ht="39" customHeight="1" hidden="1">
      <c r="A143" s="136" t="s">
        <v>380</v>
      </c>
      <c r="B143" s="165" t="s">
        <v>381</v>
      </c>
      <c r="C143" s="145">
        <f>C144</f>
        <v>0</v>
      </c>
      <c r="D143" s="145">
        <f>D144</f>
        <v>0</v>
      </c>
      <c r="E143" s="325"/>
      <c r="F143" s="325"/>
    </row>
    <row r="144" spans="1:6" ht="51.75" customHeight="1" hidden="1">
      <c r="A144" s="181" t="s">
        <v>382</v>
      </c>
      <c r="B144" s="132" t="s">
        <v>383</v>
      </c>
      <c r="C144" s="133"/>
      <c r="D144" s="133"/>
      <c r="E144" s="321"/>
      <c r="F144" s="321"/>
    </row>
    <row r="145" spans="1:6" ht="24.75" customHeight="1">
      <c r="A145" s="131" t="s">
        <v>384</v>
      </c>
      <c r="B145" s="132" t="s">
        <v>385</v>
      </c>
      <c r="C145" s="133">
        <v>25000</v>
      </c>
      <c r="D145" s="133">
        <v>25000</v>
      </c>
      <c r="E145" s="324"/>
      <c r="F145" s="324"/>
    </row>
    <row r="146" spans="1:6" ht="38.25" hidden="1">
      <c r="A146" s="169" t="s">
        <v>386</v>
      </c>
      <c r="B146" s="165" t="s">
        <v>387</v>
      </c>
      <c r="C146" s="124"/>
      <c r="D146" s="124"/>
      <c r="E146" s="324"/>
      <c r="F146" s="324"/>
    </row>
    <row r="147" spans="1:6" ht="38.25" hidden="1">
      <c r="A147" s="131" t="s">
        <v>388</v>
      </c>
      <c r="B147" s="132" t="s">
        <v>389</v>
      </c>
      <c r="C147" s="133"/>
      <c r="D147" s="133"/>
      <c r="E147" s="321"/>
      <c r="F147" s="321"/>
    </row>
    <row r="148" spans="1:6" ht="51" hidden="1">
      <c r="A148" s="182" t="s">
        <v>390</v>
      </c>
      <c r="B148" s="345" t="s">
        <v>391</v>
      </c>
      <c r="C148" s="124">
        <f>C149</f>
        <v>0</v>
      </c>
      <c r="D148" s="124">
        <f>D149</f>
        <v>0</v>
      </c>
      <c r="E148" s="321"/>
      <c r="F148" s="321"/>
    </row>
    <row r="149" spans="1:6" ht="54.75" customHeight="1" hidden="1">
      <c r="A149" s="184" t="s">
        <v>392</v>
      </c>
      <c r="B149" s="142" t="s">
        <v>393</v>
      </c>
      <c r="C149" s="133"/>
      <c r="D149" s="133"/>
      <c r="E149" s="321"/>
      <c r="F149" s="321"/>
    </row>
    <row r="150" spans="1:6" ht="25.5">
      <c r="A150" s="346" t="s">
        <v>394</v>
      </c>
      <c r="B150" s="347" t="s">
        <v>395</v>
      </c>
      <c r="C150" s="124">
        <f>C151</f>
        <v>2842</v>
      </c>
      <c r="D150" s="124">
        <f>D151</f>
        <v>2842</v>
      </c>
      <c r="E150" s="321"/>
      <c r="F150" s="321"/>
    </row>
    <row r="151" spans="1:6" ht="39" customHeight="1">
      <c r="A151" s="188" t="s">
        <v>396</v>
      </c>
      <c r="B151" s="189" t="s">
        <v>397</v>
      </c>
      <c r="C151" s="133">
        <v>2842</v>
      </c>
      <c r="D151" s="133">
        <v>2842</v>
      </c>
      <c r="E151" s="324"/>
      <c r="F151" s="324"/>
    </row>
    <row r="152" spans="1:6" s="193" customFormat="1" ht="38.25" hidden="1">
      <c r="A152" s="190" t="s">
        <v>398</v>
      </c>
      <c r="B152" s="191" t="s">
        <v>399</v>
      </c>
      <c r="C152" s="192"/>
      <c r="D152" s="192"/>
      <c r="E152" s="348"/>
      <c r="F152" s="348"/>
    </row>
    <row r="153" spans="1:6" ht="38.25" hidden="1">
      <c r="A153" s="194" t="s">
        <v>400</v>
      </c>
      <c r="B153" s="195" t="s">
        <v>401</v>
      </c>
      <c r="C153" s="124"/>
      <c r="D153" s="124"/>
      <c r="E153" s="324"/>
      <c r="F153" s="324"/>
    </row>
    <row r="154" spans="1:6" ht="51.75" customHeight="1">
      <c r="A154" s="140" t="s">
        <v>402</v>
      </c>
      <c r="B154" s="132" t="s">
        <v>403</v>
      </c>
      <c r="C154" s="133">
        <v>114676</v>
      </c>
      <c r="D154" s="133">
        <v>114676</v>
      </c>
      <c r="E154" s="321"/>
      <c r="F154" s="321"/>
    </row>
    <row r="155" spans="1:6" s="5" customFormat="1" ht="27" customHeight="1">
      <c r="A155" s="125" t="s">
        <v>404</v>
      </c>
      <c r="B155" s="165" t="s">
        <v>405</v>
      </c>
      <c r="C155" s="124">
        <f>C156</f>
        <v>670409</v>
      </c>
      <c r="D155" s="124">
        <f>D156</f>
        <v>670409</v>
      </c>
      <c r="E155" s="324"/>
      <c r="F155" s="324"/>
    </row>
    <row r="156" spans="1:6" ht="39" customHeight="1">
      <c r="A156" s="131" t="s">
        <v>406</v>
      </c>
      <c r="B156" s="132" t="s">
        <v>407</v>
      </c>
      <c r="C156" s="133">
        <v>670409</v>
      </c>
      <c r="D156" s="133">
        <v>670409</v>
      </c>
      <c r="E156" s="321"/>
      <c r="F156" s="321"/>
    </row>
    <row r="157" spans="1:6" ht="25.5" hidden="1">
      <c r="A157" s="169" t="s">
        <v>408</v>
      </c>
      <c r="B157" s="126" t="s">
        <v>409</v>
      </c>
      <c r="C157" s="196"/>
      <c r="D157" s="196"/>
      <c r="E157" s="349"/>
      <c r="F157" s="349"/>
    </row>
    <row r="158" spans="1:6" ht="25.5" hidden="1">
      <c r="A158" s="169" t="s">
        <v>410</v>
      </c>
      <c r="B158" s="177" t="s">
        <v>411</v>
      </c>
      <c r="C158" s="197"/>
      <c r="D158" s="197"/>
      <c r="E158" s="350"/>
      <c r="F158" s="350"/>
    </row>
    <row r="159" spans="1:6" ht="25.5" hidden="1">
      <c r="A159" s="131" t="s">
        <v>412</v>
      </c>
      <c r="B159" s="132" t="s">
        <v>413</v>
      </c>
      <c r="C159" s="197"/>
      <c r="D159" s="197"/>
      <c r="E159" s="350"/>
      <c r="F159" s="350"/>
    </row>
    <row r="160" spans="1:6" ht="21.75" customHeight="1">
      <c r="A160" s="351" t="s">
        <v>414</v>
      </c>
      <c r="B160" s="352" t="s">
        <v>415</v>
      </c>
      <c r="C160" s="201">
        <f>C161+C238</f>
        <v>276678847</v>
      </c>
      <c r="D160" s="201">
        <f>D161+D238</f>
        <v>275218135</v>
      </c>
      <c r="E160" s="353"/>
      <c r="F160" s="353"/>
    </row>
    <row r="161" spans="1:6" ht="26.25" customHeight="1">
      <c r="A161" s="198" t="s">
        <v>416</v>
      </c>
      <c r="B161" s="202" t="s">
        <v>417</v>
      </c>
      <c r="C161" s="204">
        <f>C162+C167+C183+C235</f>
        <v>268791375</v>
      </c>
      <c r="D161" s="204">
        <f>D162+D167+D183+D235</f>
        <v>267330663</v>
      </c>
      <c r="E161" s="354"/>
      <c r="F161" s="354"/>
    </row>
    <row r="162" spans="1:6" ht="27" customHeight="1">
      <c r="A162" s="205" t="s">
        <v>418</v>
      </c>
      <c r="B162" s="206" t="s">
        <v>419</v>
      </c>
      <c r="C162" s="297">
        <f>C163+C165</f>
        <v>424534</v>
      </c>
      <c r="D162" s="297">
        <f>D163+D165</f>
        <v>275726</v>
      </c>
      <c r="E162" s="355"/>
      <c r="F162" s="355"/>
    </row>
    <row r="163" spans="1:6" ht="18.75" customHeight="1">
      <c r="A163" s="205" t="s">
        <v>420</v>
      </c>
      <c r="B163" s="356" t="s">
        <v>421</v>
      </c>
      <c r="C163" s="297">
        <f>C164</f>
        <v>424534</v>
      </c>
      <c r="D163" s="297">
        <f>D164</f>
        <v>275726</v>
      </c>
      <c r="E163" s="357"/>
      <c r="F163" s="357"/>
    </row>
    <row r="164" spans="1:6" ht="27" customHeight="1">
      <c r="A164" s="209" t="s">
        <v>422</v>
      </c>
      <c r="B164" s="358" t="s">
        <v>423</v>
      </c>
      <c r="C164" s="211">
        <v>424534</v>
      </c>
      <c r="D164" s="211">
        <v>275726</v>
      </c>
      <c r="E164" s="359"/>
      <c r="F164" s="359"/>
    </row>
    <row r="165" spans="1:6" ht="25.5" hidden="1">
      <c r="A165" s="213" t="s">
        <v>577</v>
      </c>
      <c r="B165" s="360" t="s">
        <v>425</v>
      </c>
      <c r="C165" s="211"/>
      <c r="D165" s="211"/>
      <c r="E165" s="359"/>
      <c r="F165" s="359"/>
    </row>
    <row r="166" spans="1:6" ht="25.5" hidden="1">
      <c r="A166" s="213" t="s">
        <v>578</v>
      </c>
      <c r="B166" s="214" t="s">
        <v>427</v>
      </c>
      <c r="C166" s="211"/>
      <c r="D166" s="211"/>
      <c r="E166" s="359"/>
      <c r="F166" s="359"/>
    </row>
    <row r="167" spans="1:6" ht="38.25" customHeight="1" hidden="1">
      <c r="A167" s="125" t="s">
        <v>579</v>
      </c>
      <c r="B167" s="361" t="s">
        <v>580</v>
      </c>
      <c r="C167" s="203"/>
      <c r="D167" s="203"/>
      <c r="E167" s="362"/>
      <c r="F167" s="362"/>
    </row>
    <row r="168" spans="1:6" s="5" customFormat="1" ht="51" hidden="1">
      <c r="A168" s="363" t="s">
        <v>581</v>
      </c>
      <c r="B168" s="364" t="s">
        <v>582</v>
      </c>
      <c r="C168" s="203"/>
      <c r="D168" s="203"/>
      <c r="E168" s="362"/>
      <c r="F168" s="362"/>
    </row>
    <row r="169" spans="1:6" ht="38.25" hidden="1">
      <c r="A169" s="231" t="s">
        <v>583</v>
      </c>
      <c r="B169" s="365" t="s">
        <v>584</v>
      </c>
      <c r="C169" s="211"/>
      <c r="D169" s="211"/>
      <c r="E169" s="359"/>
      <c r="F169" s="359"/>
    </row>
    <row r="170" spans="1:6" s="5" customFormat="1" ht="25.5" hidden="1">
      <c r="A170" s="366" t="s">
        <v>585</v>
      </c>
      <c r="B170" s="367" t="s">
        <v>586</v>
      </c>
      <c r="C170" s="203"/>
      <c r="D170" s="203"/>
      <c r="E170" s="362"/>
      <c r="F170" s="362"/>
    </row>
    <row r="171" spans="1:6" ht="25.5" hidden="1">
      <c r="A171" s="368" t="s">
        <v>587</v>
      </c>
      <c r="B171" s="367" t="s">
        <v>588</v>
      </c>
      <c r="C171" s="211"/>
      <c r="D171" s="211"/>
      <c r="E171" s="359"/>
      <c r="F171" s="359"/>
    </row>
    <row r="172" spans="1:6" ht="12.75" hidden="1">
      <c r="A172" s="369" t="s">
        <v>589</v>
      </c>
      <c r="B172" s="370" t="s">
        <v>453</v>
      </c>
      <c r="C172" s="203"/>
      <c r="D172" s="203"/>
      <c r="E172" s="362"/>
      <c r="F172" s="362"/>
    </row>
    <row r="173" spans="1:6" ht="25.5" customHeight="1" hidden="1">
      <c r="A173" s="231" t="s">
        <v>590</v>
      </c>
      <c r="B173" s="179" t="s">
        <v>591</v>
      </c>
      <c r="C173" s="211"/>
      <c r="D173" s="211"/>
      <c r="E173" s="359"/>
      <c r="F173" s="359"/>
    </row>
    <row r="174" spans="1:6" ht="29.25" customHeight="1" hidden="1">
      <c r="A174" s="231" t="s">
        <v>590</v>
      </c>
      <c r="B174" s="132" t="s">
        <v>592</v>
      </c>
      <c r="C174" s="211"/>
      <c r="D174" s="211"/>
      <c r="E174" s="359"/>
      <c r="F174" s="359"/>
    </row>
    <row r="175" spans="1:6" ht="24.75" customHeight="1" hidden="1">
      <c r="A175" s="213" t="s">
        <v>590</v>
      </c>
      <c r="B175" s="132" t="s">
        <v>593</v>
      </c>
      <c r="C175" s="211"/>
      <c r="D175" s="211"/>
      <c r="E175" s="359"/>
      <c r="F175" s="359"/>
    </row>
    <row r="176" spans="1:6" ht="12.75" hidden="1">
      <c r="A176" s="213" t="s">
        <v>590</v>
      </c>
      <c r="B176" s="358"/>
      <c r="C176" s="211"/>
      <c r="D176" s="211"/>
      <c r="E176" s="359"/>
      <c r="F176" s="359"/>
    </row>
    <row r="177" spans="1:6" ht="63" customHeight="1" hidden="1">
      <c r="A177" s="213" t="s">
        <v>590</v>
      </c>
      <c r="B177" s="132" t="s">
        <v>594</v>
      </c>
      <c r="C177" s="211"/>
      <c r="D177" s="211"/>
      <c r="E177" s="359"/>
      <c r="F177" s="359"/>
    </row>
    <row r="178" spans="1:6" ht="38.25" hidden="1">
      <c r="A178" s="213" t="s">
        <v>590</v>
      </c>
      <c r="B178" s="371" t="s">
        <v>595</v>
      </c>
      <c r="C178" s="235"/>
      <c r="D178" s="235"/>
      <c r="E178" s="372"/>
      <c r="F178" s="372"/>
    </row>
    <row r="179" spans="1:6" ht="51" hidden="1">
      <c r="A179" s="213" t="s">
        <v>590</v>
      </c>
      <c r="B179" s="210" t="s">
        <v>596</v>
      </c>
      <c r="C179" s="211"/>
      <c r="D179" s="211"/>
      <c r="E179" s="359"/>
      <c r="F179" s="359"/>
    </row>
    <row r="180" spans="1:6" ht="0.75" customHeight="1" hidden="1">
      <c r="A180" s="213" t="s">
        <v>590</v>
      </c>
      <c r="B180" s="210" t="s">
        <v>597</v>
      </c>
      <c r="C180" s="211"/>
      <c r="D180" s="211"/>
      <c r="E180" s="359"/>
      <c r="F180" s="359"/>
    </row>
    <row r="181" spans="1:6" ht="51" hidden="1">
      <c r="A181" s="213" t="s">
        <v>590</v>
      </c>
      <c r="B181" s="132" t="s">
        <v>598</v>
      </c>
      <c r="C181" s="211"/>
      <c r="D181" s="211"/>
      <c r="E181" s="359"/>
      <c r="F181" s="359"/>
    </row>
    <row r="182" spans="1:6" ht="89.25" hidden="1">
      <c r="A182" s="213" t="s">
        <v>590</v>
      </c>
      <c r="B182" s="132" t="s">
        <v>599</v>
      </c>
      <c r="C182" s="211"/>
      <c r="D182" s="211"/>
      <c r="E182" s="359"/>
      <c r="F182" s="359"/>
    </row>
    <row r="183" spans="1:6" ht="25.5">
      <c r="A183" s="125" t="s">
        <v>466</v>
      </c>
      <c r="B183" s="373" t="s">
        <v>600</v>
      </c>
      <c r="C183" s="239">
        <f>C186+C188+C190+C192+C194+C196+C198+C210+C200+C205+C207+C202+C184</f>
        <v>268366841</v>
      </c>
      <c r="D183" s="239">
        <f>D186+D188+D190+D192+D194+D196+D198+D210+D200+D205+D207+D202+D184</f>
        <v>267054937</v>
      </c>
      <c r="E183" s="374"/>
      <c r="F183" s="374"/>
    </row>
    <row r="184" spans="1:6" ht="51">
      <c r="A184" s="125" t="s">
        <v>468</v>
      </c>
      <c r="B184" s="361" t="s">
        <v>469</v>
      </c>
      <c r="C184" s="203">
        <f>C185</f>
        <v>63415</v>
      </c>
      <c r="D184" s="203">
        <f>D185</f>
        <v>63415</v>
      </c>
      <c r="E184" s="362"/>
      <c r="F184" s="362"/>
    </row>
    <row r="185" spans="1:6" ht="39" customHeight="1">
      <c r="A185" s="134" t="s">
        <v>470</v>
      </c>
      <c r="B185" s="242" t="s">
        <v>471</v>
      </c>
      <c r="C185" s="211">
        <v>63415</v>
      </c>
      <c r="D185" s="211">
        <v>63415</v>
      </c>
      <c r="E185" s="359"/>
      <c r="F185" s="359"/>
    </row>
    <row r="186" spans="1:6" ht="38.25" customHeight="1">
      <c r="A186" s="125" t="s">
        <v>472</v>
      </c>
      <c r="B186" s="215" t="s">
        <v>473</v>
      </c>
      <c r="C186" s="203">
        <f>C187</f>
        <v>9054167</v>
      </c>
      <c r="D186" s="203">
        <f>D187</f>
        <v>9054167</v>
      </c>
      <c r="E186" s="362"/>
      <c r="F186" s="362"/>
    </row>
    <row r="187" spans="1:6" ht="39" customHeight="1">
      <c r="A187" s="134" t="s">
        <v>474</v>
      </c>
      <c r="B187" s="228" t="s">
        <v>475</v>
      </c>
      <c r="C187" s="211">
        <v>9054167</v>
      </c>
      <c r="D187" s="211">
        <v>9054167</v>
      </c>
      <c r="E187" s="359"/>
      <c r="F187" s="359"/>
    </row>
    <row r="188" spans="1:6" ht="25.5" customHeight="1" hidden="1">
      <c r="A188" s="246" t="s">
        <v>601</v>
      </c>
      <c r="B188" s="375" t="s">
        <v>602</v>
      </c>
      <c r="C188" s="203"/>
      <c r="D188" s="203"/>
      <c r="E188" s="362"/>
      <c r="F188" s="362"/>
    </row>
    <row r="189" spans="1:6" s="41" customFormat="1" ht="12.75" customHeight="1" hidden="1">
      <c r="A189" s="246" t="s">
        <v>603</v>
      </c>
      <c r="B189" s="376" t="s">
        <v>604</v>
      </c>
      <c r="C189" s="211"/>
      <c r="D189" s="211"/>
      <c r="E189" s="359"/>
      <c r="F189" s="359"/>
    </row>
    <row r="190" spans="1:6" ht="12" customHeight="1" hidden="1">
      <c r="A190" s="131"/>
      <c r="B190" s="247"/>
      <c r="C190" s="211"/>
      <c r="D190" s="211"/>
      <c r="E190" s="359"/>
      <c r="F190" s="359"/>
    </row>
    <row r="191" spans="1:6" ht="12.75" hidden="1">
      <c r="A191" s="248"/>
      <c r="B191" s="249"/>
      <c r="C191" s="250"/>
      <c r="D191" s="250"/>
      <c r="E191" s="377"/>
      <c r="F191" s="377"/>
    </row>
    <row r="192" spans="1:6" ht="18.75" customHeight="1">
      <c r="A192" s="125" t="s">
        <v>480</v>
      </c>
      <c r="B192" s="251" t="s">
        <v>481</v>
      </c>
      <c r="C192" s="203">
        <f>C193</f>
        <v>1867940</v>
      </c>
      <c r="D192" s="203">
        <f>D193</f>
        <v>1022136</v>
      </c>
      <c r="E192" s="359"/>
      <c r="F192" s="359"/>
    </row>
    <row r="193" spans="1:6" ht="18.75" customHeight="1">
      <c r="A193" s="252" t="s">
        <v>482</v>
      </c>
      <c r="B193" s="253" t="s">
        <v>483</v>
      </c>
      <c r="C193" s="211">
        <v>1867940</v>
      </c>
      <c r="D193" s="211">
        <v>1022136</v>
      </c>
      <c r="E193" s="359"/>
      <c r="F193" s="359"/>
    </row>
    <row r="194" spans="1:6" ht="38.25" hidden="1">
      <c r="A194" s="131" t="s">
        <v>486</v>
      </c>
      <c r="B194" s="247" t="s">
        <v>485</v>
      </c>
      <c r="C194" s="211"/>
      <c r="D194" s="211"/>
      <c r="E194" s="359"/>
      <c r="F194" s="359"/>
    </row>
    <row r="195" spans="1:6" ht="38.25" hidden="1">
      <c r="A195" s="131" t="s">
        <v>488</v>
      </c>
      <c r="B195" s="247" t="s">
        <v>487</v>
      </c>
      <c r="C195" s="211"/>
      <c r="D195" s="211"/>
      <c r="E195" s="359"/>
      <c r="F195" s="359"/>
    </row>
    <row r="196" spans="1:6" ht="26.25" customHeight="1" hidden="1">
      <c r="A196" s="131" t="s">
        <v>490</v>
      </c>
      <c r="B196" s="247" t="s">
        <v>489</v>
      </c>
      <c r="C196" s="211"/>
      <c r="D196" s="211"/>
      <c r="E196" s="359"/>
      <c r="F196" s="359"/>
    </row>
    <row r="197" spans="1:6" ht="0.75" customHeight="1" hidden="1">
      <c r="A197" s="42"/>
      <c r="B197" s="254"/>
      <c r="C197" s="211"/>
      <c r="D197" s="211"/>
      <c r="E197" s="359"/>
      <c r="F197" s="359"/>
    </row>
    <row r="198" spans="1:6" ht="21" customHeight="1" hidden="1">
      <c r="A198" s="42"/>
      <c r="B198" s="247"/>
      <c r="C198" s="211">
        <f>C199</f>
        <v>0</v>
      </c>
      <c r="D198" s="211">
        <f>D199</f>
        <v>0</v>
      </c>
      <c r="E198" s="359"/>
      <c r="F198" s="359"/>
    </row>
    <row r="199" spans="1:6" ht="39.75" customHeight="1" hidden="1">
      <c r="A199" s="255" t="s">
        <v>491</v>
      </c>
      <c r="B199" s="242"/>
      <c r="C199" s="211"/>
      <c r="D199" s="211"/>
      <c r="E199" s="359"/>
      <c r="F199" s="359"/>
    </row>
    <row r="200" spans="1:6" ht="12.75" hidden="1">
      <c r="A200" s="256" t="s">
        <v>492</v>
      </c>
      <c r="B200" s="132"/>
      <c r="C200" s="211"/>
      <c r="D200" s="211"/>
      <c r="E200" s="359"/>
      <c r="F200" s="359"/>
    </row>
    <row r="201" spans="1:6" ht="12.75" hidden="1">
      <c r="A201" s="258" t="s">
        <v>493</v>
      </c>
      <c r="B201" s="257"/>
      <c r="C201" s="250"/>
      <c r="D201" s="250"/>
      <c r="E201" s="377"/>
      <c r="F201" s="377"/>
    </row>
    <row r="202" spans="1:6" ht="132" customHeight="1" hidden="1">
      <c r="A202" s="258" t="s">
        <v>495</v>
      </c>
      <c r="B202" s="259" t="s">
        <v>494</v>
      </c>
      <c r="C202" s="211"/>
      <c r="D202" s="211"/>
      <c r="E202" s="359"/>
      <c r="F202" s="359"/>
    </row>
    <row r="203" spans="1:6" ht="114.75" hidden="1">
      <c r="A203" s="258" t="s">
        <v>495</v>
      </c>
      <c r="B203" s="259" t="s">
        <v>496</v>
      </c>
      <c r="C203" s="211"/>
      <c r="D203" s="211"/>
      <c r="E203" s="359"/>
      <c r="F203" s="359"/>
    </row>
    <row r="204" spans="1:6" ht="114.75" hidden="1">
      <c r="A204" s="258"/>
      <c r="B204" s="259" t="s">
        <v>497</v>
      </c>
      <c r="C204" s="211"/>
      <c r="D204" s="211"/>
      <c r="E204" s="359"/>
      <c r="F204" s="359"/>
    </row>
    <row r="205" spans="1:6" ht="12.75" hidden="1">
      <c r="A205" s="258"/>
      <c r="B205" s="132"/>
      <c r="C205" s="211"/>
      <c r="D205" s="211"/>
      <c r="E205" s="359"/>
      <c r="F205" s="359"/>
    </row>
    <row r="206" spans="1:6" ht="12.75" hidden="1">
      <c r="A206" s="258"/>
      <c r="B206" s="260"/>
      <c r="C206" s="211"/>
      <c r="D206" s="211"/>
      <c r="E206" s="359"/>
      <c r="F206" s="359"/>
    </row>
    <row r="207" spans="1:6" ht="12.75" hidden="1">
      <c r="A207" s="258"/>
      <c r="B207" s="261"/>
      <c r="C207" s="211"/>
      <c r="D207" s="211"/>
      <c r="E207" s="359"/>
      <c r="F207" s="359"/>
    </row>
    <row r="208" spans="1:6" ht="12.75" hidden="1">
      <c r="A208" s="262" t="s">
        <v>605</v>
      </c>
      <c r="B208" s="261"/>
      <c r="C208" s="211"/>
      <c r="D208" s="211"/>
      <c r="E208" s="359"/>
      <c r="F208" s="359"/>
    </row>
    <row r="209" spans="1:6" s="5" customFormat="1" ht="12.75">
      <c r="A209" s="262" t="s">
        <v>498</v>
      </c>
      <c r="B209" s="263" t="s">
        <v>499</v>
      </c>
      <c r="C209" s="239">
        <f>C210</f>
        <v>257381319</v>
      </c>
      <c r="D209" s="239">
        <f>D210</f>
        <v>256915219</v>
      </c>
      <c r="E209" s="374"/>
      <c r="F209" s="374"/>
    </row>
    <row r="210" spans="1:6" ht="18.75" customHeight="1">
      <c r="A210" s="262" t="s">
        <v>500</v>
      </c>
      <c r="B210" s="263" t="s">
        <v>501</v>
      </c>
      <c r="C210" s="239">
        <f>SUM(C212:C234)</f>
        <v>257381319</v>
      </c>
      <c r="D210" s="239">
        <f>SUM(D212:D234)</f>
        <v>256915219</v>
      </c>
      <c r="E210" s="374"/>
      <c r="F210" s="374"/>
    </row>
    <row r="211" spans="1:6" ht="13.5" customHeight="1">
      <c r="A211" s="213"/>
      <c r="B211" s="265" t="s">
        <v>502</v>
      </c>
      <c r="C211" s="211"/>
      <c r="D211" s="211"/>
      <c r="E211" s="359"/>
      <c r="F211" s="359"/>
    </row>
    <row r="212" spans="1:6" ht="52.5" customHeight="1">
      <c r="A212" s="213" t="s">
        <v>500</v>
      </c>
      <c r="B212" s="179" t="s">
        <v>503</v>
      </c>
      <c r="C212" s="211">
        <v>876600</v>
      </c>
      <c r="D212" s="211">
        <v>876600</v>
      </c>
      <c r="E212" s="359"/>
      <c r="F212" s="359"/>
    </row>
    <row r="213" spans="1:6" ht="63" customHeight="1">
      <c r="A213" s="213" t="s">
        <v>500</v>
      </c>
      <c r="B213" s="228" t="s">
        <v>504</v>
      </c>
      <c r="C213" s="211">
        <v>169901716</v>
      </c>
      <c r="D213" s="211">
        <v>169901716</v>
      </c>
      <c r="E213" s="359"/>
      <c r="F213" s="359"/>
    </row>
    <row r="214" spans="1:6" ht="66.75" customHeight="1">
      <c r="A214" s="213" t="s">
        <v>500</v>
      </c>
      <c r="B214" s="228" t="s">
        <v>505</v>
      </c>
      <c r="C214" s="211">
        <v>20466008</v>
      </c>
      <c r="D214" s="211">
        <v>20466008</v>
      </c>
      <c r="E214" s="359"/>
      <c r="F214" s="359"/>
    </row>
    <row r="215" spans="1:6" ht="37.5" customHeight="1">
      <c r="A215" s="213" t="s">
        <v>500</v>
      </c>
      <c r="B215" s="232" t="s">
        <v>507</v>
      </c>
      <c r="C215" s="211"/>
      <c r="D215" s="211"/>
      <c r="E215" s="359"/>
      <c r="F215" s="359"/>
    </row>
    <row r="216" spans="1:6" ht="64.5" customHeight="1">
      <c r="A216" s="213" t="s">
        <v>500</v>
      </c>
      <c r="B216" s="228" t="s">
        <v>508</v>
      </c>
      <c r="C216" s="275">
        <v>39608388</v>
      </c>
      <c r="D216" s="275">
        <v>39608388</v>
      </c>
      <c r="E216" s="359"/>
      <c r="F216" s="359"/>
    </row>
    <row r="217" spans="1:6" ht="65.25" customHeight="1">
      <c r="A217" s="213" t="s">
        <v>500</v>
      </c>
      <c r="B217" s="378" t="s">
        <v>509</v>
      </c>
      <c r="C217" s="211">
        <v>2080810</v>
      </c>
      <c r="D217" s="211">
        <v>2080810</v>
      </c>
      <c r="E217" s="359"/>
      <c r="F217" s="359"/>
    </row>
    <row r="218" spans="1:6" ht="77.25" customHeight="1">
      <c r="A218" s="213" t="s">
        <v>500</v>
      </c>
      <c r="B218" s="228" t="s">
        <v>606</v>
      </c>
      <c r="C218" s="211">
        <v>223052</v>
      </c>
      <c r="D218" s="211">
        <v>223052</v>
      </c>
      <c r="E218" s="359"/>
      <c r="F218" s="359"/>
    </row>
    <row r="219" spans="1:6" ht="51.75" customHeight="1">
      <c r="A219" s="213" t="s">
        <v>500</v>
      </c>
      <c r="B219" s="228" t="s">
        <v>511</v>
      </c>
      <c r="C219" s="211">
        <v>1416480</v>
      </c>
      <c r="D219" s="211">
        <v>1416480</v>
      </c>
      <c r="E219" s="359"/>
      <c r="F219" s="359"/>
    </row>
    <row r="220" spans="1:6" ht="51.75" customHeight="1">
      <c r="A220" s="213" t="s">
        <v>500</v>
      </c>
      <c r="B220" s="228" t="s">
        <v>607</v>
      </c>
      <c r="C220" s="211">
        <v>52872</v>
      </c>
      <c r="D220" s="211">
        <v>52872</v>
      </c>
      <c r="E220" s="359"/>
      <c r="F220" s="359"/>
    </row>
    <row r="221" spans="1:6" ht="27" customHeight="1">
      <c r="A221" s="213" t="s">
        <v>500</v>
      </c>
      <c r="B221" s="228" t="s">
        <v>513</v>
      </c>
      <c r="C221" s="211">
        <v>329014</v>
      </c>
      <c r="D221" s="211">
        <v>329014</v>
      </c>
      <c r="E221" s="359"/>
      <c r="F221" s="359"/>
    </row>
    <row r="222" spans="1:6" ht="39" customHeight="1">
      <c r="A222" s="213" t="s">
        <v>500</v>
      </c>
      <c r="B222" s="228" t="s">
        <v>514</v>
      </c>
      <c r="C222" s="211">
        <v>292200</v>
      </c>
      <c r="D222" s="211">
        <v>292200</v>
      </c>
      <c r="E222" s="359"/>
      <c r="F222" s="359"/>
    </row>
    <row r="223" spans="1:6" ht="39" customHeight="1">
      <c r="A223" s="213" t="s">
        <v>500</v>
      </c>
      <c r="B223" s="228" t="s">
        <v>515</v>
      </c>
      <c r="C223" s="211">
        <v>292200</v>
      </c>
      <c r="D223" s="211">
        <v>292200</v>
      </c>
      <c r="E223" s="359"/>
      <c r="F223" s="359"/>
    </row>
    <row r="224" spans="1:6" ht="27" customHeight="1">
      <c r="A224" s="213" t="s">
        <v>500</v>
      </c>
      <c r="B224" s="228" t="s">
        <v>516</v>
      </c>
      <c r="C224" s="211">
        <v>292200</v>
      </c>
      <c r="D224" s="211">
        <v>292200</v>
      </c>
      <c r="E224" s="359"/>
      <c r="F224" s="359"/>
    </row>
    <row r="225" spans="1:6" ht="37.5" customHeight="1">
      <c r="A225" s="213" t="s">
        <v>500</v>
      </c>
      <c r="B225" s="228" t="s">
        <v>517</v>
      </c>
      <c r="C225" s="211">
        <v>122900</v>
      </c>
      <c r="D225" s="211">
        <v>122900</v>
      </c>
      <c r="E225" s="359"/>
      <c r="F225" s="359"/>
    </row>
    <row r="226" spans="1:6" ht="26.25" customHeight="1">
      <c r="A226" s="213" t="s">
        <v>500</v>
      </c>
      <c r="B226" s="242" t="s">
        <v>518</v>
      </c>
      <c r="C226" s="275">
        <v>10537877</v>
      </c>
      <c r="D226" s="275">
        <v>10537877</v>
      </c>
      <c r="E226" s="379"/>
      <c r="F226" s="379"/>
    </row>
    <row r="227" spans="1:6" ht="27.75" customHeight="1">
      <c r="A227" s="213" t="s">
        <v>500</v>
      </c>
      <c r="B227" s="179" t="s">
        <v>519</v>
      </c>
      <c r="C227" s="275">
        <v>1556884</v>
      </c>
      <c r="D227" s="275">
        <v>1556884</v>
      </c>
      <c r="E227" s="379"/>
      <c r="F227" s="379"/>
    </row>
    <row r="228" spans="1:6" ht="64.5" customHeight="1">
      <c r="A228" s="213" t="s">
        <v>500</v>
      </c>
      <c r="B228" s="228" t="s">
        <v>520</v>
      </c>
      <c r="C228" s="211">
        <v>295849</v>
      </c>
      <c r="D228" s="211">
        <v>295849</v>
      </c>
      <c r="E228" s="359"/>
      <c r="F228" s="359"/>
    </row>
    <row r="229" spans="1:6" ht="38.25" customHeight="1">
      <c r="A229" s="213" t="s">
        <v>500</v>
      </c>
      <c r="B229" s="228" t="s">
        <v>521</v>
      </c>
      <c r="C229" s="211">
        <v>2045400</v>
      </c>
      <c r="D229" s="211">
        <v>2045400</v>
      </c>
      <c r="E229" s="359"/>
      <c r="F229" s="359"/>
    </row>
    <row r="230" spans="1:6" ht="12.75" hidden="1">
      <c r="A230" s="213" t="s">
        <v>506</v>
      </c>
      <c r="B230" s="247"/>
      <c r="C230" s="211"/>
      <c r="D230" s="211"/>
      <c r="E230" s="359"/>
      <c r="F230" s="359"/>
    </row>
    <row r="231" spans="1:6" ht="38.25" customHeight="1">
      <c r="A231" s="213" t="s">
        <v>500</v>
      </c>
      <c r="B231" s="179" t="s">
        <v>608</v>
      </c>
      <c r="C231" s="211">
        <f>5758+275126</f>
        <v>280884</v>
      </c>
      <c r="D231" s="211">
        <f>5758+275126</f>
        <v>280884</v>
      </c>
      <c r="E231" s="359"/>
      <c r="F231" s="359"/>
    </row>
    <row r="232" spans="1:6" ht="51.75" customHeight="1">
      <c r="A232" s="213" t="s">
        <v>500</v>
      </c>
      <c r="B232" s="179" t="s">
        <v>523</v>
      </c>
      <c r="C232" s="211">
        <v>29220</v>
      </c>
      <c r="D232" s="211">
        <v>29220</v>
      </c>
      <c r="E232" s="359"/>
      <c r="F232" s="359"/>
    </row>
    <row r="233" spans="1:6" ht="51" hidden="1">
      <c r="A233" s="213" t="s">
        <v>506</v>
      </c>
      <c r="B233" s="228" t="s">
        <v>609</v>
      </c>
      <c r="C233" s="211"/>
      <c r="D233" s="211"/>
      <c r="E233" s="359"/>
      <c r="F233" s="359"/>
    </row>
    <row r="234" spans="1:6" ht="52.5" customHeight="1">
      <c r="A234" s="213" t="s">
        <v>500</v>
      </c>
      <c r="B234" s="228" t="s">
        <v>524</v>
      </c>
      <c r="C234" s="211">
        <v>6680765</v>
      </c>
      <c r="D234" s="211">
        <v>6214665</v>
      </c>
      <c r="E234" s="359"/>
      <c r="F234" s="359"/>
    </row>
    <row r="235" spans="1:6" s="5" customFormat="1" ht="12.75" hidden="1">
      <c r="A235" s="380" t="s">
        <v>610</v>
      </c>
      <c r="B235" s="381" t="s">
        <v>526</v>
      </c>
      <c r="C235" s="203">
        <f>C236+C237</f>
        <v>0</v>
      </c>
      <c r="D235" s="203">
        <f>D236+D237</f>
        <v>0</v>
      </c>
      <c r="E235" s="362"/>
      <c r="F235" s="362"/>
    </row>
    <row r="236" spans="1:6" ht="51" hidden="1">
      <c r="A236" s="382" t="s">
        <v>611</v>
      </c>
      <c r="B236" s="383" t="s">
        <v>534</v>
      </c>
      <c r="C236" s="275"/>
      <c r="D236" s="275"/>
      <c r="E236" s="379"/>
      <c r="F236" s="379"/>
    </row>
    <row r="237" spans="1:6" ht="25.5" hidden="1">
      <c r="A237" s="382" t="s">
        <v>612</v>
      </c>
      <c r="B237" s="384" t="s">
        <v>538</v>
      </c>
      <c r="C237" s="275"/>
      <c r="D237" s="275"/>
      <c r="E237" s="379"/>
      <c r="F237" s="379"/>
    </row>
    <row r="238" spans="1:6" ht="18" customHeight="1">
      <c r="A238" s="279" t="s">
        <v>539</v>
      </c>
      <c r="B238" s="206" t="s">
        <v>540</v>
      </c>
      <c r="C238" s="203">
        <f>C240+C239</f>
        <v>7887472</v>
      </c>
      <c r="D238" s="203">
        <f>D240+D239</f>
        <v>7887472</v>
      </c>
      <c r="E238" s="362"/>
      <c r="F238" s="362"/>
    </row>
    <row r="239" spans="1:6" ht="37.5" customHeight="1">
      <c r="A239" s="283" t="s">
        <v>543</v>
      </c>
      <c r="B239" s="273" t="s">
        <v>544</v>
      </c>
      <c r="C239" s="284">
        <f>6327341</f>
        <v>6327341</v>
      </c>
      <c r="D239" s="284">
        <f>6327341</f>
        <v>6327341</v>
      </c>
      <c r="E239" s="362"/>
      <c r="F239" s="362"/>
    </row>
    <row r="240" spans="1:6" ht="28.5" customHeight="1">
      <c r="A240" s="140" t="s">
        <v>541</v>
      </c>
      <c r="B240" s="132" t="s">
        <v>542</v>
      </c>
      <c r="C240" s="282">
        <f>C241</f>
        <v>1560131</v>
      </c>
      <c r="D240" s="282">
        <f>D241</f>
        <v>1560131</v>
      </c>
      <c r="E240" s="379"/>
      <c r="F240" s="379"/>
    </row>
    <row r="241" spans="1:6" s="5" customFormat="1" ht="26.25" customHeight="1">
      <c r="A241" s="140" t="s">
        <v>545</v>
      </c>
      <c r="B241" s="132" t="s">
        <v>542</v>
      </c>
      <c r="C241" s="211">
        <f>1710131-150000</f>
        <v>1560131</v>
      </c>
      <c r="D241" s="211">
        <f>1710131-150000</f>
        <v>1560131</v>
      </c>
      <c r="E241" s="385"/>
      <c r="F241" s="385"/>
    </row>
  </sheetData>
  <sheetProtection/>
  <mergeCells count="14">
    <mergeCell ref="A14:B14"/>
    <mergeCell ref="A19:B19"/>
    <mergeCell ref="B7:D7"/>
    <mergeCell ref="B8:D8"/>
    <mergeCell ref="B9:D9"/>
    <mergeCell ref="A10:B10"/>
    <mergeCell ref="A12:B12"/>
    <mergeCell ref="A13:B13"/>
    <mergeCell ref="B1:D1"/>
    <mergeCell ref="B2:D2"/>
    <mergeCell ref="B3:D3"/>
    <mergeCell ref="B4:D4"/>
    <mergeCell ref="B5:D5"/>
    <mergeCell ref="B6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8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64.875" style="417" customWidth="1"/>
    <col min="2" max="2" width="4.875" style="427" customWidth="1"/>
    <col min="3" max="3" width="5.00390625" style="427" customWidth="1"/>
    <col min="4" max="4" width="15.375" style="427" customWidth="1"/>
    <col min="5" max="5" width="7.125" style="530" customWidth="1"/>
    <col min="6" max="6" width="19.125" style="531" customWidth="1"/>
    <col min="7" max="7" width="9.125" style="413" customWidth="1"/>
    <col min="8" max="8" width="22.875" style="413" customWidth="1"/>
    <col min="9" max="9" width="16.125" style="413" customWidth="1"/>
    <col min="10" max="10" width="13.125" style="413" bestFit="1" customWidth="1"/>
    <col min="11" max="11" width="20.00390625" style="413" customWidth="1"/>
    <col min="12" max="16384" width="9.125" style="413" customWidth="1"/>
  </cols>
  <sheetData>
    <row r="1" spans="1:6" ht="12.75">
      <c r="A1" s="413"/>
      <c r="B1" s="414" t="s">
        <v>613</v>
      </c>
      <c r="C1" s="414"/>
      <c r="D1" s="414"/>
      <c r="E1" s="415"/>
      <c r="F1" s="416"/>
    </row>
    <row r="2" spans="2:6" ht="15.75">
      <c r="B2" s="418" t="s">
        <v>614</v>
      </c>
      <c r="C2" s="414"/>
      <c r="D2" s="414"/>
      <c r="E2" s="415"/>
      <c r="F2" s="419"/>
    </row>
    <row r="3" spans="2:6" ht="15.75">
      <c r="B3" s="420" t="s">
        <v>615</v>
      </c>
      <c r="C3" s="420"/>
      <c r="D3" s="420"/>
      <c r="E3" s="421"/>
      <c r="F3" s="419"/>
    </row>
    <row r="4" spans="2:6" ht="12.75">
      <c r="B4" s="422" t="s">
        <v>616</v>
      </c>
      <c r="C4" s="422"/>
      <c r="D4" s="422"/>
      <c r="E4" s="422"/>
      <c r="F4" s="422"/>
    </row>
    <row r="5" spans="2:6" ht="12.75">
      <c r="B5" s="423" t="s">
        <v>617</v>
      </c>
      <c r="C5" s="423"/>
      <c r="D5" s="423"/>
      <c r="E5" s="423"/>
      <c r="F5" s="423"/>
    </row>
    <row r="6" spans="2:6" ht="23.25" customHeight="1">
      <c r="B6" s="424" t="s">
        <v>618</v>
      </c>
      <c r="C6" s="424"/>
      <c r="D6" s="424"/>
      <c r="E6" s="424"/>
      <c r="F6" s="424"/>
    </row>
    <row r="7" spans="2:6" ht="23.25" customHeight="1">
      <c r="B7" s="425"/>
      <c r="C7" s="425"/>
      <c r="D7" s="425"/>
      <c r="E7" s="425"/>
      <c r="F7" s="425"/>
    </row>
    <row r="8" spans="1:6" ht="51.75" customHeight="1">
      <c r="A8" s="426" t="s">
        <v>619</v>
      </c>
      <c r="B8" s="426"/>
      <c r="C8" s="426"/>
      <c r="D8" s="426"/>
      <c r="E8" s="426"/>
      <c r="F8" s="426"/>
    </row>
    <row r="9" spans="5:6" ht="16.5" thickBot="1">
      <c r="E9" s="428"/>
      <c r="F9" s="429" t="s">
        <v>620</v>
      </c>
    </row>
    <row r="10" spans="1:11" ht="15.75">
      <c r="A10" s="430" t="s">
        <v>621</v>
      </c>
      <c r="B10" s="431" t="s">
        <v>622</v>
      </c>
      <c r="C10" s="431" t="s">
        <v>623</v>
      </c>
      <c r="D10" s="432" t="s">
        <v>624</v>
      </c>
      <c r="E10" s="432" t="s">
        <v>625</v>
      </c>
      <c r="F10" s="433" t="s">
        <v>626</v>
      </c>
      <c r="K10" s="434"/>
    </row>
    <row r="11" spans="1:6" ht="13.5" thickBot="1">
      <c r="A11" s="435"/>
      <c r="B11" s="436"/>
      <c r="C11" s="436"/>
      <c r="D11" s="437"/>
      <c r="E11" s="437"/>
      <c r="F11" s="438"/>
    </row>
    <row r="12" spans="1:6" s="443" customFormat="1" ht="12.75">
      <c r="A12" s="439">
        <v>1</v>
      </c>
      <c r="B12" s="440" t="s">
        <v>627</v>
      </c>
      <c r="C12" s="440" t="s">
        <v>628</v>
      </c>
      <c r="D12" s="441" t="s">
        <v>629</v>
      </c>
      <c r="E12" s="441" t="s">
        <v>630</v>
      </c>
      <c r="F12" s="442">
        <v>6</v>
      </c>
    </row>
    <row r="13" spans="1:11" s="448" customFormat="1" ht="20.25">
      <c r="A13" s="444" t="s">
        <v>631</v>
      </c>
      <c r="B13" s="445"/>
      <c r="C13" s="445"/>
      <c r="D13" s="445"/>
      <c r="E13" s="446"/>
      <c r="F13" s="447">
        <f>F14+F189+F261+F303+F422+F461+F516+F523+F530+F455+F173+F297</f>
        <v>572732054.36</v>
      </c>
      <c r="H13" s="449"/>
      <c r="J13" s="449"/>
      <c r="K13" s="450"/>
    </row>
    <row r="14" spans="1:6" ht="15">
      <c r="A14" s="451" t="s">
        <v>632</v>
      </c>
      <c r="B14" s="445" t="s">
        <v>633</v>
      </c>
      <c r="C14" s="445"/>
      <c r="D14" s="445"/>
      <c r="E14" s="446"/>
      <c r="F14" s="447">
        <f>F15+F20+F29+F87+F92+F75+F70+F82</f>
        <v>54709327.56</v>
      </c>
    </row>
    <row r="15" spans="1:8" ht="26.25">
      <c r="A15" s="452" t="s">
        <v>634</v>
      </c>
      <c r="B15" s="445" t="s">
        <v>633</v>
      </c>
      <c r="C15" s="445" t="s">
        <v>635</v>
      </c>
      <c r="D15" s="445"/>
      <c r="E15" s="446"/>
      <c r="F15" s="447">
        <f>F17</f>
        <v>1537000</v>
      </c>
      <c r="H15" s="453"/>
    </row>
    <row r="16" spans="1:6" ht="15">
      <c r="A16" s="454" t="s">
        <v>636</v>
      </c>
      <c r="B16" s="445" t="s">
        <v>633</v>
      </c>
      <c r="C16" s="445" t="s">
        <v>635</v>
      </c>
      <c r="D16" s="455" t="s">
        <v>637</v>
      </c>
      <c r="E16" s="446"/>
      <c r="F16" s="447">
        <f>F17</f>
        <v>1537000</v>
      </c>
    </row>
    <row r="17" spans="1:6" ht="15">
      <c r="A17" s="451" t="s">
        <v>638</v>
      </c>
      <c r="B17" s="445" t="s">
        <v>633</v>
      </c>
      <c r="C17" s="445" t="s">
        <v>635</v>
      </c>
      <c r="D17" s="455" t="s">
        <v>639</v>
      </c>
      <c r="E17" s="446"/>
      <c r="F17" s="447">
        <f>F19</f>
        <v>1537000</v>
      </c>
    </row>
    <row r="18" spans="1:6" ht="26.25">
      <c r="A18" s="452" t="s">
        <v>640</v>
      </c>
      <c r="B18" s="445" t="s">
        <v>633</v>
      </c>
      <c r="C18" s="445" t="s">
        <v>635</v>
      </c>
      <c r="D18" s="455" t="s">
        <v>641</v>
      </c>
      <c r="E18" s="446"/>
      <c r="F18" s="447">
        <f>F19</f>
        <v>1537000</v>
      </c>
    </row>
    <row r="19" spans="1:6" ht="39">
      <c r="A19" s="454" t="s">
        <v>642</v>
      </c>
      <c r="B19" s="445" t="s">
        <v>633</v>
      </c>
      <c r="C19" s="445" t="s">
        <v>635</v>
      </c>
      <c r="D19" s="455" t="s">
        <v>641</v>
      </c>
      <c r="E19" s="456" t="s">
        <v>643</v>
      </c>
      <c r="F19" s="447">
        <v>1537000</v>
      </c>
    </row>
    <row r="20" spans="1:6" ht="39">
      <c r="A20" s="452" t="s">
        <v>644</v>
      </c>
      <c r="B20" s="445" t="s">
        <v>633</v>
      </c>
      <c r="C20" s="445" t="s">
        <v>645</v>
      </c>
      <c r="D20" s="445"/>
      <c r="E20" s="446"/>
      <c r="F20" s="447">
        <f>F21</f>
        <v>1967800</v>
      </c>
    </row>
    <row r="21" spans="1:6" ht="26.25">
      <c r="A21" s="454" t="s">
        <v>646</v>
      </c>
      <c r="B21" s="445" t="s">
        <v>633</v>
      </c>
      <c r="C21" s="445" t="s">
        <v>645</v>
      </c>
      <c r="D21" s="455" t="s">
        <v>647</v>
      </c>
      <c r="E21" s="446"/>
      <c r="F21" s="447">
        <f>F22+F25</f>
        <v>1967800</v>
      </c>
    </row>
    <row r="22" spans="1:6" ht="15">
      <c r="A22" s="451" t="s">
        <v>648</v>
      </c>
      <c r="B22" s="445" t="s">
        <v>633</v>
      </c>
      <c r="C22" s="445" t="s">
        <v>645</v>
      </c>
      <c r="D22" s="455" t="s">
        <v>649</v>
      </c>
      <c r="E22" s="446"/>
      <c r="F22" s="447">
        <f>F23</f>
        <v>880000</v>
      </c>
    </row>
    <row r="23" spans="1:6" ht="26.25">
      <c r="A23" s="452" t="s">
        <v>640</v>
      </c>
      <c r="B23" s="445" t="s">
        <v>633</v>
      </c>
      <c r="C23" s="445" t="s">
        <v>645</v>
      </c>
      <c r="D23" s="455" t="s">
        <v>650</v>
      </c>
      <c r="E23" s="456"/>
      <c r="F23" s="447">
        <f>F24</f>
        <v>880000</v>
      </c>
    </row>
    <row r="24" spans="1:6" ht="39">
      <c r="A24" s="454" t="s">
        <v>642</v>
      </c>
      <c r="B24" s="445" t="s">
        <v>633</v>
      </c>
      <c r="C24" s="445" t="s">
        <v>645</v>
      </c>
      <c r="D24" s="455" t="s">
        <v>650</v>
      </c>
      <c r="E24" s="456" t="s">
        <v>643</v>
      </c>
      <c r="F24" s="447">
        <v>880000</v>
      </c>
    </row>
    <row r="25" spans="1:6" ht="15">
      <c r="A25" s="451" t="s">
        <v>651</v>
      </c>
      <c r="B25" s="445" t="s">
        <v>633</v>
      </c>
      <c r="C25" s="445" t="s">
        <v>645</v>
      </c>
      <c r="D25" s="455" t="s">
        <v>652</v>
      </c>
      <c r="E25" s="456"/>
      <c r="F25" s="447">
        <f>F26</f>
        <v>1087800</v>
      </c>
    </row>
    <row r="26" spans="1:6" ht="26.25">
      <c r="A26" s="452" t="s">
        <v>640</v>
      </c>
      <c r="B26" s="445" t="s">
        <v>633</v>
      </c>
      <c r="C26" s="445" t="s">
        <v>645</v>
      </c>
      <c r="D26" s="455" t="s">
        <v>653</v>
      </c>
      <c r="E26" s="456"/>
      <c r="F26" s="447">
        <f>F27+F28</f>
        <v>1087800</v>
      </c>
    </row>
    <row r="27" spans="1:6" ht="39">
      <c r="A27" s="454" t="s">
        <v>642</v>
      </c>
      <c r="B27" s="445" t="s">
        <v>633</v>
      </c>
      <c r="C27" s="445" t="s">
        <v>645</v>
      </c>
      <c r="D27" s="455" t="s">
        <v>653</v>
      </c>
      <c r="E27" s="456" t="s">
        <v>643</v>
      </c>
      <c r="F27" s="447">
        <v>1062800</v>
      </c>
    </row>
    <row r="28" spans="1:6" ht="26.25">
      <c r="A28" s="454" t="s">
        <v>654</v>
      </c>
      <c r="B28" s="445" t="s">
        <v>633</v>
      </c>
      <c r="C28" s="445" t="s">
        <v>645</v>
      </c>
      <c r="D28" s="455" t="s">
        <v>653</v>
      </c>
      <c r="E28" s="456" t="s">
        <v>655</v>
      </c>
      <c r="F28" s="447">
        <f>10000+15000</f>
        <v>25000</v>
      </c>
    </row>
    <row r="29" spans="1:6" ht="39">
      <c r="A29" s="452" t="s">
        <v>656</v>
      </c>
      <c r="B29" s="445" t="s">
        <v>657</v>
      </c>
      <c r="C29" s="445" t="s">
        <v>658</v>
      </c>
      <c r="D29" s="445"/>
      <c r="E29" s="446"/>
      <c r="F29" s="447">
        <f>F30+F47+F62+F56+F41</f>
        <v>20220434</v>
      </c>
    </row>
    <row r="30" spans="1:6" ht="26.25">
      <c r="A30" s="451" t="s">
        <v>659</v>
      </c>
      <c r="B30" s="445" t="s">
        <v>657</v>
      </c>
      <c r="C30" s="445" t="s">
        <v>658</v>
      </c>
      <c r="D30" s="455" t="s">
        <v>660</v>
      </c>
      <c r="E30" s="456"/>
      <c r="F30" s="447">
        <f>F36+F31</f>
        <v>2922000</v>
      </c>
    </row>
    <row r="31" spans="1:6" s="461" customFormat="1" ht="51.75">
      <c r="A31" s="454" t="s">
        <v>661</v>
      </c>
      <c r="B31" s="457" t="s">
        <v>633</v>
      </c>
      <c r="C31" s="457" t="s">
        <v>658</v>
      </c>
      <c r="D31" s="458" t="s">
        <v>662</v>
      </c>
      <c r="E31" s="459"/>
      <c r="F31" s="460">
        <f>F33</f>
        <v>876600</v>
      </c>
    </row>
    <row r="32" spans="1:6" ht="38.25">
      <c r="A32" s="462" t="s">
        <v>663</v>
      </c>
      <c r="B32" s="445" t="s">
        <v>633</v>
      </c>
      <c r="C32" s="445" t="s">
        <v>658</v>
      </c>
      <c r="D32" s="455" t="s">
        <v>664</v>
      </c>
      <c r="E32" s="456"/>
      <c r="F32" s="447">
        <f>F33</f>
        <v>876600</v>
      </c>
    </row>
    <row r="33" spans="1:6" ht="39">
      <c r="A33" s="463" t="s">
        <v>665</v>
      </c>
      <c r="B33" s="445" t="s">
        <v>633</v>
      </c>
      <c r="C33" s="445" t="s">
        <v>658</v>
      </c>
      <c r="D33" s="455" t="s">
        <v>666</v>
      </c>
      <c r="E33" s="456"/>
      <c r="F33" s="447">
        <f>F34+F35</f>
        <v>876600</v>
      </c>
    </row>
    <row r="34" spans="1:6" ht="39">
      <c r="A34" s="454" t="s">
        <v>642</v>
      </c>
      <c r="B34" s="445" t="s">
        <v>633</v>
      </c>
      <c r="C34" s="445" t="s">
        <v>658</v>
      </c>
      <c r="D34" s="455" t="s">
        <v>666</v>
      </c>
      <c r="E34" s="456" t="s">
        <v>643</v>
      </c>
      <c r="F34" s="447">
        <v>864600</v>
      </c>
    </row>
    <row r="35" spans="1:6" ht="26.25">
      <c r="A35" s="454" t="s">
        <v>654</v>
      </c>
      <c r="B35" s="445" t="s">
        <v>633</v>
      </c>
      <c r="C35" s="445" t="s">
        <v>658</v>
      </c>
      <c r="D35" s="455" t="s">
        <v>666</v>
      </c>
      <c r="E35" s="456" t="s">
        <v>655</v>
      </c>
      <c r="F35" s="447">
        <v>12000</v>
      </c>
    </row>
    <row r="36" spans="1:6" s="461" customFormat="1" ht="51.75">
      <c r="A36" s="452" t="s">
        <v>667</v>
      </c>
      <c r="B36" s="457" t="s">
        <v>633</v>
      </c>
      <c r="C36" s="457" t="s">
        <v>658</v>
      </c>
      <c r="D36" s="458" t="s">
        <v>668</v>
      </c>
      <c r="E36" s="464"/>
      <c r="F36" s="460">
        <f>F37</f>
        <v>2045400</v>
      </c>
    </row>
    <row r="37" spans="1:6" ht="25.5">
      <c r="A37" s="465" t="s">
        <v>669</v>
      </c>
      <c r="B37" s="445" t="s">
        <v>633</v>
      </c>
      <c r="C37" s="445" t="s">
        <v>658</v>
      </c>
      <c r="D37" s="455" t="s">
        <v>670</v>
      </c>
      <c r="E37" s="446"/>
      <c r="F37" s="447">
        <f>F38</f>
        <v>2045400</v>
      </c>
    </row>
    <row r="38" spans="1:6" ht="26.25">
      <c r="A38" s="452" t="s">
        <v>671</v>
      </c>
      <c r="B38" s="445" t="s">
        <v>633</v>
      </c>
      <c r="C38" s="445" t="s">
        <v>658</v>
      </c>
      <c r="D38" s="455" t="s">
        <v>672</v>
      </c>
      <c r="E38" s="446"/>
      <c r="F38" s="447">
        <f>F39+F40</f>
        <v>2045400</v>
      </c>
    </row>
    <row r="39" spans="1:6" ht="39">
      <c r="A39" s="454" t="s">
        <v>642</v>
      </c>
      <c r="B39" s="445" t="s">
        <v>633</v>
      </c>
      <c r="C39" s="445" t="s">
        <v>658</v>
      </c>
      <c r="D39" s="455" t="s">
        <v>672</v>
      </c>
      <c r="E39" s="456" t="s">
        <v>643</v>
      </c>
      <c r="F39" s="447">
        <f>1524168+460299+300+46799+14134-300</f>
        <v>2045400</v>
      </c>
    </row>
    <row r="40" spans="1:6" ht="26.25" hidden="1">
      <c r="A40" s="454" t="s">
        <v>654</v>
      </c>
      <c r="B40" s="445" t="s">
        <v>633</v>
      </c>
      <c r="C40" s="445" t="s">
        <v>658</v>
      </c>
      <c r="D40" s="455" t="s">
        <v>672</v>
      </c>
      <c r="E40" s="456" t="s">
        <v>655</v>
      </c>
      <c r="F40" s="447">
        <f>60633-60633</f>
        <v>0</v>
      </c>
    </row>
    <row r="41" spans="1:6" ht="39">
      <c r="A41" s="444" t="s">
        <v>673</v>
      </c>
      <c r="B41" s="445" t="s">
        <v>633</v>
      </c>
      <c r="C41" s="445" t="s">
        <v>658</v>
      </c>
      <c r="D41" s="455" t="s">
        <v>674</v>
      </c>
      <c r="E41" s="446"/>
      <c r="F41" s="447">
        <f>F42</f>
        <v>329014</v>
      </c>
    </row>
    <row r="42" spans="1:6" s="461" customFormat="1" ht="70.5" customHeight="1">
      <c r="A42" s="465" t="s">
        <v>675</v>
      </c>
      <c r="B42" s="457" t="s">
        <v>633</v>
      </c>
      <c r="C42" s="457" t="s">
        <v>658</v>
      </c>
      <c r="D42" s="458" t="s">
        <v>676</v>
      </c>
      <c r="E42" s="464"/>
      <c r="F42" s="460">
        <f>F44</f>
        <v>329014</v>
      </c>
    </row>
    <row r="43" spans="1:6" ht="25.5">
      <c r="A43" s="466" t="s">
        <v>677</v>
      </c>
      <c r="B43" s="445" t="s">
        <v>633</v>
      </c>
      <c r="C43" s="445" t="s">
        <v>658</v>
      </c>
      <c r="D43" s="455" t="s">
        <v>678</v>
      </c>
      <c r="E43" s="446"/>
      <c r="F43" s="447">
        <f>F44</f>
        <v>329014</v>
      </c>
    </row>
    <row r="44" spans="1:6" ht="26.25">
      <c r="A44" s="463" t="s">
        <v>679</v>
      </c>
      <c r="B44" s="445" t="s">
        <v>633</v>
      </c>
      <c r="C44" s="445" t="s">
        <v>658</v>
      </c>
      <c r="D44" s="455" t="s">
        <v>680</v>
      </c>
      <c r="E44" s="446"/>
      <c r="F44" s="447">
        <f>F45+F46</f>
        <v>329014</v>
      </c>
    </row>
    <row r="45" spans="1:6" ht="39">
      <c r="A45" s="454" t="s">
        <v>642</v>
      </c>
      <c r="B45" s="445" t="s">
        <v>633</v>
      </c>
      <c r="C45" s="445" t="s">
        <v>658</v>
      </c>
      <c r="D45" s="455" t="s">
        <v>680</v>
      </c>
      <c r="E45" s="456" t="s">
        <v>643</v>
      </c>
      <c r="F45" s="447">
        <v>295773</v>
      </c>
    </row>
    <row r="46" spans="1:6" ht="26.25">
      <c r="A46" s="454" t="s">
        <v>654</v>
      </c>
      <c r="B46" s="445" t="s">
        <v>633</v>
      </c>
      <c r="C46" s="445" t="s">
        <v>658</v>
      </c>
      <c r="D46" s="455" t="s">
        <v>680</v>
      </c>
      <c r="E46" s="456" t="s">
        <v>655</v>
      </c>
      <c r="F46" s="447">
        <v>33241</v>
      </c>
    </row>
    <row r="47" spans="1:6" ht="51.75">
      <c r="A47" s="451" t="s">
        <v>681</v>
      </c>
      <c r="B47" s="445" t="s">
        <v>633</v>
      </c>
      <c r="C47" s="445" t="s">
        <v>658</v>
      </c>
      <c r="D47" s="455" t="s">
        <v>682</v>
      </c>
      <c r="E47" s="456"/>
      <c r="F47" s="447">
        <f>F48</f>
        <v>584400</v>
      </c>
    </row>
    <row r="48" spans="1:6" s="461" customFormat="1" ht="64.5">
      <c r="A48" s="451" t="s">
        <v>683</v>
      </c>
      <c r="B48" s="457" t="s">
        <v>633</v>
      </c>
      <c r="C48" s="457" t="s">
        <v>658</v>
      </c>
      <c r="D48" s="458" t="s">
        <v>684</v>
      </c>
      <c r="E48" s="459"/>
      <c r="F48" s="460">
        <f>F50+F53</f>
        <v>584400</v>
      </c>
    </row>
    <row r="49" spans="1:6" ht="38.25">
      <c r="A49" s="465" t="s">
        <v>685</v>
      </c>
      <c r="B49" s="445" t="s">
        <v>633</v>
      </c>
      <c r="C49" s="445" t="s">
        <v>658</v>
      </c>
      <c r="D49" s="455" t="s">
        <v>686</v>
      </c>
      <c r="E49" s="456"/>
      <c r="F49" s="447">
        <f>F50+F53</f>
        <v>584400</v>
      </c>
    </row>
    <row r="50" spans="1:6" ht="39">
      <c r="A50" s="463" t="s">
        <v>687</v>
      </c>
      <c r="B50" s="445" t="s">
        <v>633</v>
      </c>
      <c r="C50" s="445" t="s">
        <v>658</v>
      </c>
      <c r="D50" s="445" t="s">
        <v>688</v>
      </c>
      <c r="E50" s="446"/>
      <c r="F50" s="447">
        <f>F51+F52</f>
        <v>292200</v>
      </c>
    </row>
    <row r="51" spans="1:6" ht="39">
      <c r="A51" s="454" t="s">
        <v>642</v>
      </c>
      <c r="B51" s="445" t="s">
        <v>633</v>
      </c>
      <c r="C51" s="445" t="s">
        <v>658</v>
      </c>
      <c r="D51" s="445" t="s">
        <v>688</v>
      </c>
      <c r="E51" s="456" t="s">
        <v>643</v>
      </c>
      <c r="F51" s="447">
        <v>289200</v>
      </c>
    </row>
    <row r="52" spans="1:6" ht="26.25">
      <c r="A52" s="454" t="s">
        <v>654</v>
      </c>
      <c r="B52" s="445" t="s">
        <v>633</v>
      </c>
      <c r="C52" s="445" t="s">
        <v>658</v>
      </c>
      <c r="D52" s="445" t="s">
        <v>688</v>
      </c>
      <c r="E52" s="456" t="s">
        <v>655</v>
      </c>
      <c r="F52" s="447">
        <v>3000</v>
      </c>
    </row>
    <row r="53" spans="1:6" ht="26.25">
      <c r="A53" s="463" t="s">
        <v>689</v>
      </c>
      <c r="B53" s="445" t="s">
        <v>633</v>
      </c>
      <c r="C53" s="445" t="s">
        <v>658</v>
      </c>
      <c r="D53" s="445" t="s">
        <v>690</v>
      </c>
      <c r="E53" s="446"/>
      <c r="F53" s="447">
        <f>F54+F55</f>
        <v>292200</v>
      </c>
    </row>
    <row r="54" spans="1:6" ht="38.25" customHeight="1">
      <c r="A54" s="454" t="s">
        <v>642</v>
      </c>
      <c r="B54" s="445" t="s">
        <v>633</v>
      </c>
      <c r="C54" s="445" t="s">
        <v>658</v>
      </c>
      <c r="D54" s="445" t="s">
        <v>690</v>
      </c>
      <c r="E54" s="456" t="s">
        <v>643</v>
      </c>
      <c r="F54" s="447">
        <f>193920+58564+30503+9213</f>
        <v>292200</v>
      </c>
    </row>
    <row r="55" spans="1:6" ht="26.25" hidden="1">
      <c r="A55" s="454" t="s">
        <v>654</v>
      </c>
      <c r="B55" s="445" t="s">
        <v>633</v>
      </c>
      <c r="C55" s="445" t="s">
        <v>658</v>
      </c>
      <c r="D55" s="445" t="s">
        <v>690</v>
      </c>
      <c r="E55" s="456" t="s">
        <v>655</v>
      </c>
      <c r="F55" s="447">
        <f>39716-39716</f>
        <v>0</v>
      </c>
    </row>
    <row r="56" spans="1:6" ht="15">
      <c r="A56" s="454" t="s">
        <v>691</v>
      </c>
      <c r="B56" s="445" t="s">
        <v>633</v>
      </c>
      <c r="C56" s="445" t="s">
        <v>658</v>
      </c>
      <c r="D56" s="445" t="s">
        <v>692</v>
      </c>
      <c r="E56" s="446"/>
      <c r="F56" s="447">
        <f>F57</f>
        <v>16063600</v>
      </c>
    </row>
    <row r="57" spans="1:6" ht="15">
      <c r="A57" s="452" t="s">
        <v>693</v>
      </c>
      <c r="B57" s="445" t="s">
        <v>633</v>
      </c>
      <c r="C57" s="445" t="s">
        <v>658</v>
      </c>
      <c r="D57" s="445" t="s">
        <v>694</v>
      </c>
      <c r="E57" s="446"/>
      <c r="F57" s="447">
        <f>F58</f>
        <v>16063600</v>
      </c>
    </row>
    <row r="58" spans="1:6" ht="26.25">
      <c r="A58" s="452" t="s">
        <v>640</v>
      </c>
      <c r="B58" s="445" t="s">
        <v>633</v>
      </c>
      <c r="C58" s="445" t="s">
        <v>658</v>
      </c>
      <c r="D58" s="445" t="s">
        <v>695</v>
      </c>
      <c r="E58" s="446"/>
      <c r="F58" s="447">
        <f>F59+F60+F61</f>
        <v>16063600</v>
      </c>
    </row>
    <row r="59" spans="1:6" ht="39">
      <c r="A59" s="454" t="s">
        <v>642</v>
      </c>
      <c r="B59" s="445" t="s">
        <v>633</v>
      </c>
      <c r="C59" s="445" t="s">
        <v>658</v>
      </c>
      <c r="D59" s="445" t="s">
        <v>695</v>
      </c>
      <c r="E59" s="456" t="s">
        <v>643</v>
      </c>
      <c r="F59" s="447">
        <v>15918200</v>
      </c>
    </row>
    <row r="60" spans="1:6" ht="26.25">
      <c r="A60" s="454" t="s">
        <v>654</v>
      </c>
      <c r="B60" s="445" t="s">
        <v>633</v>
      </c>
      <c r="C60" s="445" t="s">
        <v>658</v>
      </c>
      <c r="D60" s="445" t="s">
        <v>695</v>
      </c>
      <c r="E60" s="456" t="s">
        <v>655</v>
      </c>
      <c r="F60" s="467">
        <v>58500</v>
      </c>
    </row>
    <row r="61" spans="1:6" ht="15">
      <c r="A61" s="466" t="s">
        <v>696</v>
      </c>
      <c r="B61" s="445" t="s">
        <v>633</v>
      </c>
      <c r="C61" s="445" t="s">
        <v>658</v>
      </c>
      <c r="D61" s="445" t="s">
        <v>695</v>
      </c>
      <c r="E61" s="456" t="s">
        <v>697</v>
      </c>
      <c r="F61" s="447">
        <v>86900</v>
      </c>
    </row>
    <row r="62" spans="1:6" ht="15">
      <c r="A62" s="451" t="s">
        <v>698</v>
      </c>
      <c r="B62" s="445" t="s">
        <v>633</v>
      </c>
      <c r="C62" s="445" t="s">
        <v>658</v>
      </c>
      <c r="D62" s="445" t="s">
        <v>699</v>
      </c>
      <c r="E62" s="446"/>
      <c r="F62" s="447">
        <f>F63+F67</f>
        <v>321420</v>
      </c>
    </row>
    <row r="63" spans="1:6" ht="25.5">
      <c r="A63" s="465" t="s">
        <v>700</v>
      </c>
      <c r="B63" s="445" t="s">
        <v>633</v>
      </c>
      <c r="C63" s="445" t="s">
        <v>658</v>
      </c>
      <c r="D63" s="445" t="s">
        <v>701</v>
      </c>
      <c r="E63" s="446"/>
      <c r="F63" s="447">
        <f>F64</f>
        <v>292200</v>
      </c>
    </row>
    <row r="64" spans="1:6" ht="26.25">
      <c r="A64" s="452" t="s">
        <v>702</v>
      </c>
      <c r="B64" s="445" t="s">
        <v>633</v>
      </c>
      <c r="C64" s="445" t="s">
        <v>658</v>
      </c>
      <c r="D64" s="445" t="s">
        <v>703</v>
      </c>
      <c r="E64" s="446"/>
      <c r="F64" s="447">
        <f>F65+F66</f>
        <v>292200</v>
      </c>
    </row>
    <row r="65" spans="1:6" ht="38.25" customHeight="1">
      <c r="A65" s="454" t="s">
        <v>642</v>
      </c>
      <c r="B65" s="445" t="s">
        <v>633</v>
      </c>
      <c r="C65" s="445" t="s">
        <v>658</v>
      </c>
      <c r="D65" s="445" t="s">
        <v>703</v>
      </c>
      <c r="E65" s="456" t="s">
        <v>643</v>
      </c>
      <c r="F65" s="447">
        <f>208320+62913+16104+4863</f>
        <v>292200</v>
      </c>
    </row>
    <row r="66" spans="1:6" ht="1.5" customHeight="1" hidden="1">
      <c r="A66" s="454" t="s">
        <v>704</v>
      </c>
      <c r="B66" s="445" t="s">
        <v>633</v>
      </c>
      <c r="C66" s="445" t="s">
        <v>658</v>
      </c>
      <c r="D66" s="445" t="s">
        <v>703</v>
      </c>
      <c r="E66" s="456" t="s">
        <v>655</v>
      </c>
      <c r="F66" s="447">
        <f>20967-20967</f>
        <v>0</v>
      </c>
    </row>
    <row r="67" spans="1:6" ht="15">
      <c r="A67" s="451" t="s">
        <v>705</v>
      </c>
      <c r="B67" s="445" t="s">
        <v>633</v>
      </c>
      <c r="C67" s="445" t="s">
        <v>658</v>
      </c>
      <c r="D67" s="445" t="s">
        <v>706</v>
      </c>
      <c r="E67" s="446"/>
      <c r="F67" s="447">
        <f>F68</f>
        <v>29220</v>
      </c>
    </row>
    <row r="68" spans="1:6" ht="38.25">
      <c r="A68" s="468" t="s">
        <v>707</v>
      </c>
      <c r="B68" s="445" t="s">
        <v>633</v>
      </c>
      <c r="C68" s="445" t="s">
        <v>658</v>
      </c>
      <c r="D68" s="445" t="s">
        <v>708</v>
      </c>
      <c r="E68" s="446"/>
      <c r="F68" s="447">
        <f>F69</f>
        <v>29220</v>
      </c>
    </row>
    <row r="69" spans="1:6" ht="37.5" customHeight="1">
      <c r="A69" s="454" t="s">
        <v>642</v>
      </c>
      <c r="B69" s="445" t="s">
        <v>633</v>
      </c>
      <c r="C69" s="445" t="s">
        <v>658</v>
      </c>
      <c r="D69" s="445" t="s">
        <v>708</v>
      </c>
      <c r="E69" s="456" t="s">
        <v>643</v>
      </c>
      <c r="F69" s="447">
        <f>22442+6778</f>
        <v>29220</v>
      </c>
    </row>
    <row r="70" spans="1:6" ht="15" hidden="1">
      <c r="A70" s="468" t="s">
        <v>709</v>
      </c>
      <c r="B70" s="445" t="s">
        <v>633</v>
      </c>
      <c r="C70" s="445" t="s">
        <v>710</v>
      </c>
      <c r="D70" s="445"/>
      <c r="E70" s="456"/>
      <c r="F70" s="447">
        <f>F71</f>
        <v>0</v>
      </c>
    </row>
    <row r="71" spans="1:6" ht="15" hidden="1">
      <c r="A71" s="451" t="s">
        <v>698</v>
      </c>
      <c r="B71" s="445" t="s">
        <v>633</v>
      </c>
      <c r="C71" s="445" t="s">
        <v>710</v>
      </c>
      <c r="D71" s="445" t="s">
        <v>699</v>
      </c>
      <c r="E71" s="456"/>
      <c r="F71" s="447">
        <f>F72</f>
        <v>0</v>
      </c>
    </row>
    <row r="72" spans="1:6" ht="15" hidden="1">
      <c r="A72" s="451" t="s">
        <v>705</v>
      </c>
      <c r="B72" s="445" t="s">
        <v>633</v>
      </c>
      <c r="C72" s="445" t="s">
        <v>710</v>
      </c>
      <c r="D72" s="445" t="s">
        <v>706</v>
      </c>
      <c r="E72" s="456"/>
      <c r="F72" s="447">
        <f>F73</f>
        <v>0</v>
      </c>
    </row>
    <row r="73" spans="1:6" ht="39" hidden="1">
      <c r="A73" s="463" t="s">
        <v>711</v>
      </c>
      <c r="B73" s="445" t="s">
        <v>633</v>
      </c>
      <c r="C73" s="445" t="s">
        <v>710</v>
      </c>
      <c r="D73" s="445" t="s">
        <v>712</v>
      </c>
      <c r="E73" s="456"/>
      <c r="F73" s="447">
        <f>F74</f>
        <v>0</v>
      </c>
    </row>
    <row r="74" spans="1:6" ht="15" hidden="1">
      <c r="A74" s="454" t="s">
        <v>704</v>
      </c>
      <c r="B74" s="445" t="s">
        <v>633</v>
      </c>
      <c r="C74" s="445" t="s">
        <v>710</v>
      </c>
      <c r="D74" s="445" t="s">
        <v>712</v>
      </c>
      <c r="E74" s="456" t="s">
        <v>655</v>
      </c>
      <c r="F74" s="447"/>
    </row>
    <row r="75" spans="1:6" ht="26.25">
      <c r="A75" s="451" t="s">
        <v>713</v>
      </c>
      <c r="B75" s="445" t="s">
        <v>633</v>
      </c>
      <c r="C75" s="445" t="s">
        <v>714</v>
      </c>
      <c r="D75" s="445"/>
      <c r="E75" s="446"/>
      <c r="F75" s="447">
        <f>F76</f>
        <v>559000</v>
      </c>
    </row>
    <row r="76" spans="1:6" ht="26.25">
      <c r="A76" s="469" t="s">
        <v>715</v>
      </c>
      <c r="B76" s="445" t="s">
        <v>633</v>
      </c>
      <c r="C76" s="445" t="s">
        <v>714</v>
      </c>
      <c r="D76" s="470" t="s">
        <v>716</v>
      </c>
      <c r="E76" s="456"/>
      <c r="F76" s="447">
        <f>F77</f>
        <v>559000</v>
      </c>
    </row>
    <row r="77" spans="1:6" ht="15">
      <c r="A77" s="469" t="s">
        <v>717</v>
      </c>
      <c r="B77" s="445" t="s">
        <v>633</v>
      </c>
      <c r="C77" s="445" t="s">
        <v>714</v>
      </c>
      <c r="D77" s="470" t="s">
        <v>718</v>
      </c>
      <c r="E77" s="456"/>
      <c r="F77" s="447">
        <f>F78</f>
        <v>559000</v>
      </c>
    </row>
    <row r="78" spans="1:6" ht="26.25">
      <c r="A78" s="452" t="s">
        <v>640</v>
      </c>
      <c r="B78" s="445" t="s">
        <v>633</v>
      </c>
      <c r="C78" s="445" t="s">
        <v>714</v>
      </c>
      <c r="D78" s="470" t="s">
        <v>719</v>
      </c>
      <c r="E78" s="446"/>
      <c r="F78" s="447">
        <f>F79+F80+F81</f>
        <v>559000</v>
      </c>
    </row>
    <row r="79" spans="1:6" ht="38.25" customHeight="1">
      <c r="A79" s="454" t="s">
        <v>642</v>
      </c>
      <c r="B79" s="445" t="s">
        <v>633</v>
      </c>
      <c r="C79" s="445" t="s">
        <v>714</v>
      </c>
      <c r="D79" s="470" t="s">
        <v>719</v>
      </c>
      <c r="E79" s="456" t="s">
        <v>643</v>
      </c>
      <c r="F79" s="447">
        <v>559000</v>
      </c>
    </row>
    <row r="80" spans="1:6" ht="15" hidden="1">
      <c r="A80" s="454" t="s">
        <v>704</v>
      </c>
      <c r="B80" s="445" t="s">
        <v>633</v>
      </c>
      <c r="C80" s="445" t="s">
        <v>714</v>
      </c>
      <c r="D80" s="470" t="s">
        <v>719</v>
      </c>
      <c r="E80" s="456" t="s">
        <v>655</v>
      </c>
      <c r="F80" s="447"/>
    </row>
    <row r="81" spans="1:6" ht="15" hidden="1">
      <c r="A81" s="466" t="s">
        <v>696</v>
      </c>
      <c r="B81" s="445" t="s">
        <v>633</v>
      </c>
      <c r="C81" s="445" t="s">
        <v>714</v>
      </c>
      <c r="D81" s="470" t="s">
        <v>719</v>
      </c>
      <c r="E81" s="456" t="s">
        <v>697</v>
      </c>
      <c r="F81" s="447"/>
    </row>
    <row r="82" spans="1:6" ht="15" hidden="1">
      <c r="A82" s="471" t="s">
        <v>720</v>
      </c>
      <c r="B82" s="445" t="s">
        <v>633</v>
      </c>
      <c r="C82" s="445" t="s">
        <v>721</v>
      </c>
      <c r="D82" s="470"/>
      <c r="E82" s="456"/>
      <c r="F82" s="447">
        <f>F83</f>
        <v>0</v>
      </c>
    </row>
    <row r="83" spans="1:6" ht="15" hidden="1">
      <c r="A83" s="451" t="s">
        <v>698</v>
      </c>
      <c r="B83" s="445" t="s">
        <v>633</v>
      </c>
      <c r="C83" s="445" t="s">
        <v>721</v>
      </c>
      <c r="D83" s="470" t="s">
        <v>699</v>
      </c>
      <c r="E83" s="456"/>
      <c r="F83" s="447">
        <f>F84</f>
        <v>0</v>
      </c>
    </row>
    <row r="84" spans="1:6" ht="15" hidden="1">
      <c r="A84" s="466" t="s">
        <v>722</v>
      </c>
      <c r="B84" s="445" t="s">
        <v>633</v>
      </c>
      <c r="C84" s="445" t="s">
        <v>721</v>
      </c>
      <c r="D84" s="470" t="s">
        <v>723</v>
      </c>
      <c r="E84" s="456"/>
      <c r="F84" s="447">
        <f>F85</f>
        <v>0</v>
      </c>
    </row>
    <row r="85" spans="1:6" ht="15" hidden="1">
      <c r="A85" s="466" t="s">
        <v>724</v>
      </c>
      <c r="B85" s="445" t="s">
        <v>633</v>
      </c>
      <c r="C85" s="445" t="s">
        <v>721</v>
      </c>
      <c r="D85" s="470" t="s">
        <v>725</v>
      </c>
      <c r="E85" s="456"/>
      <c r="F85" s="447">
        <f>F86</f>
        <v>0</v>
      </c>
    </row>
    <row r="86" spans="1:6" ht="15" hidden="1">
      <c r="A86" s="466" t="s">
        <v>696</v>
      </c>
      <c r="B86" s="445" t="s">
        <v>633</v>
      </c>
      <c r="C86" s="445" t="s">
        <v>721</v>
      </c>
      <c r="D86" s="470" t="s">
        <v>725</v>
      </c>
      <c r="E86" s="456" t="s">
        <v>697</v>
      </c>
      <c r="F86" s="447"/>
    </row>
    <row r="87" spans="1:6" ht="15">
      <c r="A87" s="451" t="s">
        <v>726</v>
      </c>
      <c r="B87" s="445" t="s">
        <v>633</v>
      </c>
      <c r="C87" s="445" t="s">
        <v>727</v>
      </c>
      <c r="D87" s="445"/>
      <c r="E87" s="446"/>
      <c r="F87" s="447">
        <f>F89</f>
        <v>50000</v>
      </c>
    </row>
    <row r="88" spans="1:6" ht="15">
      <c r="A88" s="454" t="s">
        <v>728</v>
      </c>
      <c r="B88" s="445" t="s">
        <v>633</v>
      </c>
      <c r="C88" s="445" t="s">
        <v>727</v>
      </c>
      <c r="D88" s="455" t="s">
        <v>729</v>
      </c>
      <c r="E88" s="472" t="s">
        <v>730</v>
      </c>
      <c r="F88" s="447">
        <f>F89</f>
        <v>50000</v>
      </c>
    </row>
    <row r="89" spans="1:6" ht="15">
      <c r="A89" s="454" t="s">
        <v>726</v>
      </c>
      <c r="B89" s="445" t="s">
        <v>633</v>
      </c>
      <c r="C89" s="445" t="s">
        <v>727</v>
      </c>
      <c r="D89" s="455" t="s">
        <v>731</v>
      </c>
      <c r="E89" s="472" t="s">
        <v>730</v>
      </c>
      <c r="F89" s="447">
        <f>F90</f>
        <v>50000</v>
      </c>
    </row>
    <row r="90" spans="1:6" ht="15">
      <c r="A90" s="452" t="s">
        <v>732</v>
      </c>
      <c r="B90" s="445" t="s">
        <v>633</v>
      </c>
      <c r="C90" s="445" t="s">
        <v>727</v>
      </c>
      <c r="D90" s="455" t="s">
        <v>733</v>
      </c>
      <c r="E90" s="472" t="s">
        <v>730</v>
      </c>
      <c r="F90" s="447">
        <f>F91</f>
        <v>50000</v>
      </c>
    </row>
    <row r="91" spans="1:6" ht="15">
      <c r="A91" s="454" t="s">
        <v>696</v>
      </c>
      <c r="B91" s="445" t="s">
        <v>633</v>
      </c>
      <c r="C91" s="445" t="s">
        <v>727</v>
      </c>
      <c r="D91" s="455" t="s">
        <v>733</v>
      </c>
      <c r="E91" s="472" t="s">
        <v>697</v>
      </c>
      <c r="F91" s="447">
        <f>50000</f>
        <v>50000</v>
      </c>
    </row>
    <row r="92" spans="1:11" ht="15">
      <c r="A92" s="451" t="s">
        <v>734</v>
      </c>
      <c r="B92" s="445" t="s">
        <v>633</v>
      </c>
      <c r="C92" s="445" t="s">
        <v>735</v>
      </c>
      <c r="D92" s="445"/>
      <c r="E92" s="446"/>
      <c r="F92" s="447">
        <f>F93+F111+F142+F153+F159+F169+F121+F133+F126+F116+F148</f>
        <v>30375093.560000002</v>
      </c>
      <c r="K92" s="453"/>
    </row>
    <row r="93" spans="1:6" ht="26.25">
      <c r="A93" s="451" t="s">
        <v>736</v>
      </c>
      <c r="B93" s="445" t="s">
        <v>633</v>
      </c>
      <c r="C93" s="445" t="s">
        <v>735</v>
      </c>
      <c r="D93" s="445" t="s">
        <v>660</v>
      </c>
      <c r="E93" s="446"/>
      <c r="F93" s="447">
        <f>F102+F98+F94</f>
        <v>164900</v>
      </c>
    </row>
    <row r="94" spans="1:6" ht="51">
      <c r="A94" s="473" t="s">
        <v>737</v>
      </c>
      <c r="B94" s="445" t="s">
        <v>633</v>
      </c>
      <c r="C94" s="445" t="s">
        <v>735</v>
      </c>
      <c r="D94" s="445" t="s">
        <v>738</v>
      </c>
      <c r="E94" s="446"/>
      <c r="F94" s="447">
        <f>F95</f>
        <v>14000</v>
      </c>
    </row>
    <row r="95" spans="1:6" ht="25.5">
      <c r="A95" s="473" t="s">
        <v>739</v>
      </c>
      <c r="B95" s="445" t="s">
        <v>633</v>
      </c>
      <c r="C95" s="445" t="s">
        <v>735</v>
      </c>
      <c r="D95" s="445" t="s">
        <v>740</v>
      </c>
      <c r="E95" s="446"/>
      <c r="F95" s="447">
        <f>F96</f>
        <v>14000</v>
      </c>
    </row>
    <row r="96" spans="1:6" ht="15">
      <c r="A96" s="454" t="s">
        <v>741</v>
      </c>
      <c r="B96" s="445" t="s">
        <v>633</v>
      </c>
      <c r="C96" s="445" t="s">
        <v>735</v>
      </c>
      <c r="D96" s="474" t="s">
        <v>742</v>
      </c>
      <c r="E96" s="446"/>
      <c r="F96" s="447">
        <f>F97</f>
        <v>14000</v>
      </c>
    </row>
    <row r="97" spans="1:6" ht="26.25">
      <c r="A97" s="454" t="s">
        <v>654</v>
      </c>
      <c r="B97" s="445" t="s">
        <v>633</v>
      </c>
      <c r="C97" s="445" t="s">
        <v>735</v>
      </c>
      <c r="D97" s="474" t="s">
        <v>742</v>
      </c>
      <c r="E97" s="446" t="s">
        <v>655</v>
      </c>
      <c r="F97" s="447">
        <v>14000</v>
      </c>
    </row>
    <row r="98" spans="1:6" s="461" customFormat="1" ht="51.75">
      <c r="A98" s="454" t="s">
        <v>661</v>
      </c>
      <c r="B98" s="457" t="s">
        <v>633</v>
      </c>
      <c r="C98" s="457" t="s">
        <v>735</v>
      </c>
      <c r="D98" s="457" t="s">
        <v>662</v>
      </c>
      <c r="E98" s="464"/>
      <c r="F98" s="460">
        <f>F99</f>
        <v>15000</v>
      </c>
    </row>
    <row r="99" spans="1:6" ht="25.5">
      <c r="A99" s="475" t="s">
        <v>743</v>
      </c>
      <c r="B99" s="445" t="s">
        <v>633</v>
      </c>
      <c r="C99" s="445" t="s">
        <v>735</v>
      </c>
      <c r="D99" s="445" t="s">
        <v>744</v>
      </c>
      <c r="E99" s="446"/>
      <c r="F99" s="447">
        <f>F100</f>
        <v>15000</v>
      </c>
    </row>
    <row r="100" spans="1:6" ht="25.5">
      <c r="A100" s="473" t="s">
        <v>745</v>
      </c>
      <c r="B100" s="445" t="s">
        <v>633</v>
      </c>
      <c r="C100" s="445" t="s">
        <v>735</v>
      </c>
      <c r="D100" s="474" t="s">
        <v>746</v>
      </c>
      <c r="E100" s="446"/>
      <c r="F100" s="447">
        <f>F101</f>
        <v>15000</v>
      </c>
    </row>
    <row r="101" spans="1:6" ht="26.25">
      <c r="A101" s="454" t="s">
        <v>654</v>
      </c>
      <c r="B101" s="445" t="s">
        <v>633</v>
      </c>
      <c r="C101" s="445" t="s">
        <v>735</v>
      </c>
      <c r="D101" s="474" t="s">
        <v>746</v>
      </c>
      <c r="E101" s="446" t="s">
        <v>655</v>
      </c>
      <c r="F101" s="447">
        <v>15000</v>
      </c>
    </row>
    <row r="102" spans="1:6" s="461" customFormat="1" ht="51.75">
      <c r="A102" s="452" t="s">
        <v>747</v>
      </c>
      <c r="B102" s="457" t="s">
        <v>633</v>
      </c>
      <c r="C102" s="457" t="s">
        <v>735</v>
      </c>
      <c r="D102" s="457" t="s">
        <v>668</v>
      </c>
      <c r="E102" s="464"/>
      <c r="F102" s="460">
        <f>F103+F108</f>
        <v>135900</v>
      </c>
    </row>
    <row r="103" spans="1:6" ht="26.25">
      <c r="A103" s="452" t="s">
        <v>748</v>
      </c>
      <c r="B103" s="445" t="s">
        <v>633</v>
      </c>
      <c r="C103" s="445" t="s">
        <v>735</v>
      </c>
      <c r="D103" s="445" t="s">
        <v>749</v>
      </c>
      <c r="E103" s="446"/>
      <c r="F103" s="447">
        <f>F104+F106</f>
        <v>125900</v>
      </c>
    </row>
    <row r="104" spans="1:6" ht="26.25">
      <c r="A104" s="452" t="s">
        <v>750</v>
      </c>
      <c r="B104" s="445" t="s">
        <v>633</v>
      </c>
      <c r="C104" s="445" t="s">
        <v>735</v>
      </c>
      <c r="D104" s="445" t="s">
        <v>751</v>
      </c>
      <c r="E104" s="446"/>
      <c r="F104" s="447">
        <f>F105</f>
        <v>122900</v>
      </c>
    </row>
    <row r="105" spans="1:6" ht="26.25">
      <c r="A105" s="454" t="s">
        <v>752</v>
      </c>
      <c r="B105" s="445" t="s">
        <v>633</v>
      </c>
      <c r="C105" s="445" t="s">
        <v>735</v>
      </c>
      <c r="D105" s="445" t="s">
        <v>751</v>
      </c>
      <c r="E105" s="456" t="s">
        <v>753</v>
      </c>
      <c r="F105" s="447">
        <v>122900</v>
      </c>
    </row>
    <row r="106" spans="1:6" ht="15">
      <c r="A106" s="452" t="s">
        <v>754</v>
      </c>
      <c r="B106" s="445" t="s">
        <v>633</v>
      </c>
      <c r="C106" s="445" t="s">
        <v>735</v>
      </c>
      <c r="D106" s="445" t="s">
        <v>755</v>
      </c>
      <c r="E106" s="456"/>
      <c r="F106" s="447">
        <f>F107</f>
        <v>3000</v>
      </c>
    </row>
    <row r="107" spans="1:6" ht="26.25">
      <c r="A107" s="454" t="s">
        <v>752</v>
      </c>
      <c r="B107" s="445" t="s">
        <v>633</v>
      </c>
      <c r="C107" s="445" t="s">
        <v>735</v>
      </c>
      <c r="D107" s="445" t="s">
        <v>755</v>
      </c>
      <c r="E107" s="456" t="s">
        <v>753</v>
      </c>
      <c r="F107" s="447">
        <v>3000</v>
      </c>
    </row>
    <row r="108" spans="1:6" ht="25.5">
      <c r="A108" s="465" t="s">
        <v>669</v>
      </c>
      <c r="B108" s="445" t="s">
        <v>633</v>
      </c>
      <c r="C108" s="445" t="s">
        <v>735</v>
      </c>
      <c r="D108" s="445" t="s">
        <v>670</v>
      </c>
      <c r="E108" s="456"/>
      <c r="F108" s="447">
        <f>F109</f>
        <v>10000</v>
      </c>
    </row>
    <row r="109" spans="1:6" ht="15">
      <c r="A109" s="475" t="s">
        <v>756</v>
      </c>
      <c r="B109" s="445" t="s">
        <v>633</v>
      </c>
      <c r="C109" s="445" t="s">
        <v>735</v>
      </c>
      <c r="D109" s="445" t="s">
        <v>757</v>
      </c>
      <c r="E109" s="456"/>
      <c r="F109" s="447">
        <f>F110</f>
        <v>10000</v>
      </c>
    </row>
    <row r="110" spans="1:6" ht="26.25">
      <c r="A110" s="454" t="s">
        <v>654</v>
      </c>
      <c r="B110" s="445" t="s">
        <v>633</v>
      </c>
      <c r="C110" s="445" t="s">
        <v>735</v>
      </c>
      <c r="D110" s="445" t="s">
        <v>757</v>
      </c>
      <c r="E110" s="456" t="s">
        <v>655</v>
      </c>
      <c r="F110" s="447">
        <v>10000</v>
      </c>
    </row>
    <row r="111" spans="1:6" ht="38.25">
      <c r="A111" s="476" t="s">
        <v>758</v>
      </c>
      <c r="B111" s="445" t="s">
        <v>633</v>
      </c>
      <c r="C111" s="445" t="s">
        <v>735</v>
      </c>
      <c r="D111" s="445" t="s">
        <v>759</v>
      </c>
      <c r="E111" s="456"/>
      <c r="F111" s="447">
        <f>F112</f>
        <v>1084073</v>
      </c>
    </row>
    <row r="112" spans="1:6" s="461" customFormat="1" ht="51">
      <c r="A112" s="477" t="s">
        <v>760</v>
      </c>
      <c r="B112" s="457" t="s">
        <v>633</v>
      </c>
      <c r="C112" s="457" t="s">
        <v>735</v>
      </c>
      <c r="D112" s="457" t="s">
        <v>761</v>
      </c>
      <c r="E112" s="459"/>
      <c r="F112" s="460">
        <f>F113</f>
        <v>1084073</v>
      </c>
    </row>
    <row r="113" spans="1:6" ht="25.5">
      <c r="A113" s="477" t="s">
        <v>762</v>
      </c>
      <c r="B113" s="445" t="s">
        <v>633</v>
      </c>
      <c r="C113" s="445" t="s">
        <v>735</v>
      </c>
      <c r="D113" s="445" t="s">
        <v>763</v>
      </c>
      <c r="E113" s="456"/>
      <c r="F113" s="447">
        <f>F114</f>
        <v>1084073</v>
      </c>
    </row>
    <row r="114" spans="1:6" ht="15">
      <c r="A114" s="477" t="s">
        <v>764</v>
      </c>
      <c r="B114" s="445" t="s">
        <v>633</v>
      </c>
      <c r="C114" s="445" t="s">
        <v>735</v>
      </c>
      <c r="D114" s="445" t="s">
        <v>765</v>
      </c>
      <c r="E114" s="456"/>
      <c r="F114" s="447">
        <f>F115</f>
        <v>1084073</v>
      </c>
    </row>
    <row r="115" spans="1:6" ht="24.75" customHeight="1">
      <c r="A115" s="454" t="s">
        <v>654</v>
      </c>
      <c r="B115" s="445" t="s">
        <v>633</v>
      </c>
      <c r="C115" s="445" t="s">
        <v>735</v>
      </c>
      <c r="D115" s="445" t="s">
        <v>765</v>
      </c>
      <c r="E115" s="446" t="s">
        <v>655</v>
      </c>
      <c r="F115" s="447">
        <f>687100+310000+37422+49551</f>
        <v>1084073</v>
      </c>
    </row>
    <row r="116" spans="1:6" ht="39" hidden="1">
      <c r="A116" s="444" t="s">
        <v>766</v>
      </c>
      <c r="B116" s="445" t="s">
        <v>633</v>
      </c>
      <c r="C116" s="445" t="s">
        <v>735</v>
      </c>
      <c r="D116" s="455" t="s">
        <v>674</v>
      </c>
      <c r="E116" s="446"/>
      <c r="F116" s="447">
        <f>F117</f>
        <v>0</v>
      </c>
    </row>
    <row r="117" spans="1:6" s="461" customFormat="1" ht="89.25" hidden="1">
      <c r="A117" s="465" t="s">
        <v>767</v>
      </c>
      <c r="B117" s="445" t="s">
        <v>633</v>
      </c>
      <c r="C117" s="445" t="s">
        <v>735</v>
      </c>
      <c r="D117" s="458" t="s">
        <v>676</v>
      </c>
      <c r="E117" s="464"/>
      <c r="F117" s="460">
        <f>F118</f>
        <v>0</v>
      </c>
    </row>
    <row r="118" spans="1:6" ht="25.5" hidden="1">
      <c r="A118" s="466" t="s">
        <v>677</v>
      </c>
      <c r="B118" s="445" t="s">
        <v>633</v>
      </c>
      <c r="C118" s="445" t="s">
        <v>735</v>
      </c>
      <c r="D118" s="455" t="s">
        <v>678</v>
      </c>
      <c r="E118" s="446"/>
      <c r="F118" s="447">
        <f>F119</f>
        <v>0</v>
      </c>
    </row>
    <row r="119" spans="1:6" ht="26.25" hidden="1">
      <c r="A119" s="454" t="s">
        <v>768</v>
      </c>
      <c r="B119" s="445" t="s">
        <v>633</v>
      </c>
      <c r="C119" s="445" t="s">
        <v>735</v>
      </c>
      <c r="D119" s="455" t="s">
        <v>769</v>
      </c>
      <c r="E119" s="446"/>
      <c r="F119" s="447">
        <f>F120</f>
        <v>0</v>
      </c>
    </row>
    <row r="120" spans="1:6" ht="26.25" hidden="1">
      <c r="A120" s="454" t="s">
        <v>654</v>
      </c>
      <c r="B120" s="445" t="s">
        <v>633</v>
      </c>
      <c r="C120" s="445" t="s">
        <v>735</v>
      </c>
      <c r="D120" s="455" t="s">
        <v>769</v>
      </c>
      <c r="E120" s="456" t="s">
        <v>655</v>
      </c>
      <c r="F120" s="447"/>
    </row>
    <row r="121" spans="1:6" ht="1.5" customHeight="1" hidden="1">
      <c r="A121" s="476" t="s">
        <v>770</v>
      </c>
      <c r="B121" s="445" t="s">
        <v>633</v>
      </c>
      <c r="C121" s="445" t="s">
        <v>735</v>
      </c>
      <c r="D121" s="445" t="s">
        <v>771</v>
      </c>
      <c r="E121" s="446"/>
      <c r="F121" s="447">
        <f>F122</f>
        <v>0</v>
      </c>
    </row>
    <row r="122" spans="1:6" ht="63.75" hidden="1">
      <c r="A122" s="477" t="s">
        <v>772</v>
      </c>
      <c r="B122" s="445" t="s">
        <v>633</v>
      </c>
      <c r="C122" s="445" t="s">
        <v>735</v>
      </c>
      <c r="D122" s="445" t="s">
        <v>773</v>
      </c>
      <c r="E122" s="446"/>
      <c r="F122" s="447">
        <f>F123</f>
        <v>0</v>
      </c>
    </row>
    <row r="123" spans="1:6" ht="25.5" hidden="1">
      <c r="A123" s="478" t="s">
        <v>774</v>
      </c>
      <c r="B123" s="445" t="s">
        <v>633</v>
      </c>
      <c r="C123" s="445" t="s">
        <v>735</v>
      </c>
      <c r="D123" s="445" t="s">
        <v>775</v>
      </c>
      <c r="E123" s="446"/>
      <c r="F123" s="447">
        <f>F124</f>
        <v>0</v>
      </c>
    </row>
    <row r="124" spans="1:6" ht="25.5" hidden="1">
      <c r="A124" s="466" t="s">
        <v>776</v>
      </c>
      <c r="B124" s="445" t="s">
        <v>633</v>
      </c>
      <c r="C124" s="445" t="s">
        <v>735</v>
      </c>
      <c r="D124" s="445" t="s">
        <v>777</v>
      </c>
      <c r="E124" s="446"/>
      <c r="F124" s="447">
        <f>F125</f>
        <v>0</v>
      </c>
    </row>
    <row r="125" spans="1:6" ht="26.25" hidden="1">
      <c r="A125" s="454" t="s">
        <v>654</v>
      </c>
      <c r="B125" s="445" t="s">
        <v>633</v>
      </c>
      <c r="C125" s="445" t="s">
        <v>735</v>
      </c>
      <c r="D125" s="445" t="s">
        <v>777</v>
      </c>
      <c r="E125" s="446" t="s">
        <v>655</v>
      </c>
      <c r="F125" s="447"/>
    </row>
    <row r="126" spans="1:6" ht="51.75">
      <c r="A126" s="451" t="s">
        <v>681</v>
      </c>
      <c r="B126" s="445" t="s">
        <v>633</v>
      </c>
      <c r="C126" s="445" t="s">
        <v>735</v>
      </c>
      <c r="D126" s="455" t="s">
        <v>682</v>
      </c>
      <c r="E126" s="446"/>
      <c r="F126" s="447">
        <f>F127</f>
        <v>70000</v>
      </c>
    </row>
    <row r="127" spans="1:6" ht="63.75">
      <c r="A127" s="479" t="s">
        <v>778</v>
      </c>
      <c r="B127" s="445" t="s">
        <v>633</v>
      </c>
      <c r="C127" s="445" t="s">
        <v>735</v>
      </c>
      <c r="D127" s="455" t="s">
        <v>779</v>
      </c>
      <c r="E127" s="446"/>
      <c r="F127" s="447">
        <f>F128</f>
        <v>70000</v>
      </c>
    </row>
    <row r="128" spans="1:6" ht="38.25">
      <c r="A128" s="465" t="s">
        <v>780</v>
      </c>
      <c r="B128" s="445" t="s">
        <v>633</v>
      </c>
      <c r="C128" s="445" t="s">
        <v>735</v>
      </c>
      <c r="D128" s="470" t="s">
        <v>781</v>
      </c>
      <c r="E128" s="446"/>
      <c r="F128" s="447">
        <f>F129+F131</f>
        <v>70000</v>
      </c>
    </row>
    <row r="129" spans="1:6" ht="26.25">
      <c r="A129" s="454" t="s">
        <v>782</v>
      </c>
      <c r="B129" s="445" t="s">
        <v>633</v>
      </c>
      <c r="C129" s="445" t="s">
        <v>735</v>
      </c>
      <c r="D129" s="470" t="s">
        <v>783</v>
      </c>
      <c r="E129" s="446"/>
      <c r="F129" s="447">
        <f>F130</f>
        <v>30000</v>
      </c>
    </row>
    <row r="130" spans="1:6" ht="26.25">
      <c r="A130" s="454" t="s">
        <v>654</v>
      </c>
      <c r="B130" s="445" t="s">
        <v>633</v>
      </c>
      <c r="C130" s="445" t="s">
        <v>735</v>
      </c>
      <c r="D130" s="470" t="s">
        <v>783</v>
      </c>
      <c r="E130" s="446" t="s">
        <v>655</v>
      </c>
      <c r="F130" s="447">
        <v>30000</v>
      </c>
    </row>
    <row r="131" spans="1:6" ht="26.25">
      <c r="A131" s="454" t="s">
        <v>784</v>
      </c>
      <c r="B131" s="445" t="s">
        <v>633</v>
      </c>
      <c r="C131" s="445" t="s">
        <v>735</v>
      </c>
      <c r="D131" s="470" t="s">
        <v>785</v>
      </c>
      <c r="E131" s="446"/>
      <c r="F131" s="447">
        <f>F132</f>
        <v>40000</v>
      </c>
    </row>
    <row r="132" spans="1:6" ht="26.25">
      <c r="A132" s="454" t="s">
        <v>654</v>
      </c>
      <c r="B132" s="445" t="s">
        <v>633</v>
      </c>
      <c r="C132" s="445" t="s">
        <v>735</v>
      </c>
      <c r="D132" s="470" t="s">
        <v>785</v>
      </c>
      <c r="E132" s="446" t="s">
        <v>655</v>
      </c>
      <c r="F132" s="447">
        <f>40000</f>
        <v>40000</v>
      </c>
    </row>
    <row r="133" spans="1:6" ht="38.25">
      <c r="A133" s="480" t="s">
        <v>786</v>
      </c>
      <c r="B133" s="445" t="s">
        <v>633</v>
      </c>
      <c r="C133" s="445" t="s">
        <v>735</v>
      </c>
      <c r="D133" s="474" t="s">
        <v>787</v>
      </c>
      <c r="E133" s="446"/>
      <c r="F133" s="447">
        <f>F134+F138</f>
        <v>268500</v>
      </c>
    </row>
    <row r="134" spans="1:6" ht="38.25">
      <c r="A134" s="475" t="s">
        <v>788</v>
      </c>
      <c r="B134" s="445" t="s">
        <v>633</v>
      </c>
      <c r="C134" s="445" t="s">
        <v>735</v>
      </c>
      <c r="D134" s="474" t="s">
        <v>789</v>
      </c>
      <c r="E134" s="446"/>
      <c r="F134" s="447">
        <f>F135</f>
        <v>15000</v>
      </c>
    </row>
    <row r="135" spans="1:6" ht="25.5">
      <c r="A135" s="475" t="s">
        <v>790</v>
      </c>
      <c r="B135" s="445" t="s">
        <v>633</v>
      </c>
      <c r="C135" s="445" t="s">
        <v>735</v>
      </c>
      <c r="D135" s="474" t="s">
        <v>791</v>
      </c>
      <c r="E135" s="446"/>
      <c r="F135" s="447">
        <f>F136</f>
        <v>15000</v>
      </c>
    </row>
    <row r="136" spans="1:6" ht="26.25">
      <c r="A136" s="454" t="s">
        <v>792</v>
      </c>
      <c r="B136" s="445" t="s">
        <v>633</v>
      </c>
      <c r="C136" s="445" t="s">
        <v>735</v>
      </c>
      <c r="D136" s="474" t="s">
        <v>793</v>
      </c>
      <c r="E136" s="446"/>
      <c r="F136" s="447">
        <f>F137</f>
        <v>15000</v>
      </c>
    </row>
    <row r="137" spans="1:6" ht="26.25">
      <c r="A137" s="454" t="s">
        <v>654</v>
      </c>
      <c r="B137" s="445" t="s">
        <v>633</v>
      </c>
      <c r="C137" s="445" t="s">
        <v>735</v>
      </c>
      <c r="D137" s="474" t="s">
        <v>793</v>
      </c>
      <c r="E137" s="446" t="s">
        <v>655</v>
      </c>
      <c r="F137" s="447">
        <v>15000</v>
      </c>
    </row>
    <row r="138" spans="1:6" ht="51">
      <c r="A138" s="475" t="s">
        <v>794</v>
      </c>
      <c r="B138" s="445" t="s">
        <v>633</v>
      </c>
      <c r="C138" s="445" t="s">
        <v>735</v>
      </c>
      <c r="D138" s="474" t="s">
        <v>795</v>
      </c>
      <c r="E138" s="446"/>
      <c r="F138" s="447">
        <f>F139</f>
        <v>253500</v>
      </c>
    </row>
    <row r="139" spans="1:6" ht="15">
      <c r="A139" s="475" t="s">
        <v>796</v>
      </c>
      <c r="B139" s="445" t="s">
        <v>633</v>
      </c>
      <c r="C139" s="445" t="s">
        <v>735</v>
      </c>
      <c r="D139" s="474" t="s">
        <v>797</v>
      </c>
      <c r="E139" s="446"/>
      <c r="F139" s="447">
        <f>F140</f>
        <v>253500</v>
      </c>
    </row>
    <row r="140" spans="1:6" ht="15">
      <c r="A140" s="475" t="s">
        <v>756</v>
      </c>
      <c r="B140" s="445" t="s">
        <v>633</v>
      </c>
      <c r="C140" s="445" t="s">
        <v>735</v>
      </c>
      <c r="D140" s="474" t="s">
        <v>798</v>
      </c>
      <c r="E140" s="446"/>
      <c r="F140" s="447">
        <f>F141</f>
        <v>253500</v>
      </c>
    </row>
    <row r="141" spans="1:6" ht="26.25">
      <c r="A141" s="454" t="s">
        <v>654</v>
      </c>
      <c r="B141" s="445" t="s">
        <v>633</v>
      </c>
      <c r="C141" s="445" t="s">
        <v>735</v>
      </c>
      <c r="D141" s="474" t="s">
        <v>798</v>
      </c>
      <c r="E141" s="446" t="s">
        <v>655</v>
      </c>
      <c r="F141" s="447">
        <v>253500</v>
      </c>
    </row>
    <row r="142" spans="1:6" ht="39">
      <c r="A142" s="454" t="s">
        <v>799</v>
      </c>
      <c r="B142" s="445" t="s">
        <v>633</v>
      </c>
      <c r="C142" s="445" t="s">
        <v>735</v>
      </c>
      <c r="D142" s="474" t="s">
        <v>800</v>
      </c>
      <c r="E142" s="481"/>
      <c r="F142" s="447">
        <f>F143</f>
        <v>2746541</v>
      </c>
    </row>
    <row r="143" spans="1:6" s="461" customFormat="1" ht="51.75">
      <c r="A143" s="454" t="s">
        <v>801</v>
      </c>
      <c r="B143" s="457" t="s">
        <v>633</v>
      </c>
      <c r="C143" s="457" t="s">
        <v>735</v>
      </c>
      <c r="D143" s="482" t="s">
        <v>802</v>
      </c>
      <c r="E143" s="483"/>
      <c r="F143" s="460">
        <f>F145</f>
        <v>2746541</v>
      </c>
    </row>
    <row r="144" spans="1:6" ht="51">
      <c r="A144" s="484" t="s">
        <v>803</v>
      </c>
      <c r="B144" s="445" t="s">
        <v>633</v>
      </c>
      <c r="C144" s="445" t="s">
        <v>735</v>
      </c>
      <c r="D144" s="474" t="s">
        <v>804</v>
      </c>
      <c r="E144" s="481"/>
      <c r="F144" s="447">
        <f>F145</f>
        <v>2746541</v>
      </c>
    </row>
    <row r="145" spans="1:6" ht="26.25">
      <c r="A145" s="452" t="s">
        <v>805</v>
      </c>
      <c r="B145" s="445" t="s">
        <v>633</v>
      </c>
      <c r="C145" s="445" t="s">
        <v>735</v>
      </c>
      <c r="D145" s="474" t="s">
        <v>806</v>
      </c>
      <c r="E145" s="481"/>
      <c r="F145" s="447">
        <f>F146+F147</f>
        <v>2746541</v>
      </c>
    </row>
    <row r="146" spans="1:6" ht="39">
      <c r="A146" s="454" t="s">
        <v>642</v>
      </c>
      <c r="B146" s="445" t="s">
        <v>633</v>
      </c>
      <c r="C146" s="445" t="s">
        <v>735</v>
      </c>
      <c r="D146" s="474" t="s">
        <v>806</v>
      </c>
      <c r="E146" s="481" t="s">
        <v>643</v>
      </c>
      <c r="F146" s="447">
        <v>765394</v>
      </c>
    </row>
    <row r="147" spans="1:6" ht="26.25">
      <c r="A147" s="454" t="s">
        <v>654</v>
      </c>
      <c r="B147" s="445" t="s">
        <v>633</v>
      </c>
      <c r="C147" s="445" t="s">
        <v>735</v>
      </c>
      <c r="D147" s="474" t="s">
        <v>806</v>
      </c>
      <c r="E147" s="481" t="s">
        <v>655</v>
      </c>
      <c r="F147" s="447">
        <v>1981147</v>
      </c>
    </row>
    <row r="148" spans="1:6" ht="15">
      <c r="A148" s="454" t="s">
        <v>691</v>
      </c>
      <c r="B148" s="445" t="s">
        <v>633</v>
      </c>
      <c r="C148" s="445" t="s">
        <v>735</v>
      </c>
      <c r="D148" s="445" t="s">
        <v>692</v>
      </c>
      <c r="E148" s="481"/>
      <c r="F148" s="447">
        <f>F149</f>
        <v>290000</v>
      </c>
    </row>
    <row r="149" spans="1:6" ht="15">
      <c r="A149" s="452" t="s">
        <v>693</v>
      </c>
      <c r="B149" s="445" t="s">
        <v>633</v>
      </c>
      <c r="C149" s="445" t="s">
        <v>735</v>
      </c>
      <c r="D149" s="445" t="s">
        <v>694</v>
      </c>
      <c r="E149" s="481"/>
      <c r="F149" s="447">
        <f>F150</f>
        <v>290000</v>
      </c>
    </row>
    <row r="150" spans="1:6" ht="25.5">
      <c r="A150" s="473" t="s">
        <v>807</v>
      </c>
      <c r="B150" s="445" t="s">
        <v>633</v>
      </c>
      <c r="C150" s="445" t="s">
        <v>735</v>
      </c>
      <c r="D150" s="445" t="s">
        <v>808</v>
      </c>
      <c r="E150" s="481"/>
      <c r="F150" s="447">
        <f>F151+F152</f>
        <v>290000</v>
      </c>
    </row>
    <row r="151" spans="1:6" ht="39">
      <c r="A151" s="454" t="s">
        <v>642</v>
      </c>
      <c r="B151" s="445" t="s">
        <v>633</v>
      </c>
      <c r="C151" s="445" t="s">
        <v>735</v>
      </c>
      <c r="D151" s="445" t="s">
        <v>808</v>
      </c>
      <c r="E151" s="481" t="s">
        <v>643</v>
      </c>
      <c r="F151" s="447">
        <f>168970+51030</f>
        <v>220000</v>
      </c>
    </row>
    <row r="152" spans="1:6" ht="26.25">
      <c r="A152" s="454" t="s">
        <v>654</v>
      </c>
      <c r="B152" s="445" t="s">
        <v>633</v>
      </c>
      <c r="C152" s="445" t="s">
        <v>735</v>
      </c>
      <c r="D152" s="445" t="s">
        <v>808</v>
      </c>
      <c r="E152" s="481" t="s">
        <v>655</v>
      </c>
      <c r="F152" s="447">
        <f>40000+30000</f>
        <v>70000</v>
      </c>
    </row>
    <row r="153" spans="1:6" ht="26.25">
      <c r="A153" s="454" t="s">
        <v>809</v>
      </c>
      <c r="B153" s="445" t="s">
        <v>633</v>
      </c>
      <c r="C153" s="445" t="s">
        <v>735</v>
      </c>
      <c r="D153" s="455" t="s">
        <v>810</v>
      </c>
      <c r="E153" s="481"/>
      <c r="F153" s="447">
        <f>F154</f>
        <v>2976707.56</v>
      </c>
    </row>
    <row r="154" spans="1:6" ht="15">
      <c r="A154" s="454" t="s">
        <v>811</v>
      </c>
      <c r="B154" s="445" t="s">
        <v>633</v>
      </c>
      <c r="C154" s="445" t="s">
        <v>735</v>
      </c>
      <c r="D154" s="455" t="s">
        <v>812</v>
      </c>
      <c r="E154" s="481"/>
      <c r="F154" s="447">
        <f>F155</f>
        <v>2976707.56</v>
      </c>
    </row>
    <row r="155" spans="1:8" ht="15.75">
      <c r="A155" s="451" t="s">
        <v>756</v>
      </c>
      <c r="B155" s="445" t="s">
        <v>633</v>
      </c>
      <c r="C155" s="445" t="s">
        <v>735</v>
      </c>
      <c r="D155" s="455" t="s">
        <v>813</v>
      </c>
      <c r="E155" s="481"/>
      <c r="F155" s="447">
        <f>F156+F158+F157</f>
        <v>2976707.56</v>
      </c>
      <c r="H155" s="434"/>
    </row>
    <row r="156" spans="1:6" ht="26.25">
      <c r="A156" s="454" t="s">
        <v>654</v>
      </c>
      <c r="B156" s="445" t="s">
        <v>633</v>
      </c>
      <c r="C156" s="445" t="s">
        <v>735</v>
      </c>
      <c r="D156" s="455" t="s">
        <v>813</v>
      </c>
      <c r="E156" s="481" t="s">
        <v>655</v>
      </c>
      <c r="F156" s="447">
        <f>10000+0.24+50000</f>
        <v>60000.24</v>
      </c>
    </row>
    <row r="157" spans="1:6" ht="15">
      <c r="A157" s="454" t="s">
        <v>814</v>
      </c>
      <c r="B157" s="445" t="s">
        <v>633</v>
      </c>
      <c r="C157" s="445" t="s">
        <v>735</v>
      </c>
      <c r="D157" s="455" t="s">
        <v>813</v>
      </c>
      <c r="E157" s="481" t="s">
        <v>815</v>
      </c>
      <c r="F157" s="447">
        <f>220000</f>
        <v>220000</v>
      </c>
    </row>
    <row r="158" spans="1:6" ht="15">
      <c r="A158" s="466" t="s">
        <v>696</v>
      </c>
      <c r="B158" s="445" t="s">
        <v>633</v>
      </c>
      <c r="C158" s="445" t="s">
        <v>735</v>
      </c>
      <c r="D158" s="455" t="s">
        <v>813</v>
      </c>
      <c r="E158" s="481" t="s">
        <v>697</v>
      </c>
      <c r="F158" s="447">
        <f>167900+67000+3521200-105748.68-68550-50947-2963820-177600+30000+2277273</f>
        <v>2696707.32</v>
      </c>
    </row>
    <row r="159" spans="1:6" ht="15">
      <c r="A159" s="451" t="s">
        <v>698</v>
      </c>
      <c r="B159" s="485" t="s">
        <v>633</v>
      </c>
      <c r="C159" s="445" t="s">
        <v>735</v>
      </c>
      <c r="D159" s="470" t="s">
        <v>699</v>
      </c>
      <c r="E159" s="456"/>
      <c r="F159" s="447">
        <f>F160</f>
        <v>22744372</v>
      </c>
    </row>
    <row r="160" spans="1:6" ht="15">
      <c r="A160" s="451" t="s">
        <v>705</v>
      </c>
      <c r="B160" s="445" t="s">
        <v>633</v>
      </c>
      <c r="C160" s="445" t="s">
        <v>735</v>
      </c>
      <c r="D160" s="445" t="s">
        <v>706</v>
      </c>
      <c r="E160" s="446"/>
      <c r="F160" s="447">
        <f>F161+F165+F167</f>
        <v>22744372</v>
      </c>
    </row>
    <row r="161" spans="1:6" ht="25.5">
      <c r="A161" s="466" t="s">
        <v>816</v>
      </c>
      <c r="B161" s="445" t="s">
        <v>633</v>
      </c>
      <c r="C161" s="445" t="s">
        <v>735</v>
      </c>
      <c r="D161" s="445" t="s">
        <v>817</v>
      </c>
      <c r="E161" s="446"/>
      <c r="F161" s="447">
        <f>F162+F163+F164</f>
        <v>22469052</v>
      </c>
    </row>
    <row r="162" spans="1:6" ht="39">
      <c r="A162" s="454" t="s">
        <v>642</v>
      </c>
      <c r="B162" s="445" t="s">
        <v>633</v>
      </c>
      <c r="C162" s="445" t="s">
        <v>735</v>
      </c>
      <c r="D162" s="445" t="s">
        <v>817</v>
      </c>
      <c r="E162" s="456" t="s">
        <v>643</v>
      </c>
      <c r="F162" s="447">
        <v>5520500</v>
      </c>
    </row>
    <row r="163" spans="1:6" ht="26.25">
      <c r="A163" s="454" t="s">
        <v>654</v>
      </c>
      <c r="B163" s="445" t="s">
        <v>633</v>
      </c>
      <c r="C163" s="445" t="s">
        <v>735</v>
      </c>
      <c r="D163" s="445" t="s">
        <v>817</v>
      </c>
      <c r="E163" s="456" t="s">
        <v>655</v>
      </c>
      <c r="F163" s="447">
        <f>2631850+3275000+5851500+102950+1487928+3551072</f>
        <v>16900300</v>
      </c>
    </row>
    <row r="164" spans="1:6" ht="15">
      <c r="A164" s="466" t="s">
        <v>696</v>
      </c>
      <c r="B164" s="445" t="s">
        <v>633</v>
      </c>
      <c r="C164" s="445" t="s">
        <v>735</v>
      </c>
      <c r="D164" s="445" t="s">
        <v>817</v>
      </c>
      <c r="E164" s="456" t="s">
        <v>697</v>
      </c>
      <c r="F164" s="447">
        <f>18140+8000+12787+9325</f>
        <v>48252</v>
      </c>
    </row>
    <row r="165" spans="1:6" ht="15">
      <c r="A165" s="477" t="s">
        <v>818</v>
      </c>
      <c r="B165" s="445" t="s">
        <v>633</v>
      </c>
      <c r="C165" s="445" t="s">
        <v>735</v>
      </c>
      <c r="D165" s="445" t="s">
        <v>819</v>
      </c>
      <c r="E165" s="456"/>
      <c r="F165" s="447">
        <f>F166</f>
        <v>100000</v>
      </c>
    </row>
    <row r="166" spans="1:6" ht="26.25">
      <c r="A166" s="454" t="s">
        <v>654</v>
      </c>
      <c r="B166" s="445" t="s">
        <v>633</v>
      </c>
      <c r="C166" s="445" t="s">
        <v>735</v>
      </c>
      <c r="D166" s="445" t="s">
        <v>819</v>
      </c>
      <c r="E166" s="456" t="s">
        <v>655</v>
      </c>
      <c r="F166" s="447">
        <v>100000</v>
      </c>
    </row>
    <row r="167" spans="1:6" ht="26.25">
      <c r="A167" s="454" t="s">
        <v>820</v>
      </c>
      <c r="B167" s="445" t="s">
        <v>633</v>
      </c>
      <c r="C167" s="445" t="s">
        <v>735</v>
      </c>
      <c r="D167" s="445" t="s">
        <v>821</v>
      </c>
      <c r="E167" s="456"/>
      <c r="F167" s="447">
        <f>F168</f>
        <v>175320</v>
      </c>
    </row>
    <row r="168" spans="1:6" ht="17.25" customHeight="1">
      <c r="A168" s="454" t="s">
        <v>814</v>
      </c>
      <c r="B168" s="445" t="s">
        <v>633</v>
      </c>
      <c r="C168" s="445" t="s">
        <v>735</v>
      </c>
      <c r="D168" s="445" t="s">
        <v>821</v>
      </c>
      <c r="E168" s="456" t="s">
        <v>815</v>
      </c>
      <c r="F168" s="447">
        <f>175320</f>
        <v>175320</v>
      </c>
    </row>
    <row r="169" spans="1:6" ht="15">
      <c r="A169" s="451" t="s">
        <v>822</v>
      </c>
      <c r="B169" s="485" t="s">
        <v>633</v>
      </c>
      <c r="C169" s="445" t="s">
        <v>735</v>
      </c>
      <c r="D169" s="470" t="s">
        <v>823</v>
      </c>
      <c r="E169" s="456"/>
      <c r="F169" s="447">
        <f>F170</f>
        <v>30000</v>
      </c>
    </row>
    <row r="170" spans="1:6" ht="15">
      <c r="A170" s="454" t="s">
        <v>726</v>
      </c>
      <c r="B170" s="485" t="s">
        <v>633</v>
      </c>
      <c r="C170" s="445" t="s">
        <v>735</v>
      </c>
      <c r="D170" s="470" t="s">
        <v>824</v>
      </c>
      <c r="E170" s="456"/>
      <c r="F170" s="447">
        <f>F171</f>
        <v>30000</v>
      </c>
    </row>
    <row r="171" spans="1:6" ht="15">
      <c r="A171" s="454" t="s">
        <v>825</v>
      </c>
      <c r="B171" s="485" t="s">
        <v>633</v>
      </c>
      <c r="C171" s="445" t="s">
        <v>735</v>
      </c>
      <c r="D171" s="470" t="s">
        <v>826</v>
      </c>
      <c r="E171" s="456"/>
      <c r="F171" s="447">
        <f>F172</f>
        <v>30000</v>
      </c>
    </row>
    <row r="172" spans="1:6" ht="15">
      <c r="A172" s="486" t="s">
        <v>827</v>
      </c>
      <c r="B172" s="485" t="s">
        <v>633</v>
      </c>
      <c r="C172" s="445" t="s">
        <v>735</v>
      </c>
      <c r="D172" s="470" t="s">
        <v>826</v>
      </c>
      <c r="E172" s="456" t="s">
        <v>828</v>
      </c>
      <c r="F172" s="447">
        <f>30000</f>
        <v>30000</v>
      </c>
    </row>
    <row r="173" spans="1:6" ht="15">
      <c r="A173" s="451" t="s">
        <v>829</v>
      </c>
      <c r="B173" s="445" t="s">
        <v>645</v>
      </c>
      <c r="C173" s="445" t="s">
        <v>830</v>
      </c>
      <c r="D173" s="470"/>
      <c r="E173" s="456"/>
      <c r="F173" s="447">
        <f>F174</f>
        <v>51000</v>
      </c>
    </row>
    <row r="174" spans="1:6" ht="25.5">
      <c r="A174" s="466" t="s">
        <v>831</v>
      </c>
      <c r="B174" s="445" t="s">
        <v>645</v>
      </c>
      <c r="C174" s="445" t="s">
        <v>832</v>
      </c>
      <c r="D174" s="470"/>
      <c r="E174" s="456"/>
      <c r="F174" s="447">
        <f>F175</f>
        <v>51000</v>
      </c>
    </row>
    <row r="175" spans="1:6" ht="63.75" customHeight="1">
      <c r="A175" s="465" t="s">
        <v>833</v>
      </c>
      <c r="B175" s="445" t="s">
        <v>645</v>
      </c>
      <c r="C175" s="445" t="s">
        <v>832</v>
      </c>
      <c r="D175" s="482" t="s">
        <v>834</v>
      </c>
      <c r="E175" s="456"/>
      <c r="F175" s="447">
        <f>F176</f>
        <v>51000</v>
      </c>
    </row>
    <row r="176" spans="1:6" s="461" customFormat="1" ht="89.25">
      <c r="A176" s="475" t="s">
        <v>835</v>
      </c>
      <c r="B176" s="457" t="s">
        <v>645</v>
      </c>
      <c r="C176" s="457" t="s">
        <v>832</v>
      </c>
      <c r="D176" s="482" t="s">
        <v>836</v>
      </c>
      <c r="E176" s="459"/>
      <c r="F176" s="460">
        <f>F177+F180+F183+F186</f>
        <v>51000</v>
      </c>
    </row>
    <row r="177" spans="1:6" ht="25.5" hidden="1">
      <c r="A177" s="475" t="s">
        <v>837</v>
      </c>
      <c r="B177" s="445" t="s">
        <v>645</v>
      </c>
      <c r="C177" s="445" t="s">
        <v>832</v>
      </c>
      <c r="D177" s="474" t="s">
        <v>838</v>
      </c>
      <c r="E177" s="456"/>
      <c r="F177" s="447">
        <f>F178</f>
        <v>0</v>
      </c>
    </row>
    <row r="178" spans="1:6" ht="39" hidden="1">
      <c r="A178" s="454" t="s">
        <v>839</v>
      </c>
      <c r="B178" s="445" t="s">
        <v>645</v>
      </c>
      <c r="C178" s="445" t="s">
        <v>832</v>
      </c>
      <c r="D178" s="474" t="s">
        <v>840</v>
      </c>
      <c r="E178" s="456"/>
      <c r="F178" s="447">
        <f>F179</f>
        <v>0</v>
      </c>
    </row>
    <row r="179" spans="1:6" ht="26.25" hidden="1">
      <c r="A179" s="454" t="s">
        <v>654</v>
      </c>
      <c r="B179" s="445" t="s">
        <v>645</v>
      </c>
      <c r="C179" s="445" t="s">
        <v>832</v>
      </c>
      <c r="D179" s="474" t="s">
        <v>840</v>
      </c>
      <c r="E179" s="456" t="s">
        <v>655</v>
      </c>
      <c r="F179" s="447"/>
    </row>
    <row r="180" spans="1:6" ht="63.75">
      <c r="A180" s="475" t="s">
        <v>841</v>
      </c>
      <c r="B180" s="445" t="s">
        <v>645</v>
      </c>
      <c r="C180" s="445" t="s">
        <v>832</v>
      </c>
      <c r="D180" s="474" t="s">
        <v>842</v>
      </c>
      <c r="E180" s="456"/>
      <c r="F180" s="447">
        <f>F181</f>
        <v>51000</v>
      </c>
    </row>
    <row r="181" spans="1:6" ht="39">
      <c r="A181" s="454" t="s">
        <v>839</v>
      </c>
      <c r="B181" s="445" t="s">
        <v>645</v>
      </c>
      <c r="C181" s="445" t="s">
        <v>832</v>
      </c>
      <c r="D181" s="474" t="s">
        <v>843</v>
      </c>
      <c r="E181" s="456"/>
      <c r="F181" s="447">
        <f>F182</f>
        <v>51000</v>
      </c>
    </row>
    <row r="182" spans="1:6" ht="26.25">
      <c r="A182" s="454" t="s">
        <v>654</v>
      </c>
      <c r="B182" s="445" t="s">
        <v>645</v>
      </c>
      <c r="C182" s="445" t="s">
        <v>832</v>
      </c>
      <c r="D182" s="474" t="s">
        <v>843</v>
      </c>
      <c r="E182" s="456" t="s">
        <v>655</v>
      </c>
      <c r="F182" s="447">
        <v>51000</v>
      </c>
    </row>
    <row r="183" spans="1:6" ht="38.25" hidden="1">
      <c r="A183" s="475" t="s">
        <v>844</v>
      </c>
      <c r="B183" s="445" t="s">
        <v>645</v>
      </c>
      <c r="C183" s="445" t="s">
        <v>832</v>
      </c>
      <c r="D183" s="474" t="s">
        <v>845</v>
      </c>
      <c r="E183" s="456"/>
      <c r="F183" s="447">
        <f>F184</f>
        <v>0</v>
      </c>
    </row>
    <row r="184" spans="1:6" ht="39" hidden="1">
      <c r="A184" s="454" t="s">
        <v>839</v>
      </c>
      <c r="B184" s="445" t="s">
        <v>645</v>
      </c>
      <c r="C184" s="445" t="s">
        <v>832</v>
      </c>
      <c r="D184" s="474" t="s">
        <v>846</v>
      </c>
      <c r="E184" s="456"/>
      <c r="F184" s="447">
        <f>F185</f>
        <v>0</v>
      </c>
    </row>
    <row r="185" spans="1:6" ht="26.25" hidden="1">
      <c r="A185" s="454" t="s">
        <v>654</v>
      </c>
      <c r="B185" s="445" t="s">
        <v>645</v>
      </c>
      <c r="C185" s="445" t="s">
        <v>832</v>
      </c>
      <c r="D185" s="474" t="s">
        <v>846</v>
      </c>
      <c r="E185" s="456" t="s">
        <v>655</v>
      </c>
      <c r="F185" s="447"/>
    </row>
    <row r="186" spans="1:6" ht="25.5" hidden="1">
      <c r="A186" s="475" t="s">
        <v>847</v>
      </c>
      <c r="B186" s="445" t="s">
        <v>645</v>
      </c>
      <c r="C186" s="445" t="s">
        <v>832</v>
      </c>
      <c r="D186" s="474" t="s">
        <v>848</v>
      </c>
      <c r="E186" s="456"/>
      <c r="F186" s="447">
        <f>F187</f>
        <v>0</v>
      </c>
    </row>
    <row r="187" spans="1:6" ht="39" hidden="1">
      <c r="A187" s="454" t="s">
        <v>839</v>
      </c>
      <c r="B187" s="445" t="s">
        <v>645</v>
      </c>
      <c r="C187" s="445" t="s">
        <v>832</v>
      </c>
      <c r="D187" s="474" t="s">
        <v>849</v>
      </c>
      <c r="E187" s="456"/>
      <c r="F187" s="447">
        <f>F188</f>
        <v>0</v>
      </c>
    </row>
    <row r="188" spans="1:6" ht="26.25" hidden="1">
      <c r="A188" s="454" t="s">
        <v>654</v>
      </c>
      <c r="B188" s="445" t="s">
        <v>645</v>
      </c>
      <c r="C188" s="445" t="s">
        <v>832</v>
      </c>
      <c r="D188" s="474" t="s">
        <v>849</v>
      </c>
      <c r="E188" s="456" t="s">
        <v>655</v>
      </c>
      <c r="F188" s="447"/>
    </row>
    <row r="189" spans="1:6" ht="15">
      <c r="A189" s="451" t="s">
        <v>850</v>
      </c>
      <c r="B189" s="445" t="s">
        <v>658</v>
      </c>
      <c r="C189" s="445"/>
      <c r="D189" s="445"/>
      <c r="E189" s="446"/>
      <c r="F189" s="447">
        <f>F190+F197+F223</f>
        <v>33809851.55</v>
      </c>
    </row>
    <row r="190" spans="1:6" ht="15">
      <c r="A190" s="451" t="s">
        <v>851</v>
      </c>
      <c r="B190" s="445" t="s">
        <v>658</v>
      </c>
      <c r="C190" s="445" t="s">
        <v>852</v>
      </c>
      <c r="D190" s="445"/>
      <c r="E190" s="446"/>
      <c r="F190" s="447">
        <f>F191</f>
        <v>1675000</v>
      </c>
    </row>
    <row r="191" spans="1:6" ht="51">
      <c r="A191" s="487" t="s">
        <v>770</v>
      </c>
      <c r="B191" s="445" t="s">
        <v>658</v>
      </c>
      <c r="C191" s="445" t="s">
        <v>852</v>
      </c>
      <c r="D191" s="474" t="s">
        <v>771</v>
      </c>
      <c r="E191" s="446"/>
      <c r="F191" s="447">
        <f>F192</f>
        <v>1675000</v>
      </c>
    </row>
    <row r="192" spans="1:6" s="461" customFormat="1" ht="63.75">
      <c r="A192" s="488" t="s">
        <v>853</v>
      </c>
      <c r="B192" s="457" t="s">
        <v>658</v>
      </c>
      <c r="C192" s="457" t="s">
        <v>852</v>
      </c>
      <c r="D192" s="482" t="s">
        <v>854</v>
      </c>
      <c r="E192" s="464"/>
      <c r="F192" s="460">
        <f>F193</f>
        <v>1675000</v>
      </c>
    </row>
    <row r="193" spans="1:6" ht="25.5">
      <c r="A193" s="466" t="s">
        <v>855</v>
      </c>
      <c r="B193" s="445" t="s">
        <v>658</v>
      </c>
      <c r="C193" s="445" t="s">
        <v>852</v>
      </c>
      <c r="D193" s="474" t="s">
        <v>856</v>
      </c>
      <c r="E193" s="446"/>
      <c r="F193" s="447">
        <f>F194</f>
        <v>1675000</v>
      </c>
    </row>
    <row r="194" spans="1:6" ht="15">
      <c r="A194" s="451" t="s">
        <v>857</v>
      </c>
      <c r="B194" s="445" t="s">
        <v>658</v>
      </c>
      <c r="C194" s="445" t="s">
        <v>852</v>
      </c>
      <c r="D194" s="474" t="s">
        <v>858</v>
      </c>
      <c r="E194" s="446"/>
      <c r="F194" s="447">
        <f>F196+F195</f>
        <v>1675000</v>
      </c>
    </row>
    <row r="195" spans="1:6" ht="26.25">
      <c r="A195" s="454" t="s">
        <v>654</v>
      </c>
      <c r="B195" s="445" t="s">
        <v>658</v>
      </c>
      <c r="C195" s="445" t="s">
        <v>852</v>
      </c>
      <c r="D195" s="474" t="s">
        <v>858</v>
      </c>
      <c r="E195" s="446" t="s">
        <v>655</v>
      </c>
      <c r="F195" s="447">
        <v>10000</v>
      </c>
    </row>
    <row r="196" spans="1:6" ht="15">
      <c r="A196" s="454" t="s">
        <v>696</v>
      </c>
      <c r="B196" s="445" t="s">
        <v>658</v>
      </c>
      <c r="C196" s="445" t="s">
        <v>852</v>
      </c>
      <c r="D196" s="474" t="s">
        <v>858</v>
      </c>
      <c r="E196" s="446" t="s">
        <v>697</v>
      </c>
      <c r="F196" s="447">
        <f>500000+565000+600000</f>
        <v>1665000</v>
      </c>
    </row>
    <row r="197" spans="1:6" ht="15">
      <c r="A197" s="451" t="s">
        <v>859</v>
      </c>
      <c r="B197" s="445" t="s">
        <v>658</v>
      </c>
      <c r="C197" s="445" t="s">
        <v>832</v>
      </c>
      <c r="D197" s="445"/>
      <c r="E197" s="446"/>
      <c r="F197" s="447">
        <f>F198+F218</f>
        <v>29657424.55</v>
      </c>
    </row>
    <row r="198" spans="1:6" ht="51">
      <c r="A198" s="489" t="s">
        <v>770</v>
      </c>
      <c r="B198" s="445" t="s">
        <v>658</v>
      </c>
      <c r="C198" s="445" t="s">
        <v>832</v>
      </c>
      <c r="D198" s="474" t="s">
        <v>771</v>
      </c>
      <c r="E198" s="446"/>
      <c r="F198" s="447">
        <f>F199+F214</f>
        <v>15915099.55</v>
      </c>
    </row>
    <row r="199" spans="1:6" s="461" customFormat="1" ht="63.75">
      <c r="A199" s="490" t="s">
        <v>860</v>
      </c>
      <c r="B199" s="457" t="s">
        <v>658</v>
      </c>
      <c r="C199" s="457" t="s">
        <v>832</v>
      </c>
      <c r="D199" s="482" t="s">
        <v>861</v>
      </c>
      <c r="E199" s="464"/>
      <c r="F199" s="460">
        <f>F200+F203</f>
        <v>15737299.55</v>
      </c>
    </row>
    <row r="200" spans="1:6" ht="25.5">
      <c r="A200" s="466" t="s">
        <v>862</v>
      </c>
      <c r="B200" s="445" t="s">
        <v>658</v>
      </c>
      <c r="C200" s="445" t="s">
        <v>832</v>
      </c>
      <c r="D200" s="474" t="s">
        <v>863</v>
      </c>
      <c r="E200" s="446"/>
      <c r="F200" s="447">
        <f>F201</f>
        <v>1463489.55</v>
      </c>
    </row>
    <row r="201" spans="1:6" ht="26.25">
      <c r="A201" s="454" t="s">
        <v>864</v>
      </c>
      <c r="B201" s="445" t="s">
        <v>658</v>
      </c>
      <c r="C201" s="445" t="s">
        <v>832</v>
      </c>
      <c r="D201" s="474" t="s">
        <v>865</v>
      </c>
      <c r="E201" s="446"/>
      <c r="F201" s="447">
        <f>F202</f>
        <v>1463489.55</v>
      </c>
    </row>
    <row r="202" spans="1:6" ht="15">
      <c r="A202" s="454" t="s">
        <v>704</v>
      </c>
      <c r="B202" s="445" t="s">
        <v>658</v>
      </c>
      <c r="C202" s="445" t="s">
        <v>832</v>
      </c>
      <c r="D202" s="474" t="s">
        <v>865</v>
      </c>
      <c r="E202" s="446" t="s">
        <v>655</v>
      </c>
      <c r="F202" s="447">
        <v>1463489.55</v>
      </c>
    </row>
    <row r="203" spans="1:9" ht="25.5">
      <c r="A203" s="466" t="s">
        <v>866</v>
      </c>
      <c r="B203" s="445" t="s">
        <v>658</v>
      </c>
      <c r="C203" s="445" t="s">
        <v>832</v>
      </c>
      <c r="D203" s="474" t="s">
        <v>867</v>
      </c>
      <c r="E203" s="446"/>
      <c r="F203" s="447">
        <f>F204+F212+F210+F206+F208</f>
        <v>14273810</v>
      </c>
      <c r="I203" s="453"/>
    </row>
    <row r="204" spans="1:9" ht="15">
      <c r="A204" s="454" t="s">
        <v>868</v>
      </c>
      <c r="B204" s="445" t="s">
        <v>658</v>
      </c>
      <c r="C204" s="445" t="s">
        <v>832</v>
      </c>
      <c r="D204" s="474" t="s">
        <v>869</v>
      </c>
      <c r="E204" s="446"/>
      <c r="F204" s="447">
        <f>F205</f>
        <v>1800000</v>
      </c>
      <c r="I204" s="453"/>
    </row>
    <row r="205" spans="1:9" ht="26.25">
      <c r="A205" s="491" t="s">
        <v>870</v>
      </c>
      <c r="B205" s="445" t="s">
        <v>658</v>
      </c>
      <c r="C205" s="445" t="s">
        <v>832</v>
      </c>
      <c r="D205" s="474" t="s">
        <v>869</v>
      </c>
      <c r="E205" s="446" t="s">
        <v>871</v>
      </c>
      <c r="F205" s="447">
        <f>1800000</f>
        <v>1800000</v>
      </c>
      <c r="I205" s="453"/>
    </row>
    <row r="206" spans="1:9" ht="15">
      <c r="A206" s="454" t="s">
        <v>872</v>
      </c>
      <c r="B206" s="445" t="s">
        <v>658</v>
      </c>
      <c r="C206" s="445" t="s">
        <v>832</v>
      </c>
      <c r="D206" s="474" t="s">
        <v>873</v>
      </c>
      <c r="E206" s="446"/>
      <c r="F206" s="447">
        <f>F207</f>
        <v>1563000</v>
      </c>
      <c r="I206" s="453"/>
    </row>
    <row r="207" spans="1:9" ht="26.25">
      <c r="A207" s="491" t="s">
        <v>870</v>
      </c>
      <c r="B207" s="445" t="s">
        <v>658</v>
      </c>
      <c r="C207" s="445" t="s">
        <v>832</v>
      </c>
      <c r="D207" s="474" t="s">
        <v>873</v>
      </c>
      <c r="E207" s="446" t="s">
        <v>871</v>
      </c>
      <c r="F207" s="447">
        <v>1563000</v>
      </c>
      <c r="I207" s="453"/>
    </row>
    <row r="208" spans="1:9" ht="25.5">
      <c r="A208" s="466" t="s">
        <v>874</v>
      </c>
      <c r="B208" s="445" t="s">
        <v>658</v>
      </c>
      <c r="C208" s="445" t="s">
        <v>832</v>
      </c>
      <c r="D208" s="474" t="s">
        <v>875</v>
      </c>
      <c r="E208" s="446"/>
      <c r="F208" s="447">
        <f>F209</f>
        <v>9060810</v>
      </c>
      <c r="I208" s="453"/>
    </row>
    <row r="209" spans="1:9" ht="30">
      <c r="A209" s="492" t="s">
        <v>870</v>
      </c>
      <c r="B209" s="445" t="s">
        <v>658</v>
      </c>
      <c r="C209" s="445" t="s">
        <v>832</v>
      </c>
      <c r="D209" s="474" t="s">
        <v>875</v>
      </c>
      <c r="E209" s="446" t="s">
        <v>871</v>
      </c>
      <c r="F209" s="447">
        <f>9060810</f>
        <v>9060810</v>
      </c>
      <c r="I209" s="453"/>
    </row>
    <row r="210" spans="1:9" ht="45">
      <c r="A210" s="493" t="s">
        <v>876</v>
      </c>
      <c r="B210" s="445" t="s">
        <v>658</v>
      </c>
      <c r="C210" s="445" t="s">
        <v>832</v>
      </c>
      <c r="D210" s="474" t="s">
        <v>877</v>
      </c>
      <c r="E210" s="446"/>
      <c r="F210" s="447">
        <f>F211</f>
        <v>100000</v>
      </c>
      <c r="I210" s="453"/>
    </row>
    <row r="211" spans="1:9" ht="30">
      <c r="A211" s="492" t="s">
        <v>870</v>
      </c>
      <c r="B211" s="445" t="s">
        <v>658</v>
      </c>
      <c r="C211" s="445" t="s">
        <v>832</v>
      </c>
      <c r="D211" s="474" t="s">
        <v>877</v>
      </c>
      <c r="E211" s="446" t="s">
        <v>871</v>
      </c>
      <c r="F211" s="447">
        <f>100000</f>
        <v>100000</v>
      </c>
      <c r="I211" s="453"/>
    </row>
    <row r="212" spans="1:9" ht="26.25">
      <c r="A212" s="454" t="s">
        <v>878</v>
      </c>
      <c r="B212" s="445" t="s">
        <v>658</v>
      </c>
      <c r="C212" s="445" t="s">
        <v>832</v>
      </c>
      <c r="D212" s="474" t="s">
        <v>879</v>
      </c>
      <c r="E212" s="446"/>
      <c r="F212" s="447">
        <f>F213</f>
        <v>1750000</v>
      </c>
      <c r="I212" s="453"/>
    </row>
    <row r="213" spans="1:9" ht="30">
      <c r="A213" s="492" t="s">
        <v>870</v>
      </c>
      <c r="B213" s="445" t="s">
        <v>658</v>
      </c>
      <c r="C213" s="445" t="s">
        <v>832</v>
      </c>
      <c r="D213" s="474" t="s">
        <v>879</v>
      </c>
      <c r="E213" s="446" t="s">
        <v>871</v>
      </c>
      <c r="F213" s="447">
        <f>1850000-100000</f>
        <v>1750000</v>
      </c>
      <c r="I213" s="453"/>
    </row>
    <row r="214" spans="1:9" ht="63.75">
      <c r="A214" s="494" t="s">
        <v>772</v>
      </c>
      <c r="B214" s="445" t="s">
        <v>658</v>
      </c>
      <c r="C214" s="445" t="s">
        <v>832</v>
      </c>
      <c r="D214" s="482" t="s">
        <v>773</v>
      </c>
      <c r="E214" s="446"/>
      <c r="F214" s="447">
        <f>F215</f>
        <v>177800</v>
      </c>
      <c r="I214" s="453"/>
    </row>
    <row r="215" spans="1:9" ht="25.5">
      <c r="A215" s="479" t="s">
        <v>880</v>
      </c>
      <c r="B215" s="445" t="s">
        <v>658</v>
      </c>
      <c r="C215" s="445" t="s">
        <v>832</v>
      </c>
      <c r="D215" s="474" t="s">
        <v>881</v>
      </c>
      <c r="E215" s="446"/>
      <c r="F215" s="447">
        <f>F216</f>
        <v>177800</v>
      </c>
      <c r="I215" s="453"/>
    </row>
    <row r="216" spans="1:9" ht="15">
      <c r="A216" s="466" t="s">
        <v>882</v>
      </c>
      <c r="B216" s="445" t="s">
        <v>658</v>
      </c>
      <c r="C216" s="445" t="s">
        <v>832</v>
      </c>
      <c r="D216" s="474" t="s">
        <v>883</v>
      </c>
      <c r="E216" s="446"/>
      <c r="F216" s="447">
        <f>F217</f>
        <v>177800</v>
      </c>
      <c r="I216" s="453"/>
    </row>
    <row r="217" spans="1:9" ht="15">
      <c r="A217" s="454" t="s">
        <v>704</v>
      </c>
      <c r="B217" s="445" t="s">
        <v>658</v>
      </c>
      <c r="C217" s="445" t="s">
        <v>832</v>
      </c>
      <c r="D217" s="474" t="s">
        <v>883</v>
      </c>
      <c r="E217" s="446" t="s">
        <v>655</v>
      </c>
      <c r="F217" s="447">
        <f>750000-572200</f>
        <v>177800</v>
      </c>
      <c r="I217" s="453"/>
    </row>
    <row r="218" spans="1:9" ht="42" customHeight="1">
      <c r="A218" s="477" t="s">
        <v>884</v>
      </c>
      <c r="B218" s="445" t="s">
        <v>658</v>
      </c>
      <c r="C218" s="445" t="s">
        <v>832</v>
      </c>
      <c r="D218" s="474" t="s">
        <v>885</v>
      </c>
      <c r="E218" s="446"/>
      <c r="F218" s="447">
        <f>F219</f>
        <v>13742325</v>
      </c>
      <c r="I218" s="453"/>
    </row>
    <row r="219" spans="1:9" ht="75">
      <c r="A219" s="495" t="s">
        <v>886</v>
      </c>
      <c r="B219" s="445" t="s">
        <v>658</v>
      </c>
      <c r="C219" s="445" t="s">
        <v>832</v>
      </c>
      <c r="D219" s="482" t="s">
        <v>887</v>
      </c>
      <c r="E219" s="446"/>
      <c r="F219" s="447">
        <f>F220</f>
        <v>13742325</v>
      </c>
      <c r="I219" s="453"/>
    </row>
    <row r="220" spans="1:9" ht="25.5">
      <c r="A220" s="466" t="s">
        <v>866</v>
      </c>
      <c r="B220" s="445" t="s">
        <v>658</v>
      </c>
      <c r="C220" s="445" t="s">
        <v>832</v>
      </c>
      <c r="D220" s="482" t="s">
        <v>888</v>
      </c>
      <c r="E220" s="446"/>
      <c r="F220" s="447">
        <f>F221</f>
        <v>13742325</v>
      </c>
      <c r="I220" s="453"/>
    </row>
    <row r="221" spans="1:9" ht="25.5">
      <c r="A221" s="496" t="s">
        <v>889</v>
      </c>
      <c r="B221" s="445" t="s">
        <v>658</v>
      </c>
      <c r="C221" s="445" t="s">
        <v>832</v>
      </c>
      <c r="D221" s="474" t="s">
        <v>890</v>
      </c>
      <c r="E221" s="446"/>
      <c r="F221" s="447">
        <f>F222</f>
        <v>13742325</v>
      </c>
      <c r="I221" s="453"/>
    </row>
    <row r="222" spans="1:9" ht="26.25">
      <c r="A222" s="451" t="s">
        <v>870</v>
      </c>
      <c r="B222" s="445" t="s">
        <v>658</v>
      </c>
      <c r="C222" s="445" t="s">
        <v>832</v>
      </c>
      <c r="D222" s="474" t="s">
        <v>890</v>
      </c>
      <c r="E222" s="446" t="s">
        <v>871</v>
      </c>
      <c r="F222" s="447">
        <f>1569426+12172899</f>
        <v>13742325</v>
      </c>
      <c r="I222" s="453"/>
    </row>
    <row r="223" spans="1:9" ht="15">
      <c r="A223" s="451" t="s">
        <v>891</v>
      </c>
      <c r="B223" s="445" t="s">
        <v>658</v>
      </c>
      <c r="C223" s="445" t="s">
        <v>892</v>
      </c>
      <c r="D223" s="445"/>
      <c r="E223" s="446"/>
      <c r="F223" s="447">
        <f>F224+F236+F252+F231+F247</f>
        <v>2477427</v>
      </c>
      <c r="I223" s="453"/>
    </row>
    <row r="224" spans="1:9" ht="38.25">
      <c r="A224" s="476" t="s">
        <v>893</v>
      </c>
      <c r="B224" s="445" t="s">
        <v>658</v>
      </c>
      <c r="C224" s="445" t="s">
        <v>892</v>
      </c>
      <c r="D224" s="445" t="s">
        <v>894</v>
      </c>
      <c r="E224" s="446"/>
      <c r="F224" s="447">
        <f>F225</f>
        <v>520000</v>
      </c>
      <c r="I224" s="453"/>
    </row>
    <row r="225" spans="1:9" s="461" customFormat="1" ht="63.75">
      <c r="A225" s="497" t="s">
        <v>895</v>
      </c>
      <c r="B225" s="457" t="s">
        <v>658</v>
      </c>
      <c r="C225" s="457" t="s">
        <v>892</v>
      </c>
      <c r="D225" s="457" t="s">
        <v>896</v>
      </c>
      <c r="E225" s="464"/>
      <c r="F225" s="460">
        <f>F226</f>
        <v>520000</v>
      </c>
      <c r="I225" s="498"/>
    </row>
    <row r="226" spans="1:6" ht="36.75" customHeight="1">
      <c r="A226" s="466" t="s">
        <v>897</v>
      </c>
      <c r="B226" s="445" t="s">
        <v>658</v>
      </c>
      <c r="C226" s="445" t="s">
        <v>892</v>
      </c>
      <c r="D226" s="445" t="s">
        <v>898</v>
      </c>
      <c r="E226" s="446"/>
      <c r="F226" s="447">
        <f>F227+F229</f>
        <v>520000</v>
      </c>
    </row>
    <row r="227" spans="1:6" ht="15" hidden="1">
      <c r="A227" s="452" t="s">
        <v>899</v>
      </c>
      <c r="B227" s="445" t="s">
        <v>658</v>
      </c>
      <c r="C227" s="445" t="s">
        <v>892</v>
      </c>
      <c r="D227" s="445" t="s">
        <v>900</v>
      </c>
      <c r="E227" s="446"/>
      <c r="F227" s="447">
        <f>F228</f>
        <v>0</v>
      </c>
    </row>
    <row r="228" spans="1:6" ht="26.25" hidden="1">
      <c r="A228" s="454" t="s">
        <v>654</v>
      </c>
      <c r="B228" s="445" t="s">
        <v>658</v>
      </c>
      <c r="C228" s="445" t="s">
        <v>892</v>
      </c>
      <c r="D228" s="445" t="s">
        <v>900</v>
      </c>
      <c r="E228" s="446" t="s">
        <v>655</v>
      </c>
      <c r="F228" s="447"/>
    </row>
    <row r="229" spans="1:6" ht="15">
      <c r="A229" s="452" t="s">
        <v>901</v>
      </c>
      <c r="B229" s="445" t="s">
        <v>658</v>
      </c>
      <c r="C229" s="445" t="s">
        <v>892</v>
      </c>
      <c r="D229" s="445" t="s">
        <v>902</v>
      </c>
      <c r="E229" s="446"/>
      <c r="F229" s="447">
        <f>F230</f>
        <v>520000</v>
      </c>
    </row>
    <row r="230" spans="1:6" ht="26.25">
      <c r="A230" s="454" t="s">
        <v>654</v>
      </c>
      <c r="B230" s="445" t="s">
        <v>658</v>
      </c>
      <c r="C230" s="445" t="s">
        <v>892</v>
      </c>
      <c r="D230" s="445" t="s">
        <v>902</v>
      </c>
      <c r="E230" s="446" t="s">
        <v>655</v>
      </c>
      <c r="F230" s="447">
        <f>200000+320000</f>
        <v>520000</v>
      </c>
    </row>
    <row r="231" spans="1:6" ht="51.75" hidden="1">
      <c r="A231" s="499" t="s">
        <v>903</v>
      </c>
      <c r="B231" s="445" t="s">
        <v>658</v>
      </c>
      <c r="C231" s="445" t="s">
        <v>892</v>
      </c>
      <c r="D231" s="485" t="s">
        <v>904</v>
      </c>
      <c r="E231" s="446"/>
      <c r="F231" s="447">
        <f>F232</f>
        <v>0</v>
      </c>
    </row>
    <row r="232" spans="1:6" ht="6" customHeight="1" hidden="1">
      <c r="A232" s="491" t="s">
        <v>905</v>
      </c>
      <c r="B232" s="445" t="s">
        <v>658</v>
      </c>
      <c r="C232" s="445" t="s">
        <v>892</v>
      </c>
      <c r="D232" s="485" t="s">
        <v>906</v>
      </c>
      <c r="E232" s="446"/>
      <c r="F232" s="447">
        <f>F233</f>
        <v>0</v>
      </c>
    </row>
    <row r="233" spans="1:6" ht="25.5" hidden="1">
      <c r="A233" s="466" t="s">
        <v>907</v>
      </c>
      <c r="B233" s="445" t="s">
        <v>658</v>
      </c>
      <c r="C233" s="445" t="s">
        <v>892</v>
      </c>
      <c r="D233" s="500" t="s">
        <v>908</v>
      </c>
      <c r="E233" s="446"/>
      <c r="F233" s="447">
        <f>F234</f>
        <v>0</v>
      </c>
    </row>
    <row r="234" spans="1:6" ht="15" hidden="1">
      <c r="A234" s="444" t="s">
        <v>909</v>
      </c>
      <c r="B234" s="445" t="s">
        <v>658</v>
      </c>
      <c r="C234" s="445" t="s">
        <v>892</v>
      </c>
      <c r="D234" s="485" t="s">
        <v>910</v>
      </c>
      <c r="E234" s="446"/>
      <c r="F234" s="447">
        <f>F235</f>
        <v>0</v>
      </c>
    </row>
    <row r="235" spans="1:6" ht="15" hidden="1">
      <c r="A235" s="454" t="s">
        <v>704</v>
      </c>
      <c r="B235" s="445" t="s">
        <v>658</v>
      </c>
      <c r="C235" s="445" t="s">
        <v>892</v>
      </c>
      <c r="D235" s="485" t="s">
        <v>910</v>
      </c>
      <c r="E235" s="446" t="s">
        <v>655</v>
      </c>
      <c r="F235" s="447"/>
    </row>
    <row r="236" spans="1:6" ht="38.25">
      <c r="A236" s="476" t="s">
        <v>911</v>
      </c>
      <c r="B236" s="445" t="s">
        <v>658</v>
      </c>
      <c r="C236" s="445" t="s">
        <v>892</v>
      </c>
      <c r="D236" s="485" t="s">
        <v>912</v>
      </c>
      <c r="E236" s="446"/>
      <c r="F236" s="447">
        <f>F237</f>
        <v>1924427</v>
      </c>
    </row>
    <row r="237" spans="1:6" s="461" customFormat="1" ht="63.75">
      <c r="A237" s="477" t="s">
        <v>913</v>
      </c>
      <c r="B237" s="457" t="s">
        <v>658</v>
      </c>
      <c r="C237" s="457" t="s">
        <v>892</v>
      </c>
      <c r="D237" s="501" t="s">
        <v>914</v>
      </c>
      <c r="E237" s="464"/>
      <c r="F237" s="460">
        <f>F238</f>
        <v>1924427</v>
      </c>
    </row>
    <row r="238" spans="1:6" ht="25.5">
      <c r="A238" s="466" t="s">
        <v>915</v>
      </c>
      <c r="B238" s="445" t="s">
        <v>658</v>
      </c>
      <c r="C238" s="445" t="s">
        <v>892</v>
      </c>
      <c r="D238" s="470" t="s">
        <v>916</v>
      </c>
      <c r="E238" s="456"/>
      <c r="F238" s="447">
        <f>F245+F239+F242</f>
        <v>1924427</v>
      </c>
    </row>
    <row r="239" spans="1:6" ht="33" customHeight="1">
      <c r="A239" s="466" t="s">
        <v>917</v>
      </c>
      <c r="B239" s="445" t="s">
        <v>658</v>
      </c>
      <c r="C239" s="445" t="s">
        <v>892</v>
      </c>
      <c r="D239" s="470" t="s">
        <v>918</v>
      </c>
      <c r="E239" s="456"/>
      <c r="F239" s="447">
        <f>F241+F240</f>
        <v>1017730</v>
      </c>
    </row>
    <row r="240" spans="1:6" ht="26.25">
      <c r="A240" s="454" t="s">
        <v>654</v>
      </c>
      <c r="B240" s="445" t="s">
        <v>658</v>
      </c>
      <c r="C240" s="445" t="s">
        <v>892</v>
      </c>
      <c r="D240" s="470" t="s">
        <v>918</v>
      </c>
      <c r="E240" s="456" t="s">
        <v>655</v>
      </c>
      <c r="F240" s="447">
        <f>58130</f>
        <v>58130</v>
      </c>
    </row>
    <row r="241" spans="1:6" ht="15">
      <c r="A241" s="502" t="s">
        <v>814</v>
      </c>
      <c r="B241" s="445" t="s">
        <v>658</v>
      </c>
      <c r="C241" s="445" t="s">
        <v>892</v>
      </c>
      <c r="D241" s="470" t="s">
        <v>918</v>
      </c>
      <c r="E241" s="456" t="s">
        <v>815</v>
      </c>
      <c r="F241" s="447">
        <f>1017730-58130</f>
        <v>959600</v>
      </c>
    </row>
    <row r="242" spans="1:6" ht="25.5">
      <c r="A242" s="466" t="s">
        <v>919</v>
      </c>
      <c r="B242" s="445" t="s">
        <v>658</v>
      </c>
      <c r="C242" s="445" t="s">
        <v>892</v>
      </c>
      <c r="D242" s="470" t="s">
        <v>920</v>
      </c>
      <c r="E242" s="456"/>
      <c r="F242" s="447">
        <f>F244+F243</f>
        <v>440322</v>
      </c>
    </row>
    <row r="243" spans="1:6" ht="26.25">
      <c r="A243" s="454" t="s">
        <v>654</v>
      </c>
      <c r="B243" s="445" t="s">
        <v>658</v>
      </c>
      <c r="C243" s="445" t="s">
        <v>892</v>
      </c>
      <c r="D243" s="470" t="s">
        <v>920</v>
      </c>
      <c r="E243" s="456" t="s">
        <v>655</v>
      </c>
      <c r="F243" s="447">
        <f>29065</f>
        <v>29065</v>
      </c>
    </row>
    <row r="244" spans="1:6" ht="15">
      <c r="A244" s="502" t="s">
        <v>814</v>
      </c>
      <c r="B244" s="445" t="s">
        <v>658</v>
      </c>
      <c r="C244" s="445" t="s">
        <v>892</v>
      </c>
      <c r="D244" s="470" t="s">
        <v>920</v>
      </c>
      <c r="E244" s="456" t="s">
        <v>815</v>
      </c>
      <c r="F244" s="447">
        <f>877632-466375</f>
        <v>411257</v>
      </c>
    </row>
    <row r="245" spans="1:6" ht="39">
      <c r="A245" s="502" t="s">
        <v>921</v>
      </c>
      <c r="B245" s="445" t="s">
        <v>658</v>
      </c>
      <c r="C245" s="445" t="s">
        <v>892</v>
      </c>
      <c r="D245" s="470" t="s">
        <v>922</v>
      </c>
      <c r="E245" s="456"/>
      <c r="F245" s="447">
        <f>F246</f>
        <v>466375</v>
      </c>
    </row>
    <row r="246" spans="1:6" ht="14.25" customHeight="1">
      <c r="A246" s="502" t="s">
        <v>814</v>
      </c>
      <c r="B246" s="445" t="s">
        <v>658</v>
      </c>
      <c r="C246" s="445" t="s">
        <v>892</v>
      </c>
      <c r="D246" s="470" t="s">
        <v>922</v>
      </c>
      <c r="E246" s="456" t="s">
        <v>815</v>
      </c>
      <c r="F246" s="447">
        <v>466375</v>
      </c>
    </row>
    <row r="247" spans="1:6" ht="0.75" customHeight="1" hidden="1">
      <c r="A247" s="489" t="s">
        <v>770</v>
      </c>
      <c r="B247" s="445" t="s">
        <v>658</v>
      </c>
      <c r="C247" s="445" t="s">
        <v>892</v>
      </c>
      <c r="D247" s="470" t="s">
        <v>771</v>
      </c>
      <c r="E247" s="456"/>
      <c r="F247" s="447">
        <f>F248</f>
        <v>0</v>
      </c>
    </row>
    <row r="248" spans="1:6" ht="63.75" hidden="1">
      <c r="A248" s="494" t="s">
        <v>772</v>
      </c>
      <c r="B248" s="445" t="s">
        <v>658</v>
      </c>
      <c r="C248" s="445" t="s">
        <v>892</v>
      </c>
      <c r="D248" s="482" t="s">
        <v>773</v>
      </c>
      <c r="E248" s="446"/>
      <c r="F248" s="447">
        <f>F249</f>
        <v>0</v>
      </c>
    </row>
    <row r="249" spans="1:6" ht="25.5" hidden="1">
      <c r="A249" s="479" t="s">
        <v>880</v>
      </c>
      <c r="B249" s="445" t="s">
        <v>658</v>
      </c>
      <c r="C249" s="445" t="s">
        <v>892</v>
      </c>
      <c r="D249" s="474" t="s">
        <v>881</v>
      </c>
      <c r="E249" s="446"/>
      <c r="F249" s="447">
        <f>F250</f>
        <v>0</v>
      </c>
    </row>
    <row r="250" spans="1:6" ht="15" hidden="1">
      <c r="A250" s="466" t="s">
        <v>882</v>
      </c>
      <c r="B250" s="445" t="s">
        <v>658</v>
      </c>
      <c r="C250" s="445" t="s">
        <v>892</v>
      </c>
      <c r="D250" s="474" t="s">
        <v>883</v>
      </c>
      <c r="E250" s="446"/>
      <c r="F250" s="447">
        <f>F251</f>
        <v>0</v>
      </c>
    </row>
    <row r="251" spans="1:6" ht="15" hidden="1">
      <c r="A251" s="454" t="s">
        <v>704</v>
      </c>
      <c r="B251" s="445" t="s">
        <v>658</v>
      </c>
      <c r="C251" s="445" t="s">
        <v>892</v>
      </c>
      <c r="D251" s="474" t="s">
        <v>883</v>
      </c>
      <c r="E251" s="446" t="s">
        <v>655</v>
      </c>
      <c r="F251" s="447"/>
    </row>
    <row r="252" spans="1:6" ht="38.25">
      <c r="A252" s="477" t="s">
        <v>923</v>
      </c>
      <c r="B252" s="445" t="s">
        <v>658</v>
      </c>
      <c r="C252" s="445" t="s">
        <v>892</v>
      </c>
      <c r="D252" s="445" t="s">
        <v>924</v>
      </c>
      <c r="E252" s="456"/>
      <c r="F252" s="447">
        <f>F253+F257</f>
        <v>33000</v>
      </c>
    </row>
    <row r="253" spans="1:6" s="461" customFormat="1" ht="63.75">
      <c r="A253" s="497" t="s">
        <v>925</v>
      </c>
      <c r="B253" s="457" t="s">
        <v>658</v>
      </c>
      <c r="C253" s="457" t="s">
        <v>892</v>
      </c>
      <c r="D253" s="457" t="s">
        <v>926</v>
      </c>
      <c r="E253" s="459"/>
      <c r="F253" s="460">
        <f>F254</f>
        <v>28000</v>
      </c>
    </row>
    <row r="254" spans="1:6" ht="38.25">
      <c r="A254" s="497" t="s">
        <v>927</v>
      </c>
      <c r="B254" s="445" t="s">
        <v>658</v>
      </c>
      <c r="C254" s="445" t="s">
        <v>892</v>
      </c>
      <c r="D254" s="445" t="s">
        <v>928</v>
      </c>
      <c r="E254" s="456"/>
      <c r="F254" s="447">
        <f>F255</f>
        <v>28000</v>
      </c>
    </row>
    <row r="255" spans="1:6" ht="26.25">
      <c r="A255" s="452" t="s">
        <v>929</v>
      </c>
      <c r="B255" s="445" t="s">
        <v>658</v>
      </c>
      <c r="C255" s="445" t="s">
        <v>892</v>
      </c>
      <c r="D255" s="445" t="s">
        <v>930</v>
      </c>
      <c r="E255" s="456"/>
      <c r="F255" s="447">
        <f>F256</f>
        <v>28000</v>
      </c>
    </row>
    <row r="256" spans="1:6" ht="26.25">
      <c r="A256" s="454" t="s">
        <v>654</v>
      </c>
      <c r="B256" s="445" t="s">
        <v>658</v>
      </c>
      <c r="C256" s="445" t="s">
        <v>892</v>
      </c>
      <c r="D256" s="445" t="s">
        <v>930</v>
      </c>
      <c r="E256" s="456" t="s">
        <v>655</v>
      </c>
      <c r="F256" s="447">
        <v>28000</v>
      </c>
    </row>
    <row r="257" spans="1:6" ht="51">
      <c r="A257" s="465" t="s">
        <v>931</v>
      </c>
      <c r="B257" s="457" t="s">
        <v>658</v>
      </c>
      <c r="C257" s="457" t="s">
        <v>892</v>
      </c>
      <c r="D257" s="457" t="s">
        <v>932</v>
      </c>
      <c r="E257" s="456"/>
      <c r="F257" s="447">
        <f>F258</f>
        <v>5000</v>
      </c>
    </row>
    <row r="258" spans="1:6" ht="38.25">
      <c r="A258" s="497" t="s">
        <v>933</v>
      </c>
      <c r="B258" s="445" t="s">
        <v>658</v>
      </c>
      <c r="C258" s="445" t="s">
        <v>892</v>
      </c>
      <c r="D258" s="445" t="s">
        <v>934</v>
      </c>
      <c r="E258" s="456"/>
      <c r="F258" s="447">
        <f>F259</f>
        <v>5000</v>
      </c>
    </row>
    <row r="259" spans="1:6" ht="26.25">
      <c r="A259" s="454" t="s">
        <v>935</v>
      </c>
      <c r="B259" s="445" t="s">
        <v>658</v>
      </c>
      <c r="C259" s="445" t="s">
        <v>892</v>
      </c>
      <c r="D259" s="445" t="s">
        <v>936</v>
      </c>
      <c r="E259" s="456"/>
      <c r="F259" s="447">
        <f>F260</f>
        <v>5000</v>
      </c>
    </row>
    <row r="260" spans="1:6" ht="26.25">
      <c r="A260" s="454" t="s">
        <v>654</v>
      </c>
      <c r="B260" s="445" t="s">
        <v>658</v>
      </c>
      <c r="C260" s="445" t="s">
        <v>892</v>
      </c>
      <c r="D260" s="445" t="s">
        <v>936</v>
      </c>
      <c r="E260" s="456" t="s">
        <v>655</v>
      </c>
      <c r="F260" s="447">
        <v>5000</v>
      </c>
    </row>
    <row r="261" spans="1:6" ht="18.75" customHeight="1">
      <c r="A261" s="454" t="s">
        <v>937</v>
      </c>
      <c r="B261" s="445" t="s">
        <v>710</v>
      </c>
      <c r="C261" s="445"/>
      <c r="D261" s="445"/>
      <c r="E261" s="456"/>
      <c r="F261" s="447">
        <f>F271+F262</f>
        <v>9695425.58</v>
      </c>
    </row>
    <row r="262" spans="1:6" ht="0.75" customHeight="1" hidden="1">
      <c r="A262" s="454" t="s">
        <v>938</v>
      </c>
      <c r="B262" s="445" t="s">
        <v>710</v>
      </c>
      <c r="C262" s="445" t="s">
        <v>633</v>
      </c>
      <c r="D262" s="445"/>
      <c r="E262" s="456"/>
      <c r="F262" s="447">
        <f>F263</f>
        <v>0</v>
      </c>
    </row>
    <row r="263" spans="1:6" ht="39" hidden="1">
      <c r="A263" s="454" t="s">
        <v>939</v>
      </c>
      <c r="B263" s="445" t="s">
        <v>710</v>
      </c>
      <c r="C263" s="445" t="s">
        <v>633</v>
      </c>
      <c r="D263" s="445" t="s">
        <v>912</v>
      </c>
      <c r="E263" s="456"/>
      <c r="F263" s="447">
        <f>F264</f>
        <v>0</v>
      </c>
    </row>
    <row r="264" spans="1:6" ht="64.5" hidden="1">
      <c r="A264" s="454" t="s">
        <v>940</v>
      </c>
      <c r="B264" s="445" t="s">
        <v>710</v>
      </c>
      <c r="C264" s="445" t="s">
        <v>633</v>
      </c>
      <c r="D264" s="445" t="s">
        <v>914</v>
      </c>
      <c r="E264" s="456"/>
      <c r="F264" s="447">
        <f>F265</f>
        <v>0</v>
      </c>
    </row>
    <row r="265" spans="1:6" ht="64.5" hidden="1">
      <c r="A265" s="454" t="s">
        <v>941</v>
      </c>
      <c r="B265" s="445" t="s">
        <v>710</v>
      </c>
      <c r="C265" s="445" t="s">
        <v>633</v>
      </c>
      <c r="D265" s="445" t="s">
        <v>942</v>
      </c>
      <c r="E265" s="456"/>
      <c r="F265" s="447">
        <f>F266+F268</f>
        <v>0</v>
      </c>
    </row>
    <row r="266" spans="1:6" ht="26.25" hidden="1">
      <c r="A266" s="454" t="s">
        <v>943</v>
      </c>
      <c r="B266" s="445" t="s">
        <v>710</v>
      </c>
      <c r="C266" s="445" t="s">
        <v>633</v>
      </c>
      <c r="D266" s="445" t="s">
        <v>944</v>
      </c>
      <c r="E266" s="456"/>
      <c r="F266" s="447">
        <f>F267</f>
        <v>0</v>
      </c>
    </row>
    <row r="267" spans="1:6" ht="15" hidden="1">
      <c r="A267" s="502" t="s">
        <v>814</v>
      </c>
      <c r="B267" s="445" t="s">
        <v>710</v>
      </c>
      <c r="C267" s="445" t="s">
        <v>633</v>
      </c>
      <c r="D267" s="445" t="s">
        <v>944</v>
      </c>
      <c r="E267" s="456" t="s">
        <v>815</v>
      </c>
      <c r="F267" s="447"/>
    </row>
    <row r="268" spans="1:6" ht="26.25" hidden="1">
      <c r="A268" s="502" t="s">
        <v>945</v>
      </c>
      <c r="B268" s="445" t="s">
        <v>710</v>
      </c>
      <c r="C268" s="445" t="s">
        <v>633</v>
      </c>
      <c r="D268" s="445" t="s">
        <v>946</v>
      </c>
      <c r="E268" s="456"/>
      <c r="F268" s="447">
        <f>F270+F269</f>
        <v>0</v>
      </c>
    </row>
    <row r="269" spans="1:6" ht="26.25" hidden="1">
      <c r="A269" s="454" t="s">
        <v>654</v>
      </c>
      <c r="B269" s="445" t="s">
        <v>710</v>
      </c>
      <c r="C269" s="445" t="s">
        <v>633</v>
      </c>
      <c r="D269" s="445" t="s">
        <v>946</v>
      </c>
      <c r="E269" s="456" t="s">
        <v>655</v>
      </c>
      <c r="F269" s="447"/>
    </row>
    <row r="270" spans="1:6" ht="26.25" hidden="1">
      <c r="A270" s="502" t="s">
        <v>870</v>
      </c>
      <c r="B270" s="445" t="s">
        <v>710</v>
      </c>
      <c r="C270" s="445" t="s">
        <v>633</v>
      </c>
      <c r="D270" s="445" t="s">
        <v>946</v>
      </c>
      <c r="E270" s="456" t="s">
        <v>871</v>
      </c>
      <c r="F270" s="447"/>
    </row>
    <row r="271" spans="1:6" ht="15">
      <c r="A271" s="454" t="s">
        <v>947</v>
      </c>
      <c r="B271" s="445" t="s">
        <v>710</v>
      </c>
      <c r="C271" s="445" t="s">
        <v>635</v>
      </c>
      <c r="D271" s="445"/>
      <c r="E271" s="456"/>
      <c r="F271" s="447">
        <f>F272+F279+F284</f>
        <v>9695425.58</v>
      </c>
    </row>
    <row r="272" spans="1:6" ht="39">
      <c r="A272" s="444" t="s">
        <v>948</v>
      </c>
      <c r="B272" s="445" t="s">
        <v>710</v>
      </c>
      <c r="C272" s="445" t="s">
        <v>635</v>
      </c>
      <c r="D272" s="474" t="s">
        <v>949</v>
      </c>
      <c r="E272" s="456"/>
      <c r="F272" s="447">
        <f>F273</f>
        <v>970000</v>
      </c>
    </row>
    <row r="273" spans="1:6" s="461" customFormat="1" ht="51.75">
      <c r="A273" s="503" t="s">
        <v>950</v>
      </c>
      <c r="B273" s="457" t="s">
        <v>710</v>
      </c>
      <c r="C273" s="457" t="s">
        <v>635</v>
      </c>
      <c r="D273" s="474" t="s">
        <v>951</v>
      </c>
      <c r="E273" s="459"/>
      <c r="F273" s="460">
        <f>F274</f>
        <v>970000</v>
      </c>
    </row>
    <row r="274" spans="1:6" ht="25.5">
      <c r="A274" s="466" t="s">
        <v>952</v>
      </c>
      <c r="B274" s="445" t="s">
        <v>710</v>
      </c>
      <c r="C274" s="445" t="s">
        <v>635</v>
      </c>
      <c r="D274" s="474" t="s">
        <v>951</v>
      </c>
      <c r="E274" s="456"/>
      <c r="F274" s="447">
        <f>F275+F277</f>
        <v>970000</v>
      </c>
    </row>
    <row r="275" spans="1:6" ht="25.5">
      <c r="A275" s="475" t="s">
        <v>953</v>
      </c>
      <c r="B275" s="445" t="s">
        <v>710</v>
      </c>
      <c r="C275" s="445" t="s">
        <v>635</v>
      </c>
      <c r="D275" s="474" t="s">
        <v>954</v>
      </c>
      <c r="E275" s="456"/>
      <c r="F275" s="447">
        <f>F276</f>
        <v>0</v>
      </c>
    </row>
    <row r="276" spans="1:6" ht="15">
      <c r="A276" s="502" t="s">
        <v>814</v>
      </c>
      <c r="B276" s="445" t="s">
        <v>710</v>
      </c>
      <c r="C276" s="445" t="s">
        <v>635</v>
      </c>
      <c r="D276" s="474" t="s">
        <v>954</v>
      </c>
      <c r="E276" s="456" t="s">
        <v>815</v>
      </c>
      <c r="F276" s="447"/>
    </row>
    <row r="277" spans="1:6" ht="38.25">
      <c r="A277" s="475" t="s">
        <v>955</v>
      </c>
      <c r="B277" s="445" t="s">
        <v>710</v>
      </c>
      <c r="C277" s="445" t="s">
        <v>635</v>
      </c>
      <c r="D277" s="474" t="s">
        <v>956</v>
      </c>
      <c r="E277" s="456"/>
      <c r="F277" s="447">
        <f>F278</f>
        <v>970000</v>
      </c>
    </row>
    <row r="278" spans="1:6" ht="15">
      <c r="A278" s="502" t="s">
        <v>814</v>
      </c>
      <c r="B278" s="445" t="s">
        <v>710</v>
      </c>
      <c r="C278" s="445" t="s">
        <v>635</v>
      </c>
      <c r="D278" s="474" t="s">
        <v>956</v>
      </c>
      <c r="E278" s="456" t="s">
        <v>815</v>
      </c>
      <c r="F278" s="447">
        <v>970000</v>
      </c>
    </row>
    <row r="279" spans="1:6" ht="39">
      <c r="A279" s="503" t="s">
        <v>957</v>
      </c>
      <c r="B279" s="445" t="s">
        <v>710</v>
      </c>
      <c r="C279" s="445" t="s">
        <v>635</v>
      </c>
      <c r="D279" s="474" t="s">
        <v>912</v>
      </c>
      <c r="E279" s="456"/>
      <c r="F279" s="447">
        <f>F280</f>
        <v>1000000</v>
      </c>
    </row>
    <row r="280" spans="1:6" s="461" customFormat="1" ht="77.25">
      <c r="A280" s="502" t="s">
        <v>958</v>
      </c>
      <c r="B280" s="457" t="s">
        <v>710</v>
      </c>
      <c r="C280" s="457" t="s">
        <v>635</v>
      </c>
      <c r="D280" s="482" t="s">
        <v>959</v>
      </c>
      <c r="E280" s="459"/>
      <c r="F280" s="460">
        <f>F281</f>
        <v>1000000</v>
      </c>
    </row>
    <row r="281" spans="1:6" ht="38.25">
      <c r="A281" s="466" t="s">
        <v>960</v>
      </c>
      <c r="B281" s="445" t="s">
        <v>710</v>
      </c>
      <c r="C281" s="445" t="s">
        <v>635</v>
      </c>
      <c r="D281" s="470" t="s">
        <v>961</v>
      </c>
      <c r="E281" s="456"/>
      <c r="F281" s="447">
        <f>F282</f>
        <v>1000000</v>
      </c>
    </row>
    <row r="282" spans="1:6" ht="39">
      <c r="A282" s="452" t="s">
        <v>962</v>
      </c>
      <c r="B282" s="445" t="s">
        <v>710</v>
      </c>
      <c r="C282" s="445" t="s">
        <v>635</v>
      </c>
      <c r="D282" s="470" t="s">
        <v>963</v>
      </c>
      <c r="E282" s="456"/>
      <c r="F282" s="447">
        <f>F283</f>
        <v>1000000</v>
      </c>
    </row>
    <row r="283" spans="1:6" ht="15">
      <c r="A283" s="502" t="s">
        <v>814</v>
      </c>
      <c r="B283" s="445" t="s">
        <v>710</v>
      </c>
      <c r="C283" s="445" t="s">
        <v>635</v>
      </c>
      <c r="D283" s="470" t="s">
        <v>963</v>
      </c>
      <c r="E283" s="456" t="s">
        <v>815</v>
      </c>
      <c r="F283" s="447">
        <f>500000+500000</f>
        <v>1000000</v>
      </c>
    </row>
    <row r="284" spans="1:6" ht="38.25">
      <c r="A284" s="477" t="s">
        <v>884</v>
      </c>
      <c r="B284" s="445" t="s">
        <v>710</v>
      </c>
      <c r="C284" s="445" t="s">
        <v>635</v>
      </c>
      <c r="D284" s="474" t="s">
        <v>885</v>
      </c>
      <c r="E284" s="456"/>
      <c r="F284" s="447">
        <f>F285</f>
        <v>7725425.58</v>
      </c>
    </row>
    <row r="285" spans="1:6" s="461" customFormat="1" ht="51">
      <c r="A285" s="477" t="s">
        <v>964</v>
      </c>
      <c r="B285" s="457" t="s">
        <v>710</v>
      </c>
      <c r="C285" s="457" t="s">
        <v>635</v>
      </c>
      <c r="D285" s="482" t="s">
        <v>887</v>
      </c>
      <c r="E285" s="459"/>
      <c r="F285" s="460">
        <f>F286</f>
        <v>7725425.58</v>
      </c>
    </row>
    <row r="286" spans="1:6" ht="15">
      <c r="A286" s="504" t="s">
        <v>965</v>
      </c>
      <c r="B286" s="445" t="s">
        <v>710</v>
      </c>
      <c r="C286" s="445" t="s">
        <v>635</v>
      </c>
      <c r="D286" s="474" t="s">
        <v>966</v>
      </c>
      <c r="E286" s="456"/>
      <c r="F286" s="447">
        <f>F287+F295+F289+F291+F293</f>
        <v>7725425.58</v>
      </c>
    </row>
    <row r="287" spans="1:6" ht="15">
      <c r="A287" s="475" t="s">
        <v>967</v>
      </c>
      <c r="B287" s="445" t="s">
        <v>710</v>
      </c>
      <c r="C287" s="445" t="s">
        <v>635</v>
      </c>
      <c r="D287" s="474" t="s">
        <v>968</v>
      </c>
      <c r="E287" s="456"/>
      <c r="F287" s="447">
        <f>F288</f>
        <v>5578897</v>
      </c>
    </row>
    <row r="288" spans="1:6" ht="17.25" customHeight="1">
      <c r="A288" s="502" t="s">
        <v>814</v>
      </c>
      <c r="B288" s="445" t="s">
        <v>710</v>
      </c>
      <c r="C288" s="445" t="s">
        <v>635</v>
      </c>
      <c r="D288" s="474" t="s">
        <v>968</v>
      </c>
      <c r="E288" s="456" t="s">
        <v>815</v>
      </c>
      <c r="F288" s="447">
        <f>1615000-615000-163165+4742062</f>
        <v>5578897</v>
      </c>
    </row>
    <row r="289" spans="1:6" ht="25.5" hidden="1">
      <c r="A289" s="496" t="s">
        <v>969</v>
      </c>
      <c r="B289" s="445" t="s">
        <v>710</v>
      </c>
      <c r="C289" s="445" t="s">
        <v>635</v>
      </c>
      <c r="D289" s="474" t="s">
        <v>970</v>
      </c>
      <c r="E289" s="456"/>
      <c r="F289" s="447">
        <f>F290</f>
        <v>0</v>
      </c>
    </row>
    <row r="290" spans="1:6" ht="15" hidden="1">
      <c r="A290" s="502" t="s">
        <v>814</v>
      </c>
      <c r="B290" s="445" t="s">
        <v>710</v>
      </c>
      <c r="C290" s="445" t="s">
        <v>635</v>
      </c>
      <c r="D290" s="474" t="s">
        <v>970</v>
      </c>
      <c r="E290" s="456" t="s">
        <v>815</v>
      </c>
      <c r="F290" s="447"/>
    </row>
    <row r="291" spans="1:6" ht="38.25">
      <c r="A291" s="496" t="s">
        <v>971</v>
      </c>
      <c r="B291" s="445" t="s">
        <v>710</v>
      </c>
      <c r="C291" s="445" t="s">
        <v>635</v>
      </c>
      <c r="D291" s="474" t="s">
        <v>972</v>
      </c>
      <c r="E291" s="456"/>
      <c r="F291" s="447">
        <f>F292</f>
        <v>230676.58</v>
      </c>
    </row>
    <row r="292" spans="1:6" ht="15">
      <c r="A292" s="502" t="s">
        <v>814</v>
      </c>
      <c r="B292" s="445" t="s">
        <v>710</v>
      </c>
      <c r="C292" s="445" t="s">
        <v>635</v>
      </c>
      <c r="D292" s="474" t="s">
        <v>972</v>
      </c>
      <c r="E292" s="456" t="s">
        <v>815</v>
      </c>
      <c r="F292" s="447">
        <f>229729.58+947</f>
        <v>230676.58</v>
      </c>
    </row>
    <row r="293" spans="1:6" ht="24">
      <c r="A293" s="505" t="s">
        <v>973</v>
      </c>
      <c r="B293" s="445" t="s">
        <v>710</v>
      </c>
      <c r="C293" s="445" t="s">
        <v>635</v>
      </c>
      <c r="D293" s="474" t="s">
        <v>974</v>
      </c>
      <c r="E293" s="456"/>
      <c r="F293" s="447">
        <f>F294</f>
        <v>1300852</v>
      </c>
    </row>
    <row r="294" spans="1:6" ht="15">
      <c r="A294" s="502" t="s">
        <v>814</v>
      </c>
      <c r="B294" s="445" t="s">
        <v>710</v>
      </c>
      <c r="C294" s="445" t="s">
        <v>635</v>
      </c>
      <c r="D294" s="474" t="s">
        <v>974</v>
      </c>
      <c r="E294" s="456" t="s">
        <v>815</v>
      </c>
      <c r="F294" s="447">
        <f>1300852</f>
        <v>1300852</v>
      </c>
    </row>
    <row r="295" spans="1:6" ht="39">
      <c r="A295" s="452" t="s">
        <v>962</v>
      </c>
      <c r="B295" s="445" t="s">
        <v>710</v>
      </c>
      <c r="C295" s="445" t="s">
        <v>635</v>
      </c>
      <c r="D295" s="474" t="s">
        <v>975</v>
      </c>
      <c r="E295" s="456"/>
      <c r="F295" s="447">
        <f>F296</f>
        <v>615000</v>
      </c>
    </row>
    <row r="296" spans="1:6" ht="15">
      <c r="A296" s="502" t="s">
        <v>814</v>
      </c>
      <c r="B296" s="445" t="s">
        <v>710</v>
      </c>
      <c r="C296" s="445" t="s">
        <v>635</v>
      </c>
      <c r="D296" s="474" t="s">
        <v>975</v>
      </c>
      <c r="E296" s="456" t="s">
        <v>815</v>
      </c>
      <c r="F296" s="447">
        <f>600000+15000</f>
        <v>615000</v>
      </c>
    </row>
    <row r="297" spans="1:6" ht="15">
      <c r="A297" s="502" t="s">
        <v>976</v>
      </c>
      <c r="B297" s="445" t="s">
        <v>714</v>
      </c>
      <c r="C297" s="445"/>
      <c r="D297" s="474"/>
      <c r="E297" s="456"/>
      <c r="F297" s="447">
        <f>F298</f>
        <v>300000</v>
      </c>
    </row>
    <row r="298" spans="1:6" ht="15">
      <c r="A298" s="506" t="s">
        <v>977</v>
      </c>
      <c r="B298" s="445" t="s">
        <v>714</v>
      </c>
      <c r="C298" s="445" t="s">
        <v>710</v>
      </c>
      <c r="D298" s="474"/>
      <c r="E298" s="456"/>
      <c r="F298" s="447">
        <f>F299</f>
        <v>300000</v>
      </c>
    </row>
    <row r="299" spans="1:6" ht="15">
      <c r="A299" s="506" t="s">
        <v>698</v>
      </c>
      <c r="B299" s="445" t="s">
        <v>714</v>
      </c>
      <c r="C299" s="445" t="s">
        <v>710</v>
      </c>
      <c r="D299" s="474" t="s">
        <v>699</v>
      </c>
      <c r="E299" s="456"/>
      <c r="F299" s="447">
        <f>F300</f>
        <v>300000</v>
      </c>
    </row>
    <row r="300" spans="1:6" ht="15">
      <c r="A300" s="451" t="s">
        <v>705</v>
      </c>
      <c r="B300" s="445" t="s">
        <v>714</v>
      </c>
      <c r="C300" s="445" t="s">
        <v>710</v>
      </c>
      <c r="D300" s="474" t="s">
        <v>706</v>
      </c>
      <c r="E300" s="456"/>
      <c r="F300" s="447">
        <f>F301</f>
        <v>300000</v>
      </c>
    </row>
    <row r="301" spans="1:6" ht="15">
      <c r="A301" s="451" t="s">
        <v>978</v>
      </c>
      <c r="B301" s="445" t="s">
        <v>714</v>
      </c>
      <c r="C301" s="445" t="s">
        <v>710</v>
      </c>
      <c r="D301" s="474" t="s">
        <v>979</v>
      </c>
      <c r="E301" s="456"/>
      <c r="F301" s="447">
        <f>F302</f>
        <v>300000</v>
      </c>
    </row>
    <row r="302" spans="1:6" ht="26.25">
      <c r="A302" s="454" t="s">
        <v>654</v>
      </c>
      <c r="B302" s="445" t="s">
        <v>714</v>
      </c>
      <c r="C302" s="445" t="s">
        <v>710</v>
      </c>
      <c r="D302" s="474" t="s">
        <v>979</v>
      </c>
      <c r="E302" s="456" t="s">
        <v>655</v>
      </c>
      <c r="F302" s="447">
        <v>300000</v>
      </c>
    </row>
    <row r="303" spans="1:6" ht="15">
      <c r="A303" s="451" t="s">
        <v>980</v>
      </c>
      <c r="B303" s="445" t="s">
        <v>721</v>
      </c>
      <c r="C303" s="445"/>
      <c r="D303" s="474"/>
      <c r="E303" s="481"/>
      <c r="F303" s="447">
        <f>F380+F304+F323+F405+F366</f>
        <v>386881152.58000004</v>
      </c>
    </row>
    <row r="304" spans="1:6" ht="15">
      <c r="A304" s="451" t="s">
        <v>981</v>
      </c>
      <c r="B304" s="445" t="s">
        <v>721</v>
      </c>
      <c r="C304" s="445" t="s">
        <v>633</v>
      </c>
      <c r="D304" s="474"/>
      <c r="E304" s="481"/>
      <c r="F304" s="447">
        <f>F305+F316</f>
        <v>90237763.81</v>
      </c>
    </row>
    <row r="305" spans="1:6" ht="26.25">
      <c r="A305" s="451" t="s">
        <v>982</v>
      </c>
      <c r="B305" s="445" t="s">
        <v>721</v>
      </c>
      <c r="C305" s="445" t="s">
        <v>633</v>
      </c>
      <c r="D305" s="445" t="s">
        <v>983</v>
      </c>
      <c r="E305" s="446"/>
      <c r="F305" s="447">
        <f>F306</f>
        <v>88029123.81</v>
      </c>
    </row>
    <row r="306" spans="1:6" s="461" customFormat="1" ht="39">
      <c r="A306" s="444" t="s">
        <v>984</v>
      </c>
      <c r="B306" s="457" t="s">
        <v>721</v>
      </c>
      <c r="C306" s="457" t="s">
        <v>633</v>
      </c>
      <c r="D306" s="457" t="s">
        <v>985</v>
      </c>
      <c r="E306" s="464"/>
      <c r="F306" s="460">
        <f>F307</f>
        <v>88029123.81</v>
      </c>
    </row>
    <row r="307" spans="1:6" ht="25.5">
      <c r="A307" s="466" t="s">
        <v>986</v>
      </c>
      <c r="B307" s="445" t="s">
        <v>721</v>
      </c>
      <c r="C307" s="445" t="s">
        <v>633</v>
      </c>
      <c r="D307" s="445" t="s">
        <v>987</v>
      </c>
      <c r="E307" s="446"/>
      <c r="F307" s="447">
        <f>F308+F311</f>
        <v>88029123.81</v>
      </c>
    </row>
    <row r="308" spans="1:6" ht="64.5">
      <c r="A308" s="463" t="s">
        <v>988</v>
      </c>
      <c r="B308" s="445" t="s">
        <v>721</v>
      </c>
      <c r="C308" s="445" t="s">
        <v>633</v>
      </c>
      <c r="D308" s="445" t="s">
        <v>989</v>
      </c>
      <c r="E308" s="446"/>
      <c r="F308" s="447">
        <f>F309+F310</f>
        <v>45980129</v>
      </c>
    </row>
    <row r="309" spans="1:6" ht="38.25">
      <c r="A309" s="507" t="s">
        <v>642</v>
      </c>
      <c r="B309" s="445" t="s">
        <v>721</v>
      </c>
      <c r="C309" s="445" t="s">
        <v>633</v>
      </c>
      <c r="D309" s="445" t="s">
        <v>989</v>
      </c>
      <c r="E309" s="446" t="s">
        <v>643</v>
      </c>
      <c r="F309" s="447">
        <v>45470627</v>
      </c>
    </row>
    <row r="310" spans="1:6" ht="26.25">
      <c r="A310" s="454" t="s">
        <v>654</v>
      </c>
      <c r="B310" s="445" t="s">
        <v>721</v>
      </c>
      <c r="C310" s="445" t="s">
        <v>633</v>
      </c>
      <c r="D310" s="445" t="s">
        <v>989</v>
      </c>
      <c r="E310" s="446" t="s">
        <v>655</v>
      </c>
      <c r="F310" s="447">
        <v>509502</v>
      </c>
    </row>
    <row r="311" spans="1:6" ht="25.5">
      <c r="A311" s="466" t="s">
        <v>816</v>
      </c>
      <c r="B311" s="445" t="s">
        <v>721</v>
      </c>
      <c r="C311" s="445" t="s">
        <v>633</v>
      </c>
      <c r="D311" s="445" t="s">
        <v>990</v>
      </c>
      <c r="E311" s="446"/>
      <c r="F311" s="447">
        <f>F312+F313+F315+F314</f>
        <v>42048994.81</v>
      </c>
    </row>
    <row r="312" spans="1:6" ht="39">
      <c r="A312" s="454" t="s">
        <v>642</v>
      </c>
      <c r="B312" s="445" t="s">
        <v>721</v>
      </c>
      <c r="C312" s="445" t="s">
        <v>633</v>
      </c>
      <c r="D312" s="445" t="s">
        <v>990</v>
      </c>
      <c r="E312" s="446" t="s">
        <v>643</v>
      </c>
      <c r="F312" s="447">
        <v>22202400</v>
      </c>
    </row>
    <row r="313" spans="1:6" ht="26.25">
      <c r="A313" s="454" t="s">
        <v>654</v>
      </c>
      <c r="B313" s="445" t="s">
        <v>721</v>
      </c>
      <c r="C313" s="445" t="s">
        <v>633</v>
      </c>
      <c r="D313" s="445" t="s">
        <v>990</v>
      </c>
      <c r="E313" s="446" t="s">
        <v>655</v>
      </c>
      <c r="F313" s="447">
        <f>17709905.81+167564</f>
        <v>17877469.81</v>
      </c>
    </row>
    <row r="314" spans="1:6" ht="15">
      <c r="A314" s="454"/>
      <c r="B314" s="445" t="s">
        <v>721</v>
      </c>
      <c r="C314" s="445" t="s">
        <v>633</v>
      </c>
      <c r="D314" s="445" t="s">
        <v>990</v>
      </c>
      <c r="E314" s="446" t="s">
        <v>871</v>
      </c>
      <c r="F314" s="447">
        <f>25872</f>
        <v>25872</v>
      </c>
    </row>
    <row r="315" spans="1:6" ht="15">
      <c r="A315" s="466" t="s">
        <v>696</v>
      </c>
      <c r="B315" s="445" t="s">
        <v>721</v>
      </c>
      <c r="C315" s="445" t="s">
        <v>633</v>
      </c>
      <c r="D315" s="445" t="s">
        <v>990</v>
      </c>
      <c r="E315" s="446" t="s">
        <v>697</v>
      </c>
      <c r="F315" s="447">
        <f>1924385+16368+2500</f>
        <v>1943253</v>
      </c>
    </row>
    <row r="316" spans="1:6" ht="38.25">
      <c r="A316" s="508" t="s">
        <v>911</v>
      </c>
      <c r="B316" s="445" t="s">
        <v>721</v>
      </c>
      <c r="C316" s="445" t="s">
        <v>633</v>
      </c>
      <c r="D316" s="445" t="s">
        <v>912</v>
      </c>
      <c r="E316" s="446"/>
      <c r="F316" s="447">
        <f>F317</f>
        <v>2208640</v>
      </c>
    </row>
    <row r="317" spans="1:6" ht="63.75">
      <c r="A317" s="490" t="s">
        <v>913</v>
      </c>
      <c r="B317" s="445" t="s">
        <v>721</v>
      </c>
      <c r="C317" s="445" t="s">
        <v>633</v>
      </c>
      <c r="D317" s="457" t="s">
        <v>914</v>
      </c>
      <c r="E317" s="446"/>
      <c r="F317" s="447">
        <f>F318</f>
        <v>2208640</v>
      </c>
    </row>
    <row r="318" spans="1:6" ht="38.25">
      <c r="A318" s="466" t="s">
        <v>991</v>
      </c>
      <c r="B318" s="445" t="s">
        <v>721</v>
      </c>
      <c r="C318" s="445" t="s">
        <v>633</v>
      </c>
      <c r="D318" s="445" t="s">
        <v>992</v>
      </c>
      <c r="E318" s="446"/>
      <c r="F318" s="447">
        <f>F321+F319</f>
        <v>2208640</v>
      </c>
    </row>
    <row r="319" spans="1:6" ht="24">
      <c r="A319" s="505" t="s">
        <v>993</v>
      </c>
      <c r="B319" s="445" t="s">
        <v>721</v>
      </c>
      <c r="C319" s="445" t="s">
        <v>633</v>
      </c>
      <c r="D319" s="445" t="s">
        <v>994</v>
      </c>
      <c r="E319" s="446"/>
      <c r="F319" s="447">
        <f>F320</f>
        <v>1748640</v>
      </c>
    </row>
    <row r="320" spans="1:6" ht="26.25">
      <c r="A320" s="491" t="s">
        <v>870</v>
      </c>
      <c r="B320" s="445" t="s">
        <v>721</v>
      </c>
      <c r="C320" s="445" t="s">
        <v>633</v>
      </c>
      <c r="D320" s="445" t="s">
        <v>994</v>
      </c>
      <c r="E320" s="446" t="s">
        <v>871</v>
      </c>
      <c r="F320" s="447">
        <f>1748640</f>
        <v>1748640</v>
      </c>
    </row>
    <row r="321" spans="1:6" ht="25.5">
      <c r="A321" s="466" t="s">
        <v>995</v>
      </c>
      <c r="B321" s="445" t="s">
        <v>721</v>
      </c>
      <c r="C321" s="445" t="s">
        <v>633</v>
      </c>
      <c r="D321" s="445" t="s">
        <v>996</v>
      </c>
      <c r="E321" s="446"/>
      <c r="F321" s="447">
        <f>F322</f>
        <v>460000</v>
      </c>
    </row>
    <row r="322" spans="1:6" ht="26.25">
      <c r="A322" s="491" t="s">
        <v>870</v>
      </c>
      <c r="B322" s="445" t="s">
        <v>721</v>
      </c>
      <c r="C322" s="445" t="s">
        <v>633</v>
      </c>
      <c r="D322" s="445" t="s">
        <v>996</v>
      </c>
      <c r="E322" s="446" t="s">
        <v>871</v>
      </c>
      <c r="F322" s="447">
        <v>460000</v>
      </c>
    </row>
    <row r="323" spans="1:6" ht="15">
      <c r="A323" s="451" t="s">
        <v>997</v>
      </c>
      <c r="B323" s="445" t="s">
        <v>721</v>
      </c>
      <c r="C323" s="445" t="s">
        <v>635</v>
      </c>
      <c r="D323" s="445"/>
      <c r="E323" s="446"/>
      <c r="F323" s="447">
        <f>F324+F353+F361</f>
        <v>240986128.34</v>
      </c>
    </row>
    <row r="324" spans="1:6" ht="26.25">
      <c r="A324" s="451" t="s">
        <v>982</v>
      </c>
      <c r="B324" s="445" t="s">
        <v>721</v>
      </c>
      <c r="C324" s="445" t="s">
        <v>635</v>
      </c>
      <c r="D324" s="445" t="s">
        <v>983</v>
      </c>
      <c r="E324" s="446"/>
      <c r="F324" s="447">
        <f>F325</f>
        <v>240808328.34</v>
      </c>
    </row>
    <row r="325" spans="1:6" s="461" customFormat="1" ht="39">
      <c r="A325" s="444" t="s">
        <v>984</v>
      </c>
      <c r="B325" s="457" t="s">
        <v>721</v>
      </c>
      <c r="C325" s="457" t="s">
        <v>635</v>
      </c>
      <c r="D325" s="457" t="s">
        <v>985</v>
      </c>
      <c r="E325" s="464"/>
      <c r="F325" s="460">
        <f>F326+F329</f>
        <v>240808328.34</v>
      </c>
    </row>
    <row r="326" spans="1:6" s="461" customFormat="1" ht="15">
      <c r="A326" s="509" t="s">
        <v>998</v>
      </c>
      <c r="B326" s="445" t="s">
        <v>721</v>
      </c>
      <c r="C326" s="445" t="s">
        <v>635</v>
      </c>
      <c r="D326" s="445" t="s">
        <v>999</v>
      </c>
      <c r="E326" s="464"/>
      <c r="F326" s="447">
        <f>F327</f>
        <v>2000000</v>
      </c>
    </row>
    <row r="327" spans="1:6" s="461" customFormat="1" ht="26.25">
      <c r="A327" s="509" t="s">
        <v>1000</v>
      </c>
      <c r="B327" s="445" t="s">
        <v>721</v>
      </c>
      <c r="C327" s="445" t="s">
        <v>635</v>
      </c>
      <c r="D327" s="445" t="s">
        <v>1001</v>
      </c>
      <c r="E327" s="464"/>
      <c r="F327" s="447">
        <f>F328</f>
        <v>2000000</v>
      </c>
    </row>
    <row r="328" spans="1:6" s="461" customFormat="1" ht="26.25">
      <c r="A328" s="454" t="s">
        <v>654</v>
      </c>
      <c r="B328" s="445" t="s">
        <v>721</v>
      </c>
      <c r="C328" s="445" t="s">
        <v>635</v>
      </c>
      <c r="D328" s="445" t="s">
        <v>1001</v>
      </c>
      <c r="E328" s="446" t="s">
        <v>655</v>
      </c>
      <c r="F328" s="447">
        <f>786836.4+1300000-86836.4</f>
        <v>2000000</v>
      </c>
    </row>
    <row r="329" spans="1:6" ht="25.5">
      <c r="A329" s="466" t="s">
        <v>1002</v>
      </c>
      <c r="B329" s="445" t="s">
        <v>721</v>
      </c>
      <c r="C329" s="445" t="s">
        <v>635</v>
      </c>
      <c r="D329" s="445" t="s">
        <v>1003</v>
      </c>
      <c r="E329" s="446"/>
      <c r="F329" s="447">
        <f>F330+F337+F339+F341+F343+F345+F347+F351+F333+F335</f>
        <v>238808328.34</v>
      </c>
    </row>
    <row r="330" spans="1:6" ht="77.25">
      <c r="A330" s="463" t="s">
        <v>1004</v>
      </c>
      <c r="B330" s="445" t="s">
        <v>721</v>
      </c>
      <c r="C330" s="445" t="s">
        <v>635</v>
      </c>
      <c r="D330" s="445" t="s">
        <v>1005</v>
      </c>
      <c r="E330" s="446"/>
      <c r="F330" s="447">
        <f>F331+F332</f>
        <v>193829050</v>
      </c>
    </row>
    <row r="331" spans="1:6" ht="39">
      <c r="A331" s="454" t="s">
        <v>642</v>
      </c>
      <c r="B331" s="445" t="s">
        <v>721</v>
      </c>
      <c r="C331" s="445" t="s">
        <v>635</v>
      </c>
      <c r="D331" s="445" t="s">
        <v>1005</v>
      </c>
      <c r="E331" s="446" t="s">
        <v>643</v>
      </c>
      <c r="F331" s="447">
        <v>186909233</v>
      </c>
    </row>
    <row r="332" spans="1:6" ht="26.25">
      <c r="A332" s="454" t="s">
        <v>654</v>
      </c>
      <c r="B332" s="445" t="s">
        <v>721</v>
      </c>
      <c r="C332" s="445" t="s">
        <v>635</v>
      </c>
      <c r="D332" s="445" t="s">
        <v>1005</v>
      </c>
      <c r="E332" s="446" t="s">
        <v>655</v>
      </c>
      <c r="F332" s="447">
        <v>6919817</v>
      </c>
    </row>
    <row r="333" spans="1:6" ht="26.25">
      <c r="A333" s="463" t="s">
        <v>1006</v>
      </c>
      <c r="B333" s="445" t="s">
        <v>721</v>
      </c>
      <c r="C333" s="445" t="s">
        <v>635</v>
      </c>
      <c r="D333" s="445" t="s">
        <v>1007</v>
      </c>
      <c r="E333" s="446"/>
      <c r="F333" s="447">
        <f>F334</f>
        <v>1607171</v>
      </c>
    </row>
    <row r="334" spans="1:6" ht="26.25">
      <c r="A334" s="454" t="s">
        <v>654</v>
      </c>
      <c r="B334" s="445" t="s">
        <v>721</v>
      </c>
      <c r="C334" s="445" t="s">
        <v>635</v>
      </c>
      <c r="D334" s="445" t="s">
        <v>1007</v>
      </c>
      <c r="E334" s="446" t="s">
        <v>655</v>
      </c>
      <c r="F334" s="447">
        <f>1607171</f>
        <v>1607171</v>
      </c>
    </row>
    <row r="335" spans="1:6" ht="26.25">
      <c r="A335" s="463" t="s">
        <v>1008</v>
      </c>
      <c r="B335" s="445" t="s">
        <v>721</v>
      </c>
      <c r="C335" s="445" t="s">
        <v>635</v>
      </c>
      <c r="D335" s="445" t="s">
        <v>1009</v>
      </c>
      <c r="E335" s="446"/>
      <c r="F335" s="447">
        <f>F336</f>
        <v>865399</v>
      </c>
    </row>
    <row r="336" spans="1:6" ht="24.75" customHeight="1">
      <c r="A336" s="454" t="s">
        <v>654</v>
      </c>
      <c r="B336" s="445" t="s">
        <v>721</v>
      </c>
      <c r="C336" s="445" t="s">
        <v>635</v>
      </c>
      <c r="D336" s="445" t="s">
        <v>1009</v>
      </c>
      <c r="E336" s="446" t="s">
        <v>655</v>
      </c>
      <c r="F336" s="447">
        <f>826214.9+39184.1</f>
        <v>865399</v>
      </c>
    </row>
    <row r="337" spans="1:6" ht="15">
      <c r="A337" s="463" t="s">
        <v>1010</v>
      </c>
      <c r="B337" s="445" t="s">
        <v>721</v>
      </c>
      <c r="C337" s="445" t="s">
        <v>635</v>
      </c>
      <c r="D337" s="445" t="s">
        <v>1011</v>
      </c>
      <c r="E337" s="446"/>
      <c r="F337" s="447">
        <f>F338</f>
        <v>889886</v>
      </c>
    </row>
    <row r="338" spans="1:6" ht="26.25">
      <c r="A338" s="454" t="s">
        <v>654</v>
      </c>
      <c r="B338" s="445" t="s">
        <v>721</v>
      </c>
      <c r="C338" s="445" t="s">
        <v>635</v>
      </c>
      <c r="D338" s="445" t="s">
        <v>1011</v>
      </c>
      <c r="E338" s="446" t="s">
        <v>655</v>
      </c>
      <c r="F338" s="447">
        <f>889886</f>
        <v>889886</v>
      </c>
    </row>
    <row r="339" spans="1:6" ht="38.25">
      <c r="A339" s="496" t="s">
        <v>1012</v>
      </c>
      <c r="B339" s="445" t="s">
        <v>721</v>
      </c>
      <c r="C339" s="445" t="s">
        <v>635</v>
      </c>
      <c r="D339" s="445" t="s">
        <v>1013</v>
      </c>
      <c r="E339" s="446"/>
      <c r="F339" s="447">
        <f>F340</f>
        <v>1468800</v>
      </c>
    </row>
    <row r="340" spans="1:6" ht="29.25" customHeight="1">
      <c r="A340" s="454" t="s">
        <v>654</v>
      </c>
      <c r="B340" s="445" t="s">
        <v>721</v>
      </c>
      <c r="C340" s="445" t="s">
        <v>635</v>
      </c>
      <c r="D340" s="445" t="s">
        <v>1013</v>
      </c>
      <c r="E340" s="446" t="s">
        <v>655</v>
      </c>
      <c r="F340" s="447">
        <v>1468800</v>
      </c>
    </row>
    <row r="341" spans="1:6" ht="51.75">
      <c r="A341" s="463" t="s">
        <v>1014</v>
      </c>
      <c r="B341" s="445" t="s">
        <v>721</v>
      </c>
      <c r="C341" s="445" t="s">
        <v>635</v>
      </c>
      <c r="D341" s="445" t="s">
        <v>1015</v>
      </c>
      <c r="E341" s="446"/>
      <c r="F341" s="447">
        <f>F342</f>
        <v>48449</v>
      </c>
    </row>
    <row r="342" spans="1:6" ht="26.25">
      <c r="A342" s="454" t="s">
        <v>654</v>
      </c>
      <c r="B342" s="445" t="s">
        <v>721</v>
      </c>
      <c r="C342" s="445" t="s">
        <v>635</v>
      </c>
      <c r="D342" s="445" t="s">
        <v>1015</v>
      </c>
      <c r="E342" s="446" t="s">
        <v>655</v>
      </c>
      <c r="F342" s="447">
        <f>48449</f>
        <v>48449</v>
      </c>
    </row>
    <row r="343" spans="1:6" ht="39">
      <c r="A343" s="463" t="s">
        <v>1016</v>
      </c>
      <c r="B343" s="445" t="s">
        <v>721</v>
      </c>
      <c r="C343" s="445" t="s">
        <v>635</v>
      </c>
      <c r="D343" s="445" t="s">
        <v>1017</v>
      </c>
      <c r="E343" s="446"/>
      <c r="F343" s="447">
        <f>F344</f>
        <v>500000</v>
      </c>
    </row>
    <row r="344" spans="1:6" ht="24.75" customHeight="1">
      <c r="A344" s="454" t="s">
        <v>654</v>
      </c>
      <c r="B344" s="445" t="s">
        <v>721</v>
      </c>
      <c r="C344" s="445" t="s">
        <v>635</v>
      </c>
      <c r="D344" s="445" t="s">
        <v>1017</v>
      </c>
      <c r="E344" s="446" t="s">
        <v>655</v>
      </c>
      <c r="F344" s="447">
        <v>500000</v>
      </c>
    </row>
    <row r="345" spans="1:6" ht="18.75" customHeight="1" hidden="1">
      <c r="A345" s="502" t="s">
        <v>1018</v>
      </c>
      <c r="B345" s="445" t="s">
        <v>721</v>
      </c>
      <c r="C345" s="445" t="s">
        <v>635</v>
      </c>
      <c r="D345" s="445" t="s">
        <v>1019</v>
      </c>
      <c r="E345" s="446"/>
      <c r="F345" s="447">
        <f>F346</f>
        <v>0</v>
      </c>
    </row>
    <row r="346" spans="1:6" ht="39" hidden="1">
      <c r="A346" s="454" t="s">
        <v>642</v>
      </c>
      <c r="B346" s="445" t="s">
        <v>721</v>
      </c>
      <c r="C346" s="445" t="s">
        <v>635</v>
      </c>
      <c r="D346" s="445" t="s">
        <v>1019</v>
      </c>
      <c r="E346" s="446" t="s">
        <v>643</v>
      </c>
      <c r="F346" s="447"/>
    </row>
    <row r="347" spans="1:6" ht="25.5">
      <c r="A347" s="466" t="s">
        <v>816</v>
      </c>
      <c r="B347" s="445" t="s">
        <v>721</v>
      </c>
      <c r="C347" s="445" t="s">
        <v>635</v>
      </c>
      <c r="D347" s="445" t="s">
        <v>1020</v>
      </c>
      <c r="E347" s="446"/>
      <c r="F347" s="447">
        <f>F348+F350+F349</f>
        <v>39421973.34</v>
      </c>
    </row>
    <row r="348" spans="1:6" ht="26.25">
      <c r="A348" s="454" t="s">
        <v>654</v>
      </c>
      <c r="B348" s="445" t="s">
        <v>721</v>
      </c>
      <c r="C348" s="445" t="s">
        <v>635</v>
      </c>
      <c r="D348" s="445" t="s">
        <v>1020</v>
      </c>
      <c r="E348" s="446" t="s">
        <v>655</v>
      </c>
      <c r="F348" s="447">
        <f>33563717.34+1989489</f>
        <v>35553206.34</v>
      </c>
    </row>
    <row r="349" spans="1:6" ht="26.25">
      <c r="A349" s="491" t="s">
        <v>870</v>
      </c>
      <c r="B349" s="445" t="s">
        <v>721</v>
      </c>
      <c r="C349" s="445" t="s">
        <v>635</v>
      </c>
      <c r="D349" s="445" t="s">
        <v>1020</v>
      </c>
      <c r="E349" s="446" t="s">
        <v>871</v>
      </c>
      <c r="F349" s="447">
        <f>600000</f>
        <v>600000</v>
      </c>
    </row>
    <row r="350" spans="1:6" ht="15">
      <c r="A350" s="466" t="s">
        <v>696</v>
      </c>
      <c r="B350" s="445" t="s">
        <v>721</v>
      </c>
      <c r="C350" s="445" t="s">
        <v>635</v>
      </c>
      <c r="D350" s="445" t="s">
        <v>1020</v>
      </c>
      <c r="E350" s="446" t="s">
        <v>697</v>
      </c>
      <c r="F350" s="447">
        <f>2133738+1135029</f>
        <v>3268767</v>
      </c>
    </row>
    <row r="351" spans="1:6" ht="15">
      <c r="A351" s="454" t="s">
        <v>1021</v>
      </c>
      <c r="B351" s="445" t="s">
        <v>721</v>
      </c>
      <c r="C351" s="445" t="s">
        <v>635</v>
      </c>
      <c r="D351" s="445" t="s">
        <v>1022</v>
      </c>
      <c r="E351" s="446"/>
      <c r="F351" s="447">
        <f>F352</f>
        <v>177600</v>
      </c>
    </row>
    <row r="352" spans="1:6" ht="26.25">
      <c r="A352" s="454" t="s">
        <v>654</v>
      </c>
      <c r="B352" s="445" t="s">
        <v>721</v>
      </c>
      <c r="C352" s="445" t="s">
        <v>635</v>
      </c>
      <c r="D352" s="445" t="s">
        <v>1022</v>
      </c>
      <c r="E352" s="446" t="s">
        <v>655</v>
      </c>
      <c r="F352" s="447">
        <f>177600</f>
        <v>177600</v>
      </c>
    </row>
    <row r="353" spans="1:6" ht="51">
      <c r="A353" s="487" t="s">
        <v>770</v>
      </c>
      <c r="B353" s="445" t="s">
        <v>721</v>
      </c>
      <c r="C353" s="445" t="s">
        <v>635</v>
      </c>
      <c r="D353" s="474" t="s">
        <v>771</v>
      </c>
      <c r="E353" s="446"/>
      <c r="F353" s="447">
        <f>F354</f>
        <v>167800</v>
      </c>
    </row>
    <row r="354" spans="1:6" s="461" customFormat="1" ht="63.75">
      <c r="A354" s="488" t="s">
        <v>772</v>
      </c>
      <c r="B354" s="457" t="s">
        <v>721</v>
      </c>
      <c r="C354" s="457" t="s">
        <v>635</v>
      </c>
      <c r="D354" s="482" t="s">
        <v>773</v>
      </c>
      <c r="E354" s="464"/>
      <c r="F354" s="460">
        <f>F355+F358</f>
        <v>167800</v>
      </c>
    </row>
    <row r="355" spans="1:6" ht="25.5" hidden="1">
      <c r="A355" s="497" t="s">
        <v>774</v>
      </c>
      <c r="B355" s="445" t="s">
        <v>721</v>
      </c>
      <c r="C355" s="445" t="s">
        <v>635</v>
      </c>
      <c r="D355" s="474" t="s">
        <v>775</v>
      </c>
      <c r="E355" s="446"/>
      <c r="F355" s="447">
        <f>F356</f>
        <v>0</v>
      </c>
    </row>
    <row r="356" spans="1:6" ht="25.5" hidden="1">
      <c r="A356" s="466" t="s">
        <v>776</v>
      </c>
      <c r="B356" s="445" t="s">
        <v>721</v>
      </c>
      <c r="C356" s="445" t="s">
        <v>635</v>
      </c>
      <c r="D356" s="474" t="s">
        <v>777</v>
      </c>
      <c r="E356" s="446"/>
      <c r="F356" s="447">
        <f>F357</f>
        <v>0</v>
      </c>
    </row>
    <row r="357" spans="1:6" ht="26.25" hidden="1">
      <c r="A357" s="454" t="s">
        <v>654</v>
      </c>
      <c r="B357" s="445" t="s">
        <v>721</v>
      </c>
      <c r="C357" s="445" t="s">
        <v>635</v>
      </c>
      <c r="D357" s="474" t="s">
        <v>777</v>
      </c>
      <c r="E357" s="446" t="s">
        <v>655</v>
      </c>
      <c r="F357" s="447"/>
    </row>
    <row r="358" spans="1:6" ht="51">
      <c r="A358" s="497" t="s">
        <v>1023</v>
      </c>
      <c r="B358" s="445" t="s">
        <v>721</v>
      </c>
      <c r="C358" s="445" t="s">
        <v>635</v>
      </c>
      <c r="D358" s="474" t="s">
        <v>1024</v>
      </c>
      <c r="E358" s="446"/>
      <c r="F358" s="447">
        <f>F359</f>
        <v>167800</v>
      </c>
    </row>
    <row r="359" spans="1:6" ht="25.5">
      <c r="A359" s="466" t="s">
        <v>776</v>
      </c>
      <c r="B359" s="445" t="s">
        <v>721</v>
      </c>
      <c r="C359" s="445" t="s">
        <v>635</v>
      </c>
      <c r="D359" s="474" t="s">
        <v>1025</v>
      </c>
      <c r="E359" s="446"/>
      <c r="F359" s="447">
        <f>F360</f>
        <v>167800</v>
      </c>
    </row>
    <row r="360" spans="1:6" ht="26.25">
      <c r="A360" s="454" t="s">
        <v>654</v>
      </c>
      <c r="B360" s="445" t="s">
        <v>721</v>
      </c>
      <c r="C360" s="445" t="s">
        <v>635</v>
      </c>
      <c r="D360" s="474" t="s">
        <v>1025</v>
      </c>
      <c r="E360" s="446" t="s">
        <v>655</v>
      </c>
      <c r="F360" s="447">
        <v>167800</v>
      </c>
    </row>
    <row r="361" spans="1:6" ht="25.5">
      <c r="A361" s="476" t="s">
        <v>1026</v>
      </c>
      <c r="B361" s="445" t="s">
        <v>721</v>
      </c>
      <c r="C361" s="445" t="s">
        <v>635</v>
      </c>
      <c r="D361" s="445" t="s">
        <v>1027</v>
      </c>
      <c r="E361" s="456"/>
      <c r="F361" s="447">
        <f>F362</f>
        <v>10000</v>
      </c>
    </row>
    <row r="362" spans="1:6" ht="51">
      <c r="A362" s="465" t="s">
        <v>1028</v>
      </c>
      <c r="B362" s="445" t="s">
        <v>721</v>
      </c>
      <c r="C362" s="445" t="s">
        <v>635</v>
      </c>
      <c r="D362" s="445" t="s">
        <v>1029</v>
      </c>
      <c r="E362" s="456"/>
      <c r="F362" s="447">
        <f>F363</f>
        <v>10000</v>
      </c>
    </row>
    <row r="363" spans="1:6" ht="25.5">
      <c r="A363" s="475" t="s">
        <v>1030</v>
      </c>
      <c r="B363" s="445" t="s">
        <v>721</v>
      </c>
      <c r="C363" s="445" t="s">
        <v>635</v>
      </c>
      <c r="D363" s="445" t="s">
        <v>1031</v>
      </c>
      <c r="E363" s="456"/>
      <c r="F363" s="447">
        <f>F364</f>
        <v>10000</v>
      </c>
    </row>
    <row r="364" spans="1:6" ht="15">
      <c r="A364" s="475" t="s">
        <v>1032</v>
      </c>
      <c r="B364" s="445" t="s">
        <v>721</v>
      </c>
      <c r="C364" s="445" t="s">
        <v>635</v>
      </c>
      <c r="D364" s="445" t="s">
        <v>1033</v>
      </c>
      <c r="E364" s="456"/>
      <c r="F364" s="447">
        <f>F365</f>
        <v>10000</v>
      </c>
    </row>
    <row r="365" spans="1:6" ht="26.25">
      <c r="A365" s="454" t="s">
        <v>654</v>
      </c>
      <c r="B365" s="445" t="s">
        <v>721</v>
      </c>
      <c r="C365" s="445" t="s">
        <v>635</v>
      </c>
      <c r="D365" s="445" t="s">
        <v>1033</v>
      </c>
      <c r="E365" s="446" t="s">
        <v>655</v>
      </c>
      <c r="F365" s="447">
        <v>10000</v>
      </c>
    </row>
    <row r="366" spans="1:8" ht="15">
      <c r="A366" s="454" t="s">
        <v>1034</v>
      </c>
      <c r="B366" s="445" t="s">
        <v>721</v>
      </c>
      <c r="C366" s="445" t="s">
        <v>645</v>
      </c>
      <c r="D366" s="445"/>
      <c r="E366" s="446"/>
      <c r="F366" s="447">
        <f>F367</f>
        <v>42682197.04</v>
      </c>
      <c r="H366" s="453"/>
    </row>
    <row r="367" spans="1:6" ht="26.25">
      <c r="A367" s="451" t="s">
        <v>982</v>
      </c>
      <c r="B367" s="445" t="s">
        <v>721</v>
      </c>
      <c r="C367" s="445" t="s">
        <v>645</v>
      </c>
      <c r="D367" s="445" t="s">
        <v>983</v>
      </c>
      <c r="E367" s="446"/>
      <c r="F367" s="447">
        <f>F368</f>
        <v>42682197.04</v>
      </c>
    </row>
    <row r="368" spans="1:6" ht="51.75">
      <c r="A368" s="454" t="s">
        <v>1035</v>
      </c>
      <c r="B368" s="445" t="s">
        <v>721</v>
      </c>
      <c r="C368" s="445" t="s">
        <v>645</v>
      </c>
      <c r="D368" s="457" t="s">
        <v>1036</v>
      </c>
      <c r="E368" s="446"/>
      <c r="F368" s="447">
        <f>F369+F375</f>
        <v>42682197.04</v>
      </c>
    </row>
    <row r="369" spans="1:6" ht="25.5">
      <c r="A369" s="466" t="s">
        <v>1037</v>
      </c>
      <c r="B369" s="445" t="s">
        <v>721</v>
      </c>
      <c r="C369" s="445" t="s">
        <v>645</v>
      </c>
      <c r="D369" s="445" t="s">
        <v>1038</v>
      </c>
      <c r="E369" s="446"/>
      <c r="F369" s="447">
        <f>F370</f>
        <v>23143897</v>
      </c>
    </row>
    <row r="370" spans="1:6" ht="25.5">
      <c r="A370" s="466" t="s">
        <v>816</v>
      </c>
      <c r="B370" s="445" t="s">
        <v>721</v>
      </c>
      <c r="C370" s="445" t="s">
        <v>645</v>
      </c>
      <c r="D370" s="445" t="s">
        <v>1039</v>
      </c>
      <c r="E370" s="446"/>
      <c r="F370" s="447">
        <f>F371+F372+F374+F373</f>
        <v>23143897</v>
      </c>
    </row>
    <row r="371" spans="1:6" ht="39">
      <c r="A371" s="454" t="s">
        <v>642</v>
      </c>
      <c r="B371" s="445" t="s">
        <v>721</v>
      </c>
      <c r="C371" s="445" t="s">
        <v>645</v>
      </c>
      <c r="D371" s="445" t="s">
        <v>1039</v>
      </c>
      <c r="E371" s="446" t="s">
        <v>643</v>
      </c>
      <c r="F371" s="447">
        <v>14400300</v>
      </c>
    </row>
    <row r="372" spans="1:6" ht="26.25">
      <c r="A372" s="454" t="s">
        <v>654</v>
      </c>
      <c r="B372" s="445" t="s">
        <v>721</v>
      </c>
      <c r="C372" s="445" t="s">
        <v>645</v>
      </c>
      <c r="D372" s="445" t="s">
        <v>1039</v>
      </c>
      <c r="E372" s="446" t="s">
        <v>655</v>
      </c>
      <c r="F372" s="447">
        <f>644300+5760+3675000+798279+367800</f>
        <v>5491139</v>
      </c>
    </row>
    <row r="373" spans="1:6" ht="26.25">
      <c r="A373" s="491" t="s">
        <v>870</v>
      </c>
      <c r="B373" s="445" t="s">
        <v>721</v>
      </c>
      <c r="C373" s="445" t="s">
        <v>645</v>
      </c>
      <c r="D373" s="445" t="s">
        <v>1039</v>
      </c>
      <c r="E373" s="446" t="s">
        <v>871</v>
      </c>
      <c r="F373" s="447">
        <f>1510000+1640000</f>
        <v>3150000</v>
      </c>
    </row>
    <row r="374" spans="1:6" ht="15">
      <c r="A374" s="466" t="s">
        <v>696</v>
      </c>
      <c r="B374" s="445" t="s">
        <v>721</v>
      </c>
      <c r="C374" s="445" t="s">
        <v>645</v>
      </c>
      <c r="D374" s="445" t="s">
        <v>1039</v>
      </c>
      <c r="E374" s="446" t="s">
        <v>697</v>
      </c>
      <c r="F374" s="447">
        <f>115463-13005</f>
        <v>102458</v>
      </c>
    </row>
    <row r="375" spans="1:6" ht="25.5">
      <c r="A375" s="466" t="s">
        <v>1040</v>
      </c>
      <c r="B375" s="445" t="s">
        <v>721</v>
      </c>
      <c r="C375" s="445" t="s">
        <v>645</v>
      </c>
      <c r="D375" s="445" t="s">
        <v>1041</v>
      </c>
      <c r="E375" s="446"/>
      <c r="F375" s="447">
        <f>F376</f>
        <v>19538300.04</v>
      </c>
    </row>
    <row r="376" spans="1:6" ht="25.5">
      <c r="A376" s="466" t="s">
        <v>816</v>
      </c>
      <c r="B376" s="445" t="s">
        <v>721</v>
      </c>
      <c r="C376" s="445" t="s">
        <v>645</v>
      </c>
      <c r="D376" s="445" t="s">
        <v>1042</v>
      </c>
      <c r="E376" s="446"/>
      <c r="F376" s="447">
        <f>F377+F378+F379</f>
        <v>19538300.04</v>
      </c>
    </row>
    <row r="377" spans="1:6" ht="39">
      <c r="A377" s="454" t="s">
        <v>642</v>
      </c>
      <c r="B377" s="445" t="s">
        <v>721</v>
      </c>
      <c r="C377" s="445" t="s">
        <v>645</v>
      </c>
      <c r="D377" s="445" t="s">
        <v>1042</v>
      </c>
      <c r="E377" s="446" t="s">
        <v>643</v>
      </c>
      <c r="F377" s="447">
        <v>17937600</v>
      </c>
    </row>
    <row r="378" spans="1:6" ht="26.25">
      <c r="A378" s="454" t="s">
        <v>654</v>
      </c>
      <c r="B378" s="445" t="s">
        <v>721</v>
      </c>
      <c r="C378" s="445" t="s">
        <v>645</v>
      </c>
      <c r="D378" s="445" t="s">
        <v>1042</v>
      </c>
      <c r="E378" s="446" t="s">
        <v>655</v>
      </c>
      <c r="F378" s="447">
        <f>688100+61300+400700.04+4900+370000+30000</f>
        <v>1555000.04</v>
      </c>
    </row>
    <row r="379" spans="1:6" ht="15">
      <c r="A379" s="466" t="s">
        <v>696</v>
      </c>
      <c r="B379" s="445" t="s">
        <v>721</v>
      </c>
      <c r="C379" s="445" t="s">
        <v>645</v>
      </c>
      <c r="D379" s="445" t="s">
        <v>1042</v>
      </c>
      <c r="E379" s="446" t="s">
        <v>697</v>
      </c>
      <c r="F379" s="447">
        <v>45700</v>
      </c>
    </row>
    <row r="380" spans="1:8" ht="15">
      <c r="A380" s="451" t="s">
        <v>1043</v>
      </c>
      <c r="B380" s="445" t="s">
        <v>721</v>
      </c>
      <c r="C380" s="445" t="s">
        <v>721</v>
      </c>
      <c r="D380" s="445"/>
      <c r="E380" s="446"/>
      <c r="F380" s="447">
        <f>F381</f>
        <v>3964213.3899999997</v>
      </c>
      <c r="H380" s="453"/>
    </row>
    <row r="381" spans="1:6" ht="51">
      <c r="A381" s="466" t="s">
        <v>1044</v>
      </c>
      <c r="B381" s="445" t="s">
        <v>721</v>
      </c>
      <c r="C381" s="445" t="s">
        <v>721</v>
      </c>
      <c r="D381" s="474" t="s">
        <v>1045</v>
      </c>
      <c r="E381" s="446"/>
      <c r="F381" s="447">
        <f>F382+F387</f>
        <v>3964213.3899999997</v>
      </c>
    </row>
    <row r="382" spans="1:6" s="461" customFormat="1" ht="63.75">
      <c r="A382" s="466" t="s">
        <v>1046</v>
      </c>
      <c r="B382" s="457" t="s">
        <v>721</v>
      </c>
      <c r="C382" s="457" t="s">
        <v>721</v>
      </c>
      <c r="D382" s="482" t="s">
        <v>1047</v>
      </c>
      <c r="E382" s="483"/>
      <c r="F382" s="460">
        <f>F383</f>
        <v>105000</v>
      </c>
    </row>
    <row r="383" spans="1:6" ht="38.25">
      <c r="A383" s="466" t="s">
        <v>1048</v>
      </c>
      <c r="B383" s="445" t="s">
        <v>721</v>
      </c>
      <c r="C383" s="445" t="s">
        <v>721</v>
      </c>
      <c r="D383" s="474" t="s">
        <v>1049</v>
      </c>
      <c r="E383" s="481"/>
      <c r="F383" s="447">
        <f>F384</f>
        <v>105000</v>
      </c>
    </row>
    <row r="384" spans="1:6" ht="15">
      <c r="A384" s="466" t="s">
        <v>1050</v>
      </c>
      <c r="B384" s="445" t="s">
        <v>721</v>
      </c>
      <c r="C384" s="445" t="s">
        <v>721</v>
      </c>
      <c r="D384" s="474" t="s">
        <v>1051</v>
      </c>
      <c r="E384" s="481"/>
      <c r="F384" s="447">
        <f>F385+F386</f>
        <v>105000</v>
      </c>
    </row>
    <row r="385" spans="1:6" ht="26.25">
      <c r="A385" s="454" t="s">
        <v>654</v>
      </c>
      <c r="B385" s="445" t="s">
        <v>721</v>
      </c>
      <c r="C385" s="445" t="s">
        <v>721</v>
      </c>
      <c r="D385" s="474" t="s">
        <v>1051</v>
      </c>
      <c r="E385" s="481" t="s">
        <v>655</v>
      </c>
      <c r="F385" s="447">
        <f>85000-20000+20000</f>
        <v>85000</v>
      </c>
    </row>
    <row r="386" spans="1:6" ht="15">
      <c r="A386" s="451" t="s">
        <v>827</v>
      </c>
      <c r="B386" s="445" t="s">
        <v>721</v>
      </c>
      <c r="C386" s="445" t="s">
        <v>721</v>
      </c>
      <c r="D386" s="474" t="s">
        <v>1051</v>
      </c>
      <c r="E386" s="481" t="s">
        <v>828</v>
      </c>
      <c r="F386" s="447">
        <v>20000</v>
      </c>
    </row>
    <row r="387" spans="1:6" s="461" customFormat="1" ht="51">
      <c r="A387" s="477" t="s">
        <v>1052</v>
      </c>
      <c r="B387" s="457" t="s">
        <v>721</v>
      </c>
      <c r="C387" s="457" t="s">
        <v>721</v>
      </c>
      <c r="D387" s="482" t="s">
        <v>1053</v>
      </c>
      <c r="E387" s="483"/>
      <c r="F387" s="460">
        <f>F388+F400+F397</f>
        <v>3859213.3899999997</v>
      </c>
    </row>
    <row r="388" spans="1:6" ht="25.5">
      <c r="A388" s="466" t="s">
        <v>1054</v>
      </c>
      <c r="B388" s="445" t="s">
        <v>721</v>
      </c>
      <c r="C388" s="445" t="s">
        <v>721</v>
      </c>
      <c r="D388" s="474" t="s">
        <v>1055</v>
      </c>
      <c r="E388" s="481"/>
      <c r="F388" s="447">
        <f>F389+F392+F395</f>
        <v>1733211</v>
      </c>
    </row>
    <row r="389" spans="1:6" ht="14.25" customHeight="1">
      <c r="A389" s="451" t="s">
        <v>1056</v>
      </c>
      <c r="B389" s="445" t="s">
        <v>721</v>
      </c>
      <c r="C389" s="445" t="s">
        <v>721</v>
      </c>
      <c r="D389" s="474" t="s">
        <v>1057</v>
      </c>
      <c r="E389" s="446"/>
      <c r="F389" s="447">
        <f>F390+F391</f>
        <v>615795</v>
      </c>
    </row>
    <row r="390" spans="1:6" ht="26.25">
      <c r="A390" s="454" t="s">
        <v>654</v>
      </c>
      <c r="B390" s="445" t="s">
        <v>721</v>
      </c>
      <c r="C390" s="445" t="s">
        <v>721</v>
      </c>
      <c r="D390" s="474" t="s">
        <v>1057</v>
      </c>
      <c r="E390" s="481" t="s">
        <v>655</v>
      </c>
      <c r="F390" s="447">
        <f>237417</f>
        <v>237417</v>
      </c>
    </row>
    <row r="391" spans="1:6" ht="15">
      <c r="A391" s="451" t="s">
        <v>827</v>
      </c>
      <c r="B391" s="445" t="s">
        <v>721</v>
      </c>
      <c r="C391" s="445" t="s">
        <v>721</v>
      </c>
      <c r="D391" s="474" t="s">
        <v>1057</v>
      </c>
      <c r="E391" s="481" t="s">
        <v>828</v>
      </c>
      <c r="F391" s="447">
        <f>378378</f>
        <v>378378</v>
      </c>
    </row>
    <row r="392" spans="1:6" ht="15">
      <c r="A392" s="463" t="s">
        <v>1058</v>
      </c>
      <c r="B392" s="445" t="s">
        <v>721</v>
      </c>
      <c r="C392" s="445" t="s">
        <v>721</v>
      </c>
      <c r="D392" s="474" t="s">
        <v>1059</v>
      </c>
      <c r="E392" s="446"/>
      <c r="F392" s="447">
        <f>F394+F393</f>
        <v>1102863</v>
      </c>
    </row>
    <row r="393" spans="1:6" ht="26.25">
      <c r="A393" s="454" t="s">
        <v>654</v>
      </c>
      <c r="B393" s="445" t="s">
        <v>721</v>
      </c>
      <c r="C393" s="445" t="s">
        <v>721</v>
      </c>
      <c r="D393" s="474" t="s">
        <v>1059</v>
      </c>
      <c r="E393" s="446" t="s">
        <v>655</v>
      </c>
      <c r="F393" s="447">
        <v>520743</v>
      </c>
    </row>
    <row r="394" spans="1:6" ht="15">
      <c r="A394" s="451" t="s">
        <v>827</v>
      </c>
      <c r="B394" s="445" t="s">
        <v>721</v>
      </c>
      <c r="C394" s="445" t="s">
        <v>721</v>
      </c>
      <c r="D394" s="474" t="s">
        <v>1059</v>
      </c>
      <c r="E394" s="481" t="s">
        <v>828</v>
      </c>
      <c r="F394" s="447">
        <f>618000-20412-15468</f>
        <v>582120</v>
      </c>
    </row>
    <row r="395" spans="1:6" ht="15">
      <c r="A395" s="510" t="s">
        <v>1060</v>
      </c>
      <c r="B395" s="445" t="s">
        <v>721</v>
      </c>
      <c r="C395" s="445" t="s">
        <v>721</v>
      </c>
      <c r="D395" s="474" t="s">
        <v>1061</v>
      </c>
      <c r="E395" s="446"/>
      <c r="F395" s="447">
        <f>F396</f>
        <v>14553</v>
      </c>
    </row>
    <row r="396" spans="1:6" ht="15">
      <c r="A396" s="451" t="s">
        <v>827</v>
      </c>
      <c r="B396" s="445" t="s">
        <v>721</v>
      </c>
      <c r="C396" s="445" t="s">
        <v>721</v>
      </c>
      <c r="D396" s="474" t="s">
        <v>1061</v>
      </c>
      <c r="E396" s="481" t="s">
        <v>828</v>
      </c>
      <c r="F396" s="447">
        <f>14553</f>
        <v>14553</v>
      </c>
    </row>
    <row r="397" spans="1:6" ht="15">
      <c r="A397" s="466" t="s">
        <v>1062</v>
      </c>
      <c r="B397" s="445" t="s">
        <v>721</v>
      </c>
      <c r="C397" s="445" t="s">
        <v>721</v>
      </c>
      <c r="D397" s="474" t="s">
        <v>1063</v>
      </c>
      <c r="E397" s="481"/>
      <c r="F397" s="447">
        <f>F398</f>
        <v>36000</v>
      </c>
    </row>
    <row r="398" spans="1:6" ht="15">
      <c r="A398" s="454" t="s">
        <v>1060</v>
      </c>
      <c r="B398" s="445" t="s">
        <v>721</v>
      </c>
      <c r="C398" s="445" t="s">
        <v>721</v>
      </c>
      <c r="D398" s="474" t="s">
        <v>1064</v>
      </c>
      <c r="E398" s="481"/>
      <c r="F398" s="447">
        <f>F399</f>
        <v>36000</v>
      </c>
    </row>
    <row r="399" spans="1:6" ht="26.25">
      <c r="A399" s="454" t="s">
        <v>654</v>
      </c>
      <c r="B399" s="445" t="s">
        <v>721</v>
      </c>
      <c r="C399" s="445" t="s">
        <v>721</v>
      </c>
      <c r="D399" s="474" t="s">
        <v>1064</v>
      </c>
      <c r="E399" s="481" t="s">
        <v>655</v>
      </c>
      <c r="F399" s="447">
        <f>36000</f>
        <v>36000</v>
      </c>
    </row>
    <row r="400" spans="1:6" ht="38.25">
      <c r="A400" s="466" t="s">
        <v>1065</v>
      </c>
      <c r="B400" s="445" t="s">
        <v>721</v>
      </c>
      <c r="C400" s="445" t="s">
        <v>721</v>
      </c>
      <c r="D400" s="474" t="s">
        <v>1066</v>
      </c>
      <c r="E400" s="481"/>
      <c r="F400" s="447">
        <f>F401</f>
        <v>2090002.39</v>
      </c>
    </row>
    <row r="401" spans="1:6" ht="26.25">
      <c r="A401" s="452" t="s">
        <v>816</v>
      </c>
      <c r="B401" s="445" t="s">
        <v>721</v>
      </c>
      <c r="C401" s="445" t="s">
        <v>721</v>
      </c>
      <c r="D401" s="474" t="s">
        <v>1067</v>
      </c>
      <c r="E401" s="481"/>
      <c r="F401" s="447">
        <f>F402+F403+F404</f>
        <v>2090002.39</v>
      </c>
    </row>
    <row r="402" spans="1:6" ht="26.25">
      <c r="A402" s="451" t="s">
        <v>1068</v>
      </c>
      <c r="B402" s="445" t="s">
        <v>721</v>
      </c>
      <c r="C402" s="445" t="s">
        <v>721</v>
      </c>
      <c r="D402" s="474" t="s">
        <v>1067</v>
      </c>
      <c r="E402" s="446" t="s">
        <v>643</v>
      </c>
      <c r="F402" s="447">
        <v>616000</v>
      </c>
    </row>
    <row r="403" spans="1:6" ht="26.25">
      <c r="A403" s="454" t="s">
        <v>654</v>
      </c>
      <c r="B403" s="445" t="s">
        <v>721</v>
      </c>
      <c r="C403" s="445" t="s">
        <v>721</v>
      </c>
      <c r="D403" s="474" t="s">
        <v>1067</v>
      </c>
      <c r="E403" s="481" t="s">
        <v>655</v>
      </c>
      <c r="F403" s="447">
        <f>1364002.39+40000</f>
        <v>1404002.39</v>
      </c>
    </row>
    <row r="404" spans="1:6" ht="15">
      <c r="A404" s="466" t="s">
        <v>696</v>
      </c>
      <c r="B404" s="445" t="s">
        <v>721</v>
      </c>
      <c r="C404" s="445" t="s">
        <v>721</v>
      </c>
      <c r="D404" s="474" t="s">
        <v>1067</v>
      </c>
      <c r="E404" s="481" t="s">
        <v>697</v>
      </c>
      <c r="F404" s="447">
        <v>70000</v>
      </c>
    </row>
    <row r="405" spans="1:6" ht="15">
      <c r="A405" s="451" t="s">
        <v>1069</v>
      </c>
      <c r="B405" s="445" t="s">
        <v>721</v>
      </c>
      <c r="C405" s="445" t="s">
        <v>832</v>
      </c>
      <c r="D405" s="445"/>
      <c r="E405" s="446"/>
      <c r="F405" s="447">
        <f>F406+F418</f>
        <v>9010850</v>
      </c>
    </row>
    <row r="406" spans="1:6" ht="26.25">
      <c r="A406" s="451" t="s">
        <v>982</v>
      </c>
      <c r="B406" s="445" t="s">
        <v>721</v>
      </c>
      <c r="C406" s="445" t="s">
        <v>832</v>
      </c>
      <c r="D406" s="445" t="s">
        <v>983</v>
      </c>
      <c r="E406" s="446"/>
      <c r="F406" s="447">
        <f>F407</f>
        <v>9010850</v>
      </c>
    </row>
    <row r="407" spans="1:6" s="461" customFormat="1" ht="51">
      <c r="A407" s="476" t="s">
        <v>1070</v>
      </c>
      <c r="B407" s="457" t="s">
        <v>721</v>
      </c>
      <c r="C407" s="457" t="s">
        <v>832</v>
      </c>
      <c r="D407" s="457" t="s">
        <v>1071</v>
      </c>
      <c r="E407" s="464"/>
      <c r="F407" s="460">
        <f>F408+F413</f>
        <v>9010850</v>
      </c>
    </row>
    <row r="408" spans="1:6" ht="25.5">
      <c r="A408" s="466" t="s">
        <v>1072</v>
      </c>
      <c r="B408" s="445" t="s">
        <v>721</v>
      </c>
      <c r="C408" s="445" t="s">
        <v>832</v>
      </c>
      <c r="D408" s="445" t="s">
        <v>1073</v>
      </c>
      <c r="E408" s="446"/>
      <c r="F408" s="447">
        <f>F409</f>
        <v>8787798</v>
      </c>
    </row>
    <row r="409" spans="1:6" ht="25.5">
      <c r="A409" s="466" t="s">
        <v>816</v>
      </c>
      <c r="B409" s="445" t="s">
        <v>721</v>
      </c>
      <c r="C409" s="445" t="s">
        <v>832</v>
      </c>
      <c r="D409" s="445" t="s">
        <v>1074</v>
      </c>
      <c r="E409" s="446"/>
      <c r="F409" s="447">
        <f>F410+F411+F412</f>
        <v>8787798</v>
      </c>
    </row>
    <row r="410" spans="1:6" ht="39">
      <c r="A410" s="454" t="s">
        <v>642</v>
      </c>
      <c r="B410" s="445" t="s">
        <v>721</v>
      </c>
      <c r="C410" s="445" t="s">
        <v>832</v>
      </c>
      <c r="D410" s="445" t="s">
        <v>1074</v>
      </c>
      <c r="E410" s="446" t="s">
        <v>643</v>
      </c>
      <c r="F410" s="447">
        <v>7573300</v>
      </c>
    </row>
    <row r="411" spans="1:6" ht="26.25">
      <c r="A411" s="454" t="s">
        <v>654</v>
      </c>
      <c r="B411" s="445" t="s">
        <v>721</v>
      </c>
      <c r="C411" s="445" t="s">
        <v>832</v>
      </c>
      <c r="D411" s="445" t="s">
        <v>1074</v>
      </c>
      <c r="E411" s="446" t="s">
        <v>655</v>
      </c>
      <c r="F411" s="447">
        <f>517200+35500+100000+467547+60000</f>
        <v>1180247</v>
      </c>
    </row>
    <row r="412" spans="1:6" ht="15">
      <c r="A412" s="466" t="s">
        <v>696</v>
      </c>
      <c r="B412" s="445" t="s">
        <v>721</v>
      </c>
      <c r="C412" s="445" t="s">
        <v>832</v>
      </c>
      <c r="D412" s="445" t="s">
        <v>1074</v>
      </c>
      <c r="E412" s="446" t="s">
        <v>697</v>
      </c>
      <c r="F412" s="447">
        <f>35314-1063</f>
        <v>34251</v>
      </c>
    </row>
    <row r="413" spans="1:6" ht="25.5">
      <c r="A413" s="466" t="s">
        <v>1075</v>
      </c>
      <c r="B413" s="445" t="s">
        <v>721</v>
      </c>
      <c r="C413" s="445" t="s">
        <v>832</v>
      </c>
      <c r="D413" s="445" t="s">
        <v>1076</v>
      </c>
      <c r="E413" s="446"/>
      <c r="F413" s="447">
        <f>F414+F416</f>
        <v>223052</v>
      </c>
    </row>
    <row r="414" spans="1:6" ht="26.25">
      <c r="A414" s="511" t="s">
        <v>1077</v>
      </c>
      <c r="B414" s="445" t="s">
        <v>721</v>
      </c>
      <c r="C414" s="445" t="s">
        <v>832</v>
      </c>
      <c r="D414" s="445" t="s">
        <v>1078</v>
      </c>
      <c r="E414" s="446"/>
      <c r="F414" s="447">
        <f>F415</f>
        <v>223052</v>
      </c>
    </row>
    <row r="415" spans="1:6" ht="39">
      <c r="A415" s="454" t="s">
        <v>642</v>
      </c>
      <c r="B415" s="445" t="s">
        <v>721</v>
      </c>
      <c r="C415" s="445" t="s">
        <v>832</v>
      </c>
      <c r="D415" s="445" t="s">
        <v>1078</v>
      </c>
      <c r="E415" s="446" t="s">
        <v>643</v>
      </c>
      <c r="F415" s="447">
        <v>223052</v>
      </c>
    </row>
    <row r="416" spans="1:6" ht="15" hidden="1">
      <c r="A416" s="454" t="s">
        <v>1021</v>
      </c>
      <c r="B416" s="445" t="s">
        <v>721</v>
      </c>
      <c r="C416" s="445" t="s">
        <v>832</v>
      </c>
      <c r="D416" s="445" t="s">
        <v>1079</v>
      </c>
      <c r="E416" s="446"/>
      <c r="F416" s="447">
        <f>F417</f>
        <v>0</v>
      </c>
    </row>
    <row r="417" spans="1:6" ht="26.25" hidden="1">
      <c r="A417" s="454" t="s">
        <v>654</v>
      </c>
      <c r="B417" s="445" t="s">
        <v>721</v>
      </c>
      <c r="C417" s="445" t="s">
        <v>832</v>
      </c>
      <c r="D417" s="445" t="s">
        <v>1079</v>
      </c>
      <c r="E417" s="446" t="s">
        <v>655</v>
      </c>
      <c r="F417" s="447"/>
    </row>
    <row r="418" spans="1:6" ht="25.5" hidden="1">
      <c r="A418" s="466" t="s">
        <v>1080</v>
      </c>
      <c r="B418" s="445" t="s">
        <v>721</v>
      </c>
      <c r="C418" s="445" t="s">
        <v>832</v>
      </c>
      <c r="D418" s="455" t="s">
        <v>1081</v>
      </c>
      <c r="E418" s="446"/>
      <c r="F418" s="447">
        <f>F419</f>
        <v>0</v>
      </c>
    </row>
    <row r="419" spans="1:6" ht="25.5" hidden="1">
      <c r="A419" s="466" t="s">
        <v>1082</v>
      </c>
      <c r="B419" s="445" t="s">
        <v>721</v>
      </c>
      <c r="C419" s="445" t="s">
        <v>832</v>
      </c>
      <c r="D419" s="455" t="s">
        <v>1083</v>
      </c>
      <c r="E419" s="446"/>
      <c r="F419" s="447">
        <f>F420</f>
        <v>0</v>
      </c>
    </row>
    <row r="420" spans="1:6" ht="15" hidden="1">
      <c r="A420" s="466" t="s">
        <v>1084</v>
      </c>
      <c r="B420" s="445" t="s">
        <v>721</v>
      </c>
      <c r="C420" s="445" t="s">
        <v>832</v>
      </c>
      <c r="D420" s="512" t="s">
        <v>1085</v>
      </c>
      <c r="E420" s="446"/>
      <c r="F420" s="447">
        <f>F421</f>
        <v>0</v>
      </c>
    </row>
    <row r="421" spans="1:6" ht="26.25" hidden="1">
      <c r="A421" s="454" t="s">
        <v>654</v>
      </c>
      <c r="B421" s="445" t="s">
        <v>721</v>
      </c>
      <c r="C421" s="445" t="s">
        <v>832</v>
      </c>
      <c r="D421" s="455" t="s">
        <v>1085</v>
      </c>
      <c r="E421" s="446" t="s">
        <v>655</v>
      </c>
      <c r="F421" s="447"/>
    </row>
    <row r="422" spans="1:6" ht="15">
      <c r="A422" s="451" t="s">
        <v>1086</v>
      </c>
      <c r="B422" s="445" t="s">
        <v>852</v>
      </c>
      <c r="C422" s="445"/>
      <c r="D422" s="445"/>
      <c r="E422" s="481"/>
      <c r="F422" s="447">
        <f>F423+F444</f>
        <v>33176662.33</v>
      </c>
    </row>
    <row r="423" spans="1:6" ht="15">
      <c r="A423" s="451" t="s">
        <v>1087</v>
      </c>
      <c r="B423" s="445" t="s">
        <v>852</v>
      </c>
      <c r="C423" s="445" t="s">
        <v>633</v>
      </c>
      <c r="D423" s="474"/>
      <c r="E423" s="481"/>
      <c r="F423" s="447">
        <f>F424+F439</f>
        <v>29216490.33</v>
      </c>
    </row>
    <row r="424" spans="1:6" ht="26.25">
      <c r="A424" s="451" t="s">
        <v>1088</v>
      </c>
      <c r="B424" s="445" t="s">
        <v>852</v>
      </c>
      <c r="C424" s="445" t="s">
        <v>633</v>
      </c>
      <c r="D424" s="445" t="s">
        <v>1089</v>
      </c>
      <c r="E424" s="481"/>
      <c r="F424" s="447">
        <f>F425+F433</f>
        <v>29211490.33</v>
      </c>
    </row>
    <row r="425" spans="1:6" s="461" customFormat="1" ht="39">
      <c r="A425" s="451" t="s">
        <v>1090</v>
      </c>
      <c r="B425" s="457" t="s">
        <v>1091</v>
      </c>
      <c r="C425" s="457" t="s">
        <v>633</v>
      </c>
      <c r="D425" s="457" t="s">
        <v>1092</v>
      </c>
      <c r="E425" s="464"/>
      <c r="F425" s="460">
        <f>F426</f>
        <v>18810190.33</v>
      </c>
    </row>
    <row r="426" spans="1:6" ht="38.25">
      <c r="A426" s="465" t="s">
        <v>1093</v>
      </c>
      <c r="B426" s="445" t="s">
        <v>1091</v>
      </c>
      <c r="C426" s="445" t="s">
        <v>633</v>
      </c>
      <c r="D426" s="445" t="s">
        <v>1094</v>
      </c>
      <c r="E426" s="446"/>
      <c r="F426" s="447">
        <f>F427+F431</f>
        <v>18810190.33</v>
      </c>
    </row>
    <row r="427" spans="1:6" ht="26.25">
      <c r="A427" s="451" t="s">
        <v>816</v>
      </c>
      <c r="B427" s="445" t="s">
        <v>1091</v>
      </c>
      <c r="C427" s="445" t="s">
        <v>633</v>
      </c>
      <c r="D427" s="445" t="s">
        <v>1095</v>
      </c>
      <c r="E427" s="446"/>
      <c r="F427" s="447">
        <f>F428+F429+F430</f>
        <v>17439190.33</v>
      </c>
    </row>
    <row r="428" spans="1:6" ht="39">
      <c r="A428" s="454" t="s">
        <v>642</v>
      </c>
      <c r="B428" s="445" t="s">
        <v>1091</v>
      </c>
      <c r="C428" s="445" t="s">
        <v>633</v>
      </c>
      <c r="D428" s="445" t="s">
        <v>1095</v>
      </c>
      <c r="E428" s="446" t="s">
        <v>643</v>
      </c>
      <c r="F428" s="447">
        <v>10775600</v>
      </c>
    </row>
    <row r="429" spans="1:6" ht="26.25">
      <c r="A429" s="454" t="s">
        <v>654</v>
      </c>
      <c r="B429" s="445" t="s">
        <v>1091</v>
      </c>
      <c r="C429" s="445" t="s">
        <v>633</v>
      </c>
      <c r="D429" s="445" t="s">
        <v>1095</v>
      </c>
      <c r="E429" s="446" t="s">
        <v>655</v>
      </c>
      <c r="F429" s="447">
        <f>4476890.33+140000+750000+1127800</f>
        <v>6494690.33</v>
      </c>
    </row>
    <row r="430" spans="1:6" ht="15">
      <c r="A430" s="486" t="s">
        <v>696</v>
      </c>
      <c r="B430" s="445" t="s">
        <v>1091</v>
      </c>
      <c r="C430" s="445" t="s">
        <v>633</v>
      </c>
      <c r="D430" s="445" t="s">
        <v>1095</v>
      </c>
      <c r="E430" s="446" t="s">
        <v>697</v>
      </c>
      <c r="F430" s="447">
        <f>167400+4000-2500</f>
        <v>168900</v>
      </c>
    </row>
    <row r="431" spans="1:6" ht="26.25">
      <c r="A431" s="454" t="s">
        <v>1096</v>
      </c>
      <c r="B431" s="445" t="s">
        <v>852</v>
      </c>
      <c r="C431" s="445" t="s">
        <v>633</v>
      </c>
      <c r="D431" s="445" t="s">
        <v>1097</v>
      </c>
      <c r="E431" s="446"/>
      <c r="F431" s="447">
        <f>F432</f>
        <v>1371000</v>
      </c>
    </row>
    <row r="432" spans="1:6" ht="26.25">
      <c r="A432" s="454" t="s">
        <v>654</v>
      </c>
      <c r="B432" s="445" t="s">
        <v>852</v>
      </c>
      <c r="C432" s="445" t="s">
        <v>633</v>
      </c>
      <c r="D432" s="445" t="s">
        <v>1097</v>
      </c>
      <c r="E432" s="446" t="s">
        <v>655</v>
      </c>
      <c r="F432" s="447">
        <f>68550+1302450</f>
        <v>1371000</v>
      </c>
    </row>
    <row r="433" spans="1:6" s="461" customFormat="1" ht="39">
      <c r="A433" s="451" t="s">
        <v>1098</v>
      </c>
      <c r="B433" s="457" t="s">
        <v>1091</v>
      </c>
      <c r="C433" s="457" t="s">
        <v>633</v>
      </c>
      <c r="D433" s="482" t="s">
        <v>1099</v>
      </c>
      <c r="E433" s="464"/>
      <c r="F433" s="460">
        <f>F434</f>
        <v>10401300</v>
      </c>
    </row>
    <row r="434" spans="1:6" ht="25.5">
      <c r="A434" s="466" t="s">
        <v>1100</v>
      </c>
      <c r="B434" s="445" t="s">
        <v>1091</v>
      </c>
      <c r="C434" s="445" t="s">
        <v>633</v>
      </c>
      <c r="D434" s="474" t="s">
        <v>1101</v>
      </c>
      <c r="E434" s="446"/>
      <c r="F434" s="447">
        <f>F435</f>
        <v>10401300</v>
      </c>
    </row>
    <row r="435" spans="1:6" ht="26.25">
      <c r="A435" s="451" t="s">
        <v>816</v>
      </c>
      <c r="B435" s="445" t="s">
        <v>1091</v>
      </c>
      <c r="C435" s="445" t="s">
        <v>633</v>
      </c>
      <c r="D435" s="474" t="s">
        <v>1102</v>
      </c>
      <c r="E435" s="446"/>
      <c r="F435" s="447">
        <f>F436+F437+F438</f>
        <v>10401300</v>
      </c>
    </row>
    <row r="436" spans="1:6" ht="39">
      <c r="A436" s="454" t="s">
        <v>642</v>
      </c>
      <c r="B436" s="445" t="s">
        <v>1091</v>
      </c>
      <c r="C436" s="445" t="s">
        <v>633</v>
      </c>
      <c r="D436" s="474" t="s">
        <v>1102</v>
      </c>
      <c r="E436" s="446" t="s">
        <v>643</v>
      </c>
      <c r="F436" s="447">
        <v>8967000</v>
      </c>
    </row>
    <row r="437" spans="1:6" ht="26.25">
      <c r="A437" s="454" t="s">
        <v>654</v>
      </c>
      <c r="B437" s="445" t="s">
        <v>1091</v>
      </c>
      <c r="C437" s="445" t="s">
        <v>633</v>
      </c>
      <c r="D437" s="474" t="s">
        <v>1102</v>
      </c>
      <c r="E437" s="446" t="s">
        <v>655</v>
      </c>
      <c r="F437" s="447">
        <f>230200+4500+72000+800000+136000+187000</f>
        <v>1429700</v>
      </c>
    </row>
    <row r="438" spans="1:6" ht="15">
      <c r="A438" s="486" t="s">
        <v>696</v>
      </c>
      <c r="B438" s="445" t="s">
        <v>1091</v>
      </c>
      <c r="C438" s="445" t="s">
        <v>633</v>
      </c>
      <c r="D438" s="474" t="s">
        <v>1102</v>
      </c>
      <c r="E438" s="446" t="s">
        <v>697</v>
      </c>
      <c r="F438" s="447">
        <f>2100+2500</f>
        <v>4600</v>
      </c>
    </row>
    <row r="439" spans="1:6" ht="25.5">
      <c r="A439" s="476" t="s">
        <v>1103</v>
      </c>
      <c r="B439" s="445" t="s">
        <v>1091</v>
      </c>
      <c r="C439" s="445" t="s">
        <v>633</v>
      </c>
      <c r="D439" s="445" t="s">
        <v>1027</v>
      </c>
      <c r="E439" s="456"/>
      <c r="F439" s="447">
        <f>F440</f>
        <v>5000</v>
      </c>
    </row>
    <row r="440" spans="1:6" ht="51">
      <c r="A440" s="465" t="s">
        <v>1028</v>
      </c>
      <c r="B440" s="445" t="s">
        <v>1091</v>
      </c>
      <c r="C440" s="445" t="s">
        <v>633</v>
      </c>
      <c r="D440" s="445" t="s">
        <v>1029</v>
      </c>
      <c r="E440" s="456"/>
      <c r="F440" s="447">
        <f>F441</f>
        <v>5000</v>
      </c>
    </row>
    <row r="441" spans="1:6" ht="25.5">
      <c r="A441" s="475" t="s">
        <v>1030</v>
      </c>
      <c r="B441" s="445" t="s">
        <v>1091</v>
      </c>
      <c r="C441" s="445" t="s">
        <v>633</v>
      </c>
      <c r="D441" s="445" t="s">
        <v>1031</v>
      </c>
      <c r="E441" s="456"/>
      <c r="F441" s="447">
        <f>F442</f>
        <v>5000</v>
      </c>
    </row>
    <row r="442" spans="1:6" ht="15">
      <c r="A442" s="475" t="s">
        <v>1032</v>
      </c>
      <c r="B442" s="445" t="s">
        <v>1091</v>
      </c>
      <c r="C442" s="445" t="s">
        <v>633</v>
      </c>
      <c r="D442" s="445" t="s">
        <v>1033</v>
      </c>
      <c r="E442" s="456"/>
      <c r="F442" s="447">
        <f>F443</f>
        <v>5000</v>
      </c>
    </row>
    <row r="443" spans="1:6" ht="26.25">
      <c r="A443" s="454" t="s">
        <v>654</v>
      </c>
      <c r="B443" s="445" t="s">
        <v>1091</v>
      </c>
      <c r="C443" s="445" t="s">
        <v>633</v>
      </c>
      <c r="D443" s="445" t="s">
        <v>1033</v>
      </c>
      <c r="E443" s="446" t="s">
        <v>655</v>
      </c>
      <c r="F443" s="447">
        <v>5000</v>
      </c>
    </row>
    <row r="444" spans="1:6" ht="15">
      <c r="A444" s="451" t="s">
        <v>1104</v>
      </c>
      <c r="B444" s="445" t="s">
        <v>852</v>
      </c>
      <c r="C444" s="445" t="s">
        <v>658</v>
      </c>
      <c r="D444" s="445"/>
      <c r="E444" s="446"/>
      <c r="F444" s="447">
        <f>F445</f>
        <v>3960172</v>
      </c>
    </row>
    <row r="445" spans="1:6" ht="26.25">
      <c r="A445" s="451" t="s">
        <v>1088</v>
      </c>
      <c r="B445" s="445" t="s">
        <v>852</v>
      </c>
      <c r="C445" s="445" t="s">
        <v>658</v>
      </c>
      <c r="D445" s="445" t="s">
        <v>1089</v>
      </c>
      <c r="E445" s="446"/>
      <c r="F445" s="447">
        <f>F446</f>
        <v>3960172</v>
      </c>
    </row>
    <row r="446" spans="1:6" ht="51.75">
      <c r="A446" s="451" t="s">
        <v>1105</v>
      </c>
      <c r="B446" s="445" t="s">
        <v>852</v>
      </c>
      <c r="C446" s="445" t="s">
        <v>658</v>
      </c>
      <c r="D446" s="445" t="s">
        <v>1106</v>
      </c>
      <c r="E446" s="446"/>
      <c r="F446" s="447">
        <f>F447+F452</f>
        <v>3960172</v>
      </c>
    </row>
    <row r="447" spans="1:6" ht="25.5">
      <c r="A447" s="513" t="s">
        <v>1107</v>
      </c>
      <c r="B447" s="445" t="s">
        <v>852</v>
      </c>
      <c r="C447" s="445" t="s">
        <v>658</v>
      </c>
      <c r="D447" s="445" t="s">
        <v>1108</v>
      </c>
      <c r="E447" s="446"/>
      <c r="F447" s="447">
        <f>F448</f>
        <v>3907300</v>
      </c>
    </row>
    <row r="448" spans="1:6" ht="26.25">
      <c r="A448" s="451" t="s">
        <v>816</v>
      </c>
      <c r="B448" s="445" t="s">
        <v>852</v>
      </c>
      <c r="C448" s="445" t="s">
        <v>658</v>
      </c>
      <c r="D448" s="445" t="s">
        <v>1109</v>
      </c>
      <c r="E448" s="446"/>
      <c r="F448" s="447">
        <f>F449+F450+F451</f>
        <v>3907300</v>
      </c>
    </row>
    <row r="449" spans="1:6" ht="39">
      <c r="A449" s="454" t="s">
        <v>642</v>
      </c>
      <c r="B449" s="445" t="s">
        <v>852</v>
      </c>
      <c r="C449" s="445" t="s">
        <v>658</v>
      </c>
      <c r="D449" s="445" t="s">
        <v>1109</v>
      </c>
      <c r="E449" s="446" t="s">
        <v>643</v>
      </c>
      <c r="F449" s="447">
        <v>3411200</v>
      </c>
    </row>
    <row r="450" spans="1:6" ht="26.25">
      <c r="A450" s="454" t="s">
        <v>654</v>
      </c>
      <c r="B450" s="445" t="s">
        <v>852</v>
      </c>
      <c r="C450" s="445" t="s">
        <v>658</v>
      </c>
      <c r="D450" s="445" t="s">
        <v>1109</v>
      </c>
      <c r="E450" s="446" t="s">
        <v>655</v>
      </c>
      <c r="F450" s="447">
        <f>230100-80000+15000+310000+19000</f>
        <v>494100</v>
      </c>
    </row>
    <row r="451" spans="1:6" ht="15">
      <c r="A451" s="486" t="s">
        <v>696</v>
      </c>
      <c r="B451" s="445" t="s">
        <v>852</v>
      </c>
      <c r="C451" s="445" t="s">
        <v>658</v>
      </c>
      <c r="D451" s="445" t="s">
        <v>1109</v>
      </c>
      <c r="E451" s="446" t="s">
        <v>697</v>
      </c>
      <c r="F451" s="447">
        <v>2000</v>
      </c>
    </row>
    <row r="452" spans="1:6" ht="39">
      <c r="A452" s="514" t="s">
        <v>1110</v>
      </c>
      <c r="B452" s="445" t="s">
        <v>852</v>
      </c>
      <c r="C452" s="445" t="s">
        <v>658</v>
      </c>
      <c r="D452" s="445" t="s">
        <v>1111</v>
      </c>
      <c r="E452" s="446"/>
      <c r="F452" s="447">
        <f>F453</f>
        <v>52872</v>
      </c>
    </row>
    <row r="453" spans="1:6" ht="39">
      <c r="A453" s="452" t="s">
        <v>1112</v>
      </c>
      <c r="B453" s="445" t="s">
        <v>852</v>
      </c>
      <c r="C453" s="445" t="s">
        <v>658</v>
      </c>
      <c r="D453" s="445" t="s">
        <v>1113</v>
      </c>
      <c r="E453" s="446"/>
      <c r="F453" s="447">
        <f>F454</f>
        <v>52872</v>
      </c>
    </row>
    <row r="454" spans="1:6" ht="39">
      <c r="A454" s="454" t="s">
        <v>642</v>
      </c>
      <c r="B454" s="445" t="s">
        <v>852</v>
      </c>
      <c r="C454" s="445" t="s">
        <v>658</v>
      </c>
      <c r="D454" s="445" t="s">
        <v>1113</v>
      </c>
      <c r="E454" s="446" t="s">
        <v>643</v>
      </c>
      <c r="F454" s="447">
        <v>52872</v>
      </c>
    </row>
    <row r="455" spans="1:6" ht="15">
      <c r="A455" s="451" t="s">
        <v>1114</v>
      </c>
      <c r="B455" s="445" t="s">
        <v>832</v>
      </c>
      <c r="C455" s="445"/>
      <c r="D455" s="474"/>
      <c r="E455" s="481"/>
      <c r="F455" s="447">
        <f>F456</f>
        <v>280884</v>
      </c>
    </row>
    <row r="456" spans="1:6" ht="15">
      <c r="A456" s="515" t="s">
        <v>1115</v>
      </c>
      <c r="B456" s="445" t="s">
        <v>832</v>
      </c>
      <c r="C456" s="445" t="s">
        <v>721</v>
      </c>
      <c r="D456" s="445"/>
      <c r="E456" s="446"/>
      <c r="F456" s="447">
        <f>F457</f>
        <v>280884</v>
      </c>
    </row>
    <row r="457" spans="1:6" ht="15">
      <c r="A457" s="451" t="s">
        <v>698</v>
      </c>
      <c r="B457" s="445" t="s">
        <v>832</v>
      </c>
      <c r="C457" s="445" t="s">
        <v>721</v>
      </c>
      <c r="D457" s="470" t="s">
        <v>699</v>
      </c>
      <c r="E457" s="456"/>
      <c r="F457" s="447">
        <f>F458</f>
        <v>280884</v>
      </c>
    </row>
    <row r="458" spans="1:6" ht="15">
      <c r="A458" s="451" t="s">
        <v>705</v>
      </c>
      <c r="B458" s="445" t="s">
        <v>832</v>
      </c>
      <c r="C458" s="445" t="s">
        <v>721</v>
      </c>
      <c r="D458" s="445" t="s">
        <v>706</v>
      </c>
      <c r="E458" s="446"/>
      <c r="F458" s="447">
        <f>F459</f>
        <v>280884</v>
      </c>
    </row>
    <row r="459" spans="1:6" ht="25.5">
      <c r="A459" s="468" t="s">
        <v>1116</v>
      </c>
      <c r="B459" s="445" t="s">
        <v>832</v>
      </c>
      <c r="C459" s="445" t="s">
        <v>721</v>
      </c>
      <c r="D459" s="445" t="s">
        <v>1117</v>
      </c>
      <c r="E459" s="446"/>
      <c r="F459" s="447">
        <f>F460</f>
        <v>280884</v>
      </c>
    </row>
    <row r="460" spans="1:6" ht="26.25">
      <c r="A460" s="454" t="s">
        <v>654</v>
      </c>
      <c r="B460" s="445" t="s">
        <v>832</v>
      </c>
      <c r="C460" s="445" t="s">
        <v>721</v>
      </c>
      <c r="D460" s="445" t="s">
        <v>1117</v>
      </c>
      <c r="E460" s="456" t="s">
        <v>655</v>
      </c>
      <c r="F460" s="447">
        <f>5758+275126</f>
        <v>280884</v>
      </c>
    </row>
    <row r="461" spans="1:6" ht="15">
      <c r="A461" s="451" t="s">
        <v>1118</v>
      </c>
      <c r="B461" s="445" t="s">
        <v>1119</v>
      </c>
      <c r="C461" s="445"/>
      <c r="D461" s="474"/>
      <c r="E461" s="481"/>
      <c r="F461" s="447">
        <f>F462+F468+F500</f>
        <v>45899817</v>
      </c>
    </row>
    <row r="462" spans="1:6" ht="15">
      <c r="A462" s="451" t="s">
        <v>1120</v>
      </c>
      <c r="B462" s="445" t="s">
        <v>1119</v>
      </c>
      <c r="C462" s="445" t="s">
        <v>633</v>
      </c>
      <c r="D462" s="445"/>
      <c r="E462" s="446"/>
      <c r="F462" s="447">
        <f>F463</f>
        <v>268900</v>
      </c>
    </row>
    <row r="463" spans="1:6" ht="26.25">
      <c r="A463" s="451" t="s">
        <v>1121</v>
      </c>
      <c r="B463" s="445" t="s">
        <v>1119</v>
      </c>
      <c r="C463" s="445" t="s">
        <v>633</v>
      </c>
      <c r="D463" s="445" t="s">
        <v>660</v>
      </c>
      <c r="E463" s="446"/>
      <c r="F463" s="447">
        <f>F464</f>
        <v>268900</v>
      </c>
    </row>
    <row r="464" spans="1:6" s="461" customFormat="1" ht="51">
      <c r="A464" s="516" t="s">
        <v>1122</v>
      </c>
      <c r="B464" s="457" t="s">
        <v>1119</v>
      </c>
      <c r="C464" s="457" t="s">
        <v>633</v>
      </c>
      <c r="D464" s="457" t="s">
        <v>738</v>
      </c>
      <c r="E464" s="464"/>
      <c r="F464" s="460">
        <f>F466</f>
        <v>268900</v>
      </c>
    </row>
    <row r="465" spans="1:6" ht="25.5">
      <c r="A465" s="480" t="s">
        <v>1123</v>
      </c>
      <c r="B465" s="445" t="s">
        <v>1119</v>
      </c>
      <c r="C465" s="445" t="s">
        <v>633</v>
      </c>
      <c r="D465" s="445" t="s">
        <v>1124</v>
      </c>
      <c r="E465" s="446"/>
      <c r="F465" s="447">
        <f>F466</f>
        <v>268900</v>
      </c>
    </row>
    <row r="466" spans="1:6" ht="25.5">
      <c r="A466" s="516" t="s">
        <v>1125</v>
      </c>
      <c r="B466" s="445" t="s">
        <v>1126</v>
      </c>
      <c r="C466" s="445" t="s">
        <v>633</v>
      </c>
      <c r="D466" s="445" t="s">
        <v>1127</v>
      </c>
      <c r="E466" s="446"/>
      <c r="F466" s="447">
        <f>F467</f>
        <v>268900</v>
      </c>
    </row>
    <row r="467" spans="1:6" ht="15">
      <c r="A467" s="486" t="s">
        <v>827</v>
      </c>
      <c r="B467" s="445" t="s">
        <v>1126</v>
      </c>
      <c r="C467" s="445" t="s">
        <v>633</v>
      </c>
      <c r="D467" s="445" t="s">
        <v>1127</v>
      </c>
      <c r="E467" s="446" t="s">
        <v>828</v>
      </c>
      <c r="F467" s="447">
        <f>148731+120169</f>
        <v>268900</v>
      </c>
    </row>
    <row r="468" spans="1:6" ht="15">
      <c r="A468" s="451" t="s">
        <v>1128</v>
      </c>
      <c r="B468" s="445">
        <v>10</v>
      </c>
      <c r="C468" s="445" t="s">
        <v>645</v>
      </c>
      <c r="D468" s="445"/>
      <c r="E468" s="446"/>
      <c r="F468" s="447">
        <f>F474+F489+F469</f>
        <v>32939056</v>
      </c>
    </row>
    <row r="469" spans="1:6" ht="26.25">
      <c r="A469" s="451" t="s">
        <v>1088</v>
      </c>
      <c r="B469" s="445">
        <v>10</v>
      </c>
      <c r="C469" s="445" t="s">
        <v>645</v>
      </c>
      <c r="D469" s="445" t="s">
        <v>1089</v>
      </c>
      <c r="E469" s="446"/>
      <c r="F469" s="447">
        <f>F470</f>
        <v>1575907</v>
      </c>
    </row>
    <row r="470" spans="1:6" s="461" customFormat="1" ht="51.75">
      <c r="A470" s="451" t="s">
        <v>1105</v>
      </c>
      <c r="B470" s="457">
        <v>10</v>
      </c>
      <c r="C470" s="457" t="s">
        <v>645</v>
      </c>
      <c r="D470" s="457" t="s">
        <v>1106</v>
      </c>
      <c r="E470" s="464"/>
      <c r="F470" s="460">
        <f>F471</f>
        <v>1575907</v>
      </c>
    </row>
    <row r="471" spans="1:6" ht="25.5">
      <c r="A471" s="480" t="s">
        <v>1129</v>
      </c>
      <c r="B471" s="445">
        <v>10</v>
      </c>
      <c r="C471" s="445" t="s">
        <v>645</v>
      </c>
      <c r="D471" s="445" t="s">
        <v>1130</v>
      </c>
      <c r="E471" s="446"/>
      <c r="F471" s="447">
        <f>F472</f>
        <v>1575907</v>
      </c>
    </row>
    <row r="472" spans="1:6" ht="39">
      <c r="A472" s="463" t="s">
        <v>1131</v>
      </c>
      <c r="B472" s="445">
        <v>10</v>
      </c>
      <c r="C472" s="445" t="s">
        <v>645</v>
      </c>
      <c r="D472" s="470" t="s">
        <v>1132</v>
      </c>
      <c r="E472" s="446"/>
      <c r="F472" s="447">
        <f>F473</f>
        <v>1575907</v>
      </c>
    </row>
    <row r="473" spans="1:6" ht="15">
      <c r="A473" s="486" t="s">
        <v>827</v>
      </c>
      <c r="B473" s="445">
        <v>10</v>
      </c>
      <c r="C473" s="445" t="s">
        <v>645</v>
      </c>
      <c r="D473" s="470" t="s">
        <v>1132</v>
      </c>
      <c r="E473" s="446" t="s">
        <v>828</v>
      </c>
      <c r="F473" s="447">
        <v>1575907</v>
      </c>
    </row>
    <row r="474" spans="1:6" ht="39">
      <c r="A474" s="451" t="s">
        <v>1133</v>
      </c>
      <c r="B474" s="445">
        <v>10</v>
      </c>
      <c r="C474" s="445" t="s">
        <v>645</v>
      </c>
      <c r="D474" s="445" t="s">
        <v>660</v>
      </c>
      <c r="E474" s="446"/>
      <c r="F474" s="447">
        <f>F475</f>
        <v>10897141</v>
      </c>
    </row>
    <row r="475" spans="1:8" s="461" customFormat="1" ht="51">
      <c r="A475" s="473" t="s">
        <v>1134</v>
      </c>
      <c r="B475" s="457">
        <v>10</v>
      </c>
      <c r="C475" s="457" t="s">
        <v>645</v>
      </c>
      <c r="D475" s="457" t="s">
        <v>738</v>
      </c>
      <c r="E475" s="464"/>
      <c r="F475" s="460">
        <f>F476</f>
        <v>10897141</v>
      </c>
      <c r="H475" s="498"/>
    </row>
    <row r="476" spans="1:6" ht="25.5">
      <c r="A476" s="473" t="s">
        <v>1135</v>
      </c>
      <c r="B476" s="445">
        <v>10</v>
      </c>
      <c r="C476" s="445" t="s">
        <v>645</v>
      </c>
      <c r="D476" s="445" t="s">
        <v>1136</v>
      </c>
      <c r="E476" s="446"/>
      <c r="F476" s="447">
        <f>F477+F480+F483+F486</f>
        <v>10897141</v>
      </c>
    </row>
    <row r="477" spans="1:6" ht="26.25">
      <c r="A477" s="452" t="s">
        <v>1137</v>
      </c>
      <c r="B477" s="445">
        <v>10</v>
      </c>
      <c r="C477" s="445" t="s">
        <v>645</v>
      </c>
      <c r="D477" s="445" t="s">
        <v>1138</v>
      </c>
      <c r="E477" s="446"/>
      <c r="F477" s="447">
        <f>F479+F478</f>
        <v>63415</v>
      </c>
    </row>
    <row r="478" spans="1:6" ht="26.25">
      <c r="A478" s="454" t="s">
        <v>654</v>
      </c>
      <c r="B478" s="445">
        <v>10</v>
      </c>
      <c r="C478" s="445" t="s">
        <v>645</v>
      </c>
      <c r="D478" s="445" t="s">
        <v>1138</v>
      </c>
      <c r="E478" s="446" t="s">
        <v>655</v>
      </c>
      <c r="F478" s="447">
        <v>980</v>
      </c>
    </row>
    <row r="479" spans="1:6" ht="15">
      <c r="A479" s="517" t="s">
        <v>827</v>
      </c>
      <c r="B479" s="445">
        <v>10</v>
      </c>
      <c r="C479" s="445" t="s">
        <v>645</v>
      </c>
      <c r="D479" s="445" t="s">
        <v>1138</v>
      </c>
      <c r="E479" s="446" t="s">
        <v>828</v>
      </c>
      <c r="F479" s="447">
        <v>62435</v>
      </c>
    </row>
    <row r="480" spans="1:6" ht="26.25">
      <c r="A480" s="452" t="s">
        <v>1139</v>
      </c>
      <c r="B480" s="445">
        <v>10</v>
      </c>
      <c r="C480" s="445" t="s">
        <v>645</v>
      </c>
      <c r="D480" s="445" t="s">
        <v>1140</v>
      </c>
      <c r="E480" s="446"/>
      <c r="F480" s="447">
        <f>F482+F481</f>
        <v>295849</v>
      </c>
    </row>
    <row r="481" spans="1:6" ht="26.25">
      <c r="A481" s="454" t="s">
        <v>654</v>
      </c>
      <c r="B481" s="445">
        <v>10</v>
      </c>
      <c r="C481" s="445" t="s">
        <v>645</v>
      </c>
      <c r="D481" s="445" t="s">
        <v>1140</v>
      </c>
      <c r="E481" s="446" t="s">
        <v>655</v>
      </c>
      <c r="F481" s="447">
        <v>5240</v>
      </c>
    </row>
    <row r="482" spans="1:6" ht="15">
      <c r="A482" s="517" t="s">
        <v>827</v>
      </c>
      <c r="B482" s="445">
        <v>10</v>
      </c>
      <c r="C482" s="445" t="s">
        <v>645</v>
      </c>
      <c r="D482" s="445" t="s">
        <v>1140</v>
      </c>
      <c r="E482" s="446" t="s">
        <v>828</v>
      </c>
      <c r="F482" s="447">
        <v>290609</v>
      </c>
    </row>
    <row r="483" spans="1:6" ht="15">
      <c r="A483" s="451" t="s">
        <v>1141</v>
      </c>
      <c r="B483" s="445">
        <v>10</v>
      </c>
      <c r="C483" s="445" t="s">
        <v>645</v>
      </c>
      <c r="D483" s="445" t="s">
        <v>1142</v>
      </c>
      <c r="E483" s="446"/>
      <c r="F483" s="447">
        <f>F485+F484</f>
        <v>9062577</v>
      </c>
    </row>
    <row r="484" spans="1:6" ht="26.25">
      <c r="A484" s="454" t="s">
        <v>654</v>
      </c>
      <c r="B484" s="445">
        <v>10</v>
      </c>
      <c r="C484" s="445" t="s">
        <v>645</v>
      </c>
      <c r="D484" s="445" t="s">
        <v>1142</v>
      </c>
      <c r="E484" s="446" t="s">
        <v>655</v>
      </c>
      <c r="F484" s="447">
        <f>90140+58300</f>
        <v>148440</v>
      </c>
    </row>
    <row r="485" spans="1:6" ht="15">
      <c r="A485" s="517" t="s">
        <v>827</v>
      </c>
      <c r="B485" s="445">
        <v>10</v>
      </c>
      <c r="C485" s="445" t="s">
        <v>645</v>
      </c>
      <c r="D485" s="445" t="s">
        <v>1142</v>
      </c>
      <c r="E485" s="446" t="s">
        <v>828</v>
      </c>
      <c r="F485" s="447">
        <v>8914137</v>
      </c>
    </row>
    <row r="486" spans="1:6" ht="15">
      <c r="A486" s="451" t="s">
        <v>1143</v>
      </c>
      <c r="B486" s="445">
        <v>10</v>
      </c>
      <c r="C486" s="445" t="s">
        <v>645</v>
      </c>
      <c r="D486" s="445" t="s">
        <v>1144</v>
      </c>
      <c r="E486" s="446"/>
      <c r="F486" s="447">
        <f>F488+F487</f>
        <v>1475300</v>
      </c>
    </row>
    <row r="487" spans="1:6" ht="26.25">
      <c r="A487" s="454" t="s">
        <v>654</v>
      </c>
      <c r="B487" s="445">
        <v>10</v>
      </c>
      <c r="C487" s="445" t="s">
        <v>645</v>
      </c>
      <c r="D487" s="445" t="s">
        <v>1144</v>
      </c>
      <c r="E487" s="446" t="s">
        <v>655</v>
      </c>
      <c r="F487" s="447">
        <f>19920+4570</f>
        <v>24490</v>
      </c>
    </row>
    <row r="488" spans="1:6" ht="15">
      <c r="A488" s="517" t="s">
        <v>827</v>
      </c>
      <c r="B488" s="445">
        <v>10</v>
      </c>
      <c r="C488" s="445" t="s">
        <v>645</v>
      </c>
      <c r="D488" s="445" t="s">
        <v>1144</v>
      </c>
      <c r="E488" s="446" t="s">
        <v>828</v>
      </c>
      <c r="F488" s="447">
        <v>1450810</v>
      </c>
    </row>
    <row r="489" spans="1:6" ht="26.25">
      <c r="A489" s="451" t="s">
        <v>982</v>
      </c>
      <c r="B489" s="445">
        <v>10</v>
      </c>
      <c r="C489" s="445" t="s">
        <v>645</v>
      </c>
      <c r="D489" s="445" t="s">
        <v>983</v>
      </c>
      <c r="E489" s="446"/>
      <c r="F489" s="447">
        <f>F490+F495</f>
        <v>20466008</v>
      </c>
    </row>
    <row r="490" spans="1:6" s="461" customFormat="1" ht="39">
      <c r="A490" s="444" t="s">
        <v>984</v>
      </c>
      <c r="B490" s="457">
        <v>10</v>
      </c>
      <c r="C490" s="457" t="s">
        <v>645</v>
      </c>
      <c r="D490" s="457" t="s">
        <v>985</v>
      </c>
      <c r="E490" s="464"/>
      <c r="F490" s="460">
        <f>F491</f>
        <v>18966008</v>
      </c>
    </row>
    <row r="491" spans="1:6" ht="25.5">
      <c r="A491" s="466" t="s">
        <v>1145</v>
      </c>
      <c r="B491" s="445">
        <v>10</v>
      </c>
      <c r="C491" s="445" t="s">
        <v>645</v>
      </c>
      <c r="D491" s="445" t="s">
        <v>1146</v>
      </c>
      <c r="E491" s="446"/>
      <c r="F491" s="447">
        <f>F492</f>
        <v>18966008</v>
      </c>
    </row>
    <row r="492" spans="1:6" ht="51.75">
      <c r="A492" s="463" t="s">
        <v>1147</v>
      </c>
      <c r="B492" s="445">
        <v>10</v>
      </c>
      <c r="C492" s="445" t="s">
        <v>645</v>
      </c>
      <c r="D492" s="445" t="s">
        <v>1148</v>
      </c>
      <c r="E492" s="446"/>
      <c r="F492" s="447">
        <f>F493+F494</f>
        <v>18966008</v>
      </c>
    </row>
    <row r="493" spans="1:6" ht="26.25">
      <c r="A493" s="454" t="s">
        <v>654</v>
      </c>
      <c r="B493" s="445">
        <v>10</v>
      </c>
      <c r="C493" s="445" t="s">
        <v>645</v>
      </c>
      <c r="D493" s="445" t="s">
        <v>1148</v>
      </c>
      <c r="E493" s="446" t="s">
        <v>655</v>
      </c>
      <c r="F493" s="447"/>
    </row>
    <row r="494" spans="1:6" ht="15">
      <c r="A494" s="517" t="s">
        <v>827</v>
      </c>
      <c r="B494" s="445">
        <v>10</v>
      </c>
      <c r="C494" s="445" t="s">
        <v>645</v>
      </c>
      <c r="D494" s="445" t="s">
        <v>1148</v>
      </c>
      <c r="E494" s="446" t="s">
        <v>828</v>
      </c>
      <c r="F494" s="447">
        <v>18966008</v>
      </c>
    </row>
    <row r="495" spans="1:6" s="461" customFormat="1" ht="51.75">
      <c r="A495" s="454" t="s">
        <v>1035</v>
      </c>
      <c r="B495" s="457">
        <v>10</v>
      </c>
      <c r="C495" s="457" t="s">
        <v>645</v>
      </c>
      <c r="D495" s="457" t="s">
        <v>1036</v>
      </c>
      <c r="E495" s="464"/>
      <c r="F495" s="460">
        <f>F496</f>
        <v>1500000</v>
      </c>
    </row>
    <row r="496" spans="1:6" ht="25.5">
      <c r="A496" s="518" t="s">
        <v>1149</v>
      </c>
      <c r="B496" s="445">
        <v>10</v>
      </c>
      <c r="C496" s="445" t="s">
        <v>645</v>
      </c>
      <c r="D496" s="445" t="s">
        <v>1150</v>
      </c>
      <c r="E496" s="446"/>
      <c r="F496" s="447">
        <f>F497</f>
        <v>1500000</v>
      </c>
    </row>
    <row r="497" spans="1:6" ht="51.75">
      <c r="A497" s="502" t="s">
        <v>1151</v>
      </c>
      <c r="B497" s="445">
        <v>10</v>
      </c>
      <c r="C497" s="445" t="s">
        <v>645</v>
      </c>
      <c r="D497" s="445" t="s">
        <v>1152</v>
      </c>
      <c r="E497" s="446"/>
      <c r="F497" s="447">
        <f>F499</f>
        <v>1500000</v>
      </c>
    </row>
    <row r="498" spans="1:6" ht="26.25">
      <c r="A498" s="454" t="s">
        <v>654</v>
      </c>
      <c r="B498" s="445">
        <v>10</v>
      </c>
      <c r="C498" s="445" t="s">
        <v>645</v>
      </c>
      <c r="D498" s="445" t="s">
        <v>1152</v>
      </c>
      <c r="E498" s="446" t="s">
        <v>655</v>
      </c>
      <c r="F498" s="447"/>
    </row>
    <row r="499" spans="1:6" ht="15">
      <c r="A499" s="517" t="s">
        <v>827</v>
      </c>
      <c r="B499" s="445">
        <v>10</v>
      </c>
      <c r="C499" s="445" t="s">
        <v>645</v>
      </c>
      <c r="D499" s="445" t="s">
        <v>1152</v>
      </c>
      <c r="E499" s="446" t="s">
        <v>828</v>
      </c>
      <c r="F499" s="519">
        <f>400000+1100000</f>
        <v>1500000</v>
      </c>
    </row>
    <row r="500" spans="1:6" ht="15">
      <c r="A500" s="451" t="s">
        <v>1153</v>
      </c>
      <c r="B500" s="445">
        <v>10</v>
      </c>
      <c r="C500" s="445" t="s">
        <v>658</v>
      </c>
      <c r="D500" s="445"/>
      <c r="E500" s="446"/>
      <c r="F500" s="447">
        <f>F511+F501</f>
        <v>12691861</v>
      </c>
    </row>
    <row r="501" spans="1:6" ht="26.25">
      <c r="A501" s="451" t="s">
        <v>736</v>
      </c>
      <c r="B501" s="445">
        <v>10</v>
      </c>
      <c r="C501" s="445" t="s">
        <v>658</v>
      </c>
      <c r="D501" s="520" t="s">
        <v>660</v>
      </c>
      <c r="E501" s="446"/>
      <c r="F501" s="447">
        <f>F507+F502</f>
        <v>10611051</v>
      </c>
    </row>
    <row r="502" spans="1:6" ht="51">
      <c r="A502" s="473" t="s">
        <v>1134</v>
      </c>
      <c r="B502" s="445">
        <v>10</v>
      </c>
      <c r="C502" s="445" t="s">
        <v>658</v>
      </c>
      <c r="D502" s="457" t="s">
        <v>738</v>
      </c>
      <c r="E502" s="464"/>
      <c r="F502" s="460">
        <f>F503</f>
        <v>1556884</v>
      </c>
    </row>
    <row r="503" spans="1:6" ht="25.5">
      <c r="A503" s="473" t="s">
        <v>1135</v>
      </c>
      <c r="B503" s="445">
        <v>10</v>
      </c>
      <c r="C503" s="445" t="s">
        <v>658</v>
      </c>
      <c r="D503" s="445" t="s">
        <v>1136</v>
      </c>
      <c r="E503" s="446"/>
      <c r="F503" s="447">
        <f>F504</f>
        <v>1556884</v>
      </c>
    </row>
    <row r="504" spans="1:6" ht="15">
      <c r="A504" s="451" t="s">
        <v>1154</v>
      </c>
      <c r="B504" s="445">
        <v>10</v>
      </c>
      <c r="C504" s="445" t="s">
        <v>658</v>
      </c>
      <c r="D504" s="445" t="s">
        <v>1155</v>
      </c>
      <c r="E504" s="446"/>
      <c r="F504" s="447">
        <f>F506+F505</f>
        <v>1556884</v>
      </c>
    </row>
    <row r="505" spans="1:6" ht="26.25">
      <c r="A505" s="454" t="s">
        <v>654</v>
      </c>
      <c r="B505" s="445">
        <v>10</v>
      </c>
      <c r="C505" s="445" t="s">
        <v>658</v>
      </c>
      <c r="D505" s="445" t="s">
        <v>1155</v>
      </c>
      <c r="E505" s="446" t="s">
        <v>655</v>
      </c>
      <c r="F505" s="447">
        <v>280</v>
      </c>
    </row>
    <row r="506" spans="1:6" ht="15">
      <c r="A506" s="517" t="s">
        <v>827</v>
      </c>
      <c r="B506" s="445">
        <v>10</v>
      </c>
      <c r="C506" s="445" t="s">
        <v>658</v>
      </c>
      <c r="D506" s="445" t="s">
        <v>1155</v>
      </c>
      <c r="E506" s="446" t="s">
        <v>828</v>
      </c>
      <c r="F506" s="447">
        <v>1556604</v>
      </c>
    </row>
    <row r="507" spans="1:6" ht="51">
      <c r="A507" s="477" t="s">
        <v>1156</v>
      </c>
      <c r="B507" s="445">
        <v>10</v>
      </c>
      <c r="C507" s="445" t="s">
        <v>658</v>
      </c>
      <c r="D507" s="445" t="s">
        <v>662</v>
      </c>
      <c r="E507" s="446"/>
      <c r="F507" s="447">
        <f>F509</f>
        <v>9054167</v>
      </c>
    </row>
    <row r="508" spans="1:6" ht="38.25">
      <c r="A508" s="466" t="s">
        <v>1157</v>
      </c>
      <c r="B508" s="445">
        <v>10</v>
      </c>
      <c r="C508" s="445" t="s">
        <v>658</v>
      </c>
      <c r="D508" s="445" t="s">
        <v>1158</v>
      </c>
      <c r="E508" s="446"/>
      <c r="F508" s="447">
        <f>F509</f>
        <v>9054167</v>
      </c>
    </row>
    <row r="509" spans="1:6" ht="26.25">
      <c r="A509" s="452" t="s">
        <v>1159</v>
      </c>
      <c r="B509" s="445">
        <v>10</v>
      </c>
      <c r="C509" s="445" t="s">
        <v>658</v>
      </c>
      <c r="D509" s="445" t="s">
        <v>1160</v>
      </c>
      <c r="E509" s="446"/>
      <c r="F509" s="447">
        <f>F510</f>
        <v>9054167</v>
      </c>
    </row>
    <row r="510" spans="1:6" ht="15">
      <c r="A510" s="517" t="s">
        <v>827</v>
      </c>
      <c r="B510" s="445">
        <v>10</v>
      </c>
      <c r="C510" s="445" t="s">
        <v>658</v>
      </c>
      <c r="D510" s="445" t="s">
        <v>1160</v>
      </c>
      <c r="E510" s="446" t="s">
        <v>828</v>
      </c>
      <c r="F510" s="447">
        <v>9054167</v>
      </c>
    </row>
    <row r="511" spans="1:6" ht="26.25">
      <c r="A511" s="451" t="s">
        <v>1161</v>
      </c>
      <c r="B511" s="445">
        <v>10</v>
      </c>
      <c r="C511" s="445" t="s">
        <v>658</v>
      </c>
      <c r="D511" s="520" t="s">
        <v>983</v>
      </c>
      <c r="E511" s="446"/>
      <c r="F511" s="447">
        <f>F512</f>
        <v>2080810</v>
      </c>
    </row>
    <row r="512" spans="1:6" s="461" customFormat="1" ht="39">
      <c r="A512" s="444" t="s">
        <v>984</v>
      </c>
      <c r="B512" s="457">
        <v>10</v>
      </c>
      <c r="C512" s="457" t="s">
        <v>658</v>
      </c>
      <c r="D512" s="521" t="s">
        <v>985</v>
      </c>
      <c r="E512" s="464"/>
      <c r="F512" s="460">
        <f>F514</f>
        <v>2080810</v>
      </c>
    </row>
    <row r="513" spans="1:6" ht="25.5">
      <c r="A513" s="466" t="s">
        <v>986</v>
      </c>
      <c r="B513" s="445">
        <v>10</v>
      </c>
      <c r="C513" s="445" t="s">
        <v>658</v>
      </c>
      <c r="D513" s="520" t="s">
        <v>987</v>
      </c>
      <c r="E513" s="446"/>
      <c r="F513" s="447">
        <f>F514</f>
        <v>2080810</v>
      </c>
    </row>
    <row r="514" spans="1:6" ht="15">
      <c r="A514" s="522" t="s">
        <v>1162</v>
      </c>
      <c r="B514" s="445">
        <v>10</v>
      </c>
      <c r="C514" s="445" t="s">
        <v>658</v>
      </c>
      <c r="D514" s="520" t="s">
        <v>1163</v>
      </c>
      <c r="E514" s="446"/>
      <c r="F514" s="447">
        <f>F515</f>
        <v>2080810</v>
      </c>
    </row>
    <row r="515" spans="1:6" ht="15">
      <c r="A515" s="517" t="s">
        <v>827</v>
      </c>
      <c r="B515" s="445">
        <v>10</v>
      </c>
      <c r="C515" s="445" t="s">
        <v>658</v>
      </c>
      <c r="D515" s="520" t="s">
        <v>1163</v>
      </c>
      <c r="E515" s="446" t="s">
        <v>828</v>
      </c>
      <c r="F515" s="447">
        <v>2080810</v>
      </c>
    </row>
    <row r="516" spans="1:6" ht="15">
      <c r="A516" s="451" t="s">
        <v>1164</v>
      </c>
      <c r="B516" s="445" t="s">
        <v>727</v>
      </c>
      <c r="C516" s="445"/>
      <c r="D516" s="445"/>
      <c r="E516" s="446"/>
      <c r="F516" s="447">
        <f aca="true" t="shared" si="0" ref="F516:F521">F517</f>
        <v>150000</v>
      </c>
    </row>
    <row r="517" spans="1:6" ht="15">
      <c r="A517" s="451" t="s">
        <v>1165</v>
      </c>
      <c r="B517" s="445" t="s">
        <v>727</v>
      </c>
      <c r="C517" s="445" t="s">
        <v>633</v>
      </c>
      <c r="D517" s="445"/>
      <c r="E517" s="446"/>
      <c r="F517" s="447">
        <f t="shared" si="0"/>
        <v>150000</v>
      </c>
    </row>
    <row r="518" spans="1:6" ht="51">
      <c r="A518" s="466" t="s">
        <v>1044</v>
      </c>
      <c r="B518" s="445" t="s">
        <v>727</v>
      </c>
      <c r="C518" s="445" t="s">
        <v>633</v>
      </c>
      <c r="D518" s="474" t="s">
        <v>1045</v>
      </c>
      <c r="E518" s="446"/>
      <c r="F518" s="447">
        <f t="shared" si="0"/>
        <v>150000</v>
      </c>
    </row>
    <row r="519" spans="1:6" s="461" customFormat="1" ht="63.75">
      <c r="A519" s="477" t="s">
        <v>1166</v>
      </c>
      <c r="B519" s="457" t="s">
        <v>727</v>
      </c>
      <c r="C519" s="457" t="s">
        <v>633</v>
      </c>
      <c r="D519" s="482" t="s">
        <v>1167</v>
      </c>
      <c r="E519" s="464"/>
      <c r="F519" s="460">
        <f t="shared" si="0"/>
        <v>150000</v>
      </c>
    </row>
    <row r="520" spans="1:6" ht="38.25">
      <c r="A520" s="477" t="s">
        <v>1168</v>
      </c>
      <c r="B520" s="445" t="s">
        <v>727</v>
      </c>
      <c r="C520" s="445" t="s">
        <v>633</v>
      </c>
      <c r="D520" s="474" t="s">
        <v>1169</v>
      </c>
      <c r="E520" s="446"/>
      <c r="F520" s="447">
        <f t="shared" si="0"/>
        <v>150000</v>
      </c>
    </row>
    <row r="521" spans="1:6" ht="39">
      <c r="A521" s="451" t="s">
        <v>1170</v>
      </c>
      <c r="B521" s="445" t="s">
        <v>727</v>
      </c>
      <c r="C521" s="445" t="s">
        <v>633</v>
      </c>
      <c r="D521" s="474" t="s">
        <v>1171</v>
      </c>
      <c r="E521" s="446"/>
      <c r="F521" s="447">
        <f t="shared" si="0"/>
        <v>150000</v>
      </c>
    </row>
    <row r="522" spans="1:6" ht="26.25">
      <c r="A522" s="454" t="s">
        <v>654</v>
      </c>
      <c r="B522" s="445" t="s">
        <v>727</v>
      </c>
      <c r="C522" s="445" t="s">
        <v>633</v>
      </c>
      <c r="D522" s="474" t="s">
        <v>1171</v>
      </c>
      <c r="E522" s="446" t="s">
        <v>655</v>
      </c>
      <c r="F522" s="447">
        <f>100000+50000</f>
        <v>150000</v>
      </c>
    </row>
    <row r="523" spans="1:6" ht="15">
      <c r="A523" s="451" t="s">
        <v>1172</v>
      </c>
      <c r="B523" s="445" t="s">
        <v>735</v>
      </c>
      <c r="C523" s="445"/>
      <c r="D523" s="445"/>
      <c r="E523" s="446"/>
      <c r="F523" s="447">
        <f>F524</f>
        <v>9602.76</v>
      </c>
    </row>
    <row r="524" spans="1:6" ht="15">
      <c r="A524" s="451" t="s">
        <v>1173</v>
      </c>
      <c r="B524" s="445" t="s">
        <v>735</v>
      </c>
      <c r="C524" s="445" t="s">
        <v>633</v>
      </c>
      <c r="D524" s="445"/>
      <c r="E524" s="446"/>
      <c r="F524" s="447">
        <f>F525</f>
        <v>9602.76</v>
      </c>
    </row>
    <row r="525" spans="1:6" ht="63.75">
      <c r="A525" s="465" t="s">
        <v>1174</v>
      </c>
      <c r="B525" s="445" t="s">
        <v>735</v>
      </c>
      <c r="C525" s="445" t="s">
        <v>633</v>
      </c>
      <c r="D525" s="470" t="s">
        <v>1175</v>
      </c>
      <c r="E525" s="446"/>
      <c r="F525" s="447">
        <f>F526</f>
        <v>9602.76</v>
      </c>
    </row>
    <row r="526" spans="1:6" s="461" customFormat="1" ht="51.75">
      <c r="A526" s="444" t="s">
        <v>1176</v>
      </c>
      <c r="B526" s="457" t="s">
        <v>735</v>
      </c>
      <c r="C526" s="457" t="s">
        <v>633</v>
      </c>
      <c r="D526" s="470" t="s">
        <v>1177</v>
      </c>
      <c r="E526" s="464"/>
      <c r="F526" s="460">
        <f>F528</f>
        <v>9602.76</v>
      </c>
    </row>
    <row r="527" spans="1:6" s="461" customFormat="1" ht="39">
      <c r="A527" s="444" t="s">
        <v>1178</v>
      </c>
      <c r="B527" s="445" t="s">
        <v>735</v>
      </c>
      <c r="C527" s="445" t="s">
        <v>633</v>
      </c>
      <c r="D527" s="470" t="s">
        <v>1179</v>
      </c>
      <c r="E527" s="464"/>
      <c r="F527" s="460">
        <f>F528</f>
        <v>9602.76</v>
      </c>
    </row>
    <row r="528" spans="1:6" ht="15">
      <c r="A528" s="451" t="s">
        <v>1180</v>
      </c>
      <c r="B528" s="445" t="s">
        <v>735</v>
      </c>
      <c r="C528" s="445" t="s">
        <v>633</v>
      </c>
      <c r="D528" s="470" t="s">
        <v>1181</v>
      </c>
      <c r="E528" s="446"/>
      <c r="F528" s="447">
        <f>F529</f>
        <v>9602.76</v>
      </c>
    </row>
    <row r="529" spans="1:6" ht="15">
      <c r="A529" s="444" t="s">
        <v>1182</v>
      </c>
      <c r="B529" s="445" t="s">
        <v>735</v>
      </c>
      <c r="C529" s="445" t="s">
        <v>633</v>
      </c>
      <c r="D529" s="470" t="s">
        <v>1181</v>
      </c>
      <c r="E529" s="446" t="s">
        <v>1183</v>
      </c>
      <c r="F529" s="447">
        <v>9602.76</v>
      </c>
    </row>
    <row r="530" spans="1:6" ht="26.25">
      <c r="A530" s="451" t="s">
        <v>1184</v>
      </c>
      <c r="B530" s="445" t="s">
        <v>1185</v>
      </c>
      <c r="C530" s="445"/>
      <c r="D530" s="445"/>
      <c r="E530" s="446"/>
      <c r="F530" s="447">
        <f aca="true" t="shared" si="1" ref="F530:F535">F531</f>
        <v>7768331</v>
      </c>
    </row>
    <row r="531" spans="1:6" ht="26.25">
      <c r="A531" s="451" t="s">
        <v>1186</v>
      </c>
      <c r="B531" s="445" t="s">
        <v>1185</v>
      </c>
      <c r="C531" s="445" t="s">
        <v>633</v>
      </c>
      <c r="D531" s="445"/>
      <c r="E531" s="446"/>
      <c r="F531" s="447">
        <f t="shared" si="1"/>
        <v>7768331</v>
      </c>
    </row>
    <row r="532" spans="1:6" ht="63.75">
      <c r="A532" s="465" t="s">
        <v>1187</v>
      </c>
      <c r="B532" s="445" t="s">
        <v>1185</v>
      </c>
      <c r="C532" s="445" t="s">
        <v>633</v>
      </c>
      <c r="D532" s="445" t="s">
        <v>1175</v>
      </c>
      <c r="E532" s="446"/>
      <c r="F532" s="447">
        <f t="shared" si="1"/>
        <v>7768331</v>
      </c>
    </row>
    <row r="533" spans="1:6" s="461" customFormat="1" ht="51.75">
      <c r="A533" s="444" t="s">
        <v>1188</v>
      </c>
      <c r="B533" s="457" t="s">
        <v>1185</v>
      </c>
      <c r="C533" s="457" t="s">
        <v>633</v>
      </c>
      <c r="D533" s="457" t="s">
        <v>1189</v>
      </c>
      <c r="E533" s="464"/>
      <c r="F533" s="460">
        <f t="shared" si="1"/>
        <v>7768331</v>
      </c>
    </row>
    <row r="534" spans="1:6" ht="25.5">
      <c r="A534" s="465" t="s">
        <v>1190</v>
      </c>
      <c r="B534" s="445" t="s">
        <v>1185</v>
      </c>
      <c r="C534" s="445" t="s">
        <v>633</v>
      </c>
      <c r="D534" s="445" t="s">
        <v>1191</v>
      </c>
      <c r="E534" s="446"/>
      <c r="F534" s="447">
        <f t="shared" si="1"/>
        <v>7768331</v>
      </c>
    </row>
    <row r="535" spans="1:6" ht="39">
      <c r="A535" s="463" t="s">
        <v>1192</v>
      </c>
      <c r="B535" s="445" t="s">
        <v>1185</v>
      </c>
      <c r="C535" s="445" t="s">
        <v>633</v>
      </c>
      <c r="D535" s="445" t="s">
        <v>1193</v>
      </c>
      <c r="E535" s="446"/>
      <c r="F535" s="447">
        <f t="shared" si="1"/>
        <v>7768331</v>
      </c>
    </row>
    <row r="536" spans="1:6" ht="15.75" thickBot="1">
      <c r="A536" s="523" t="s">
        <v>814</v>
      </c>
      <c r="B536" s="524" t="s">
        <v>1185</v>
      </c>
      <c r="C536" s="524" t="s">
        <v>633</v>
      </c>
      <c r="D536" s="524" t="s">
        <v>1193</v>
      </c>
      <c r="E536" s="525" t="s">
        <v>815</v>
      </c>
      <c r="F536" s="526">
        <v>7768331</v>
      </c>
    </row>
    <row r="537" spans="2:6" ht="15">
      <c r="B537" s="527"/>
      <c r="C537" s="527"/>
      <c r="D537" s="527"/>
      <c r="E537" s="528"/>
      <c r="F537" s="529"/>
    </row>
    <row r="538" spans="2:6" ht="15">
      <c r="B538" s="527"/>
      <c r="C538" s="527"/>
      <c r="D538" s="527"/>
      <c r="E538" s="528"/>
      <c r="F538" s="529"/>
    </row>
  </sheetData>
  <sheetProtection/>
  <mergeCells count="10">
    <mergeCell ref="B4:F4"/>
    <mergeCell ref="B5:F5"/>
    <mergeCell ref="B6:F6"/>
    <mergeCell ref="A8:F8"/>
    <mergeCell ref="A10:A11"/>
    <mergeCell ref="B10:B11"/>
    <mergeCell ref="C10:C11"/>
    <mergeCell ref="D10:D11"/>
    <mergeCell ref="E10:E11"/>
    <mergeCell ref="F10:F11"/>
  </mergeCells>
  <hyperlinks>
    <hyperlink ref="A273" r:id="rId1" display="consultantplus://offline/ref=C6EF3AE28B6C46D1117CBBA251A07B11C6C7C5768D606C8B0E322DA1BBA42282C9440EEF08E6CC43400230U6VFM"/>
  </hyperlinks>
  <printOptions/>
  <pageMargins left="0.7086614173228347" right="0.22" top="0.4" bottom="0.44" header="0.31496062992125984" footer="0.31496062992125984"/>
  <pageSetup horizontalDpi="600" verticalDpi="600" orientation="portrait" paperSize="9" scale="80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6"/>
  <sheetViews>
    <sheetView view="pageBreakPreview" zoomScale="60" zoomScalePageLayoutView="0" workbookViewId="0" topLeftCell="A1">
      <selection activeCell="G13" sqref="G13"/>
    </sheetView>
  </sheetViews>
  <sheetFormatPr defaultColWidth="9.00390625" defaultRowHeight="12.75"/>
  <cols>
    <col min="1" max="1" width="64.875" style="417" customWidth="1"/>
    <col min="2" max="2" width="4.875" style="427" customWidth="1"/>
    <col min="3" max="3" width="5.00390625" style="427" customWidth="1"/>
    <col min="4" max="4" width="15.375" style="427" customWidth="1"/>
    <col min="5" max="5" width="7.125" style="530" customWidth="1"/>
    <col min="6" max="6" width="17.00390625" style="531" customWidth="1"/>
    <col min="7" max="7" width="16.25390625" style="531" customWidth="1"/>
    <col min="8" max="8" width="22.875" style="413" customWidth="1"/>
    <col min="9" max="9" width="16.125" style="413" customWidth="1"/>
    <col min="10" max="10" width="18.00390625" style="413" bestFit="1" customWidth="1"/>
    <col min="11" max="11" width="20.00390625" style="413" customWidth="1"/>
    <col min="12" max="16384" width="9.125" style="413" customWidth="1"/>
  </cols>
  <sheetData>
    <row r="1" spans="2:8" ht="12.75">
      <c r="B1" s="414"/>
      <c r="C1" s="414"/>
      <c r="D1" s="414" t="s">
        <v>1318</v>
      </c>
      <c r="E1" s="414"/>
      <c r="F1" s="414"/>
      <c r="G1" s="415"/>
      <c r="H1" s="416"/>
    </row>
    <row r="2" spans="2:8" ht="42" customHeight="1">
      <c r="B2" s="418"/>
      <c r="C2" s="414"/>
      <c r="D2" s="681" t="s">
        <v>1319</v>
      </c>
      <c r="E2" s="681"/>
      <c r="F2" s="681"/>
      <c r="G2" s="681"/>
      <c r="H2" s="419"/>
    </row>
    <row r="3" spans="1:8" ht="36.75" customHeight="1">
      <c r="A3" s="536"/>
      <c r="B3" s="637"/>
      <c r="C3" s="637"/>
      <c r="D3" s="423" t="s">
        <v>617</v>
      </c>
      <c r="E3" s="423"/>
      <c r="F3" s="423"/>
      <c r="G3" s="423"/>
      <c r="H3" s="637"/>
    </row>
    <row r="4" spans="1:7" ht="40.5" customHeight="1">
      <c r="A4" s="536"/>
      <c r="B4" s="417"/>
      <c r="C4" s="417"/>
      <c r="D4" s="424" t="s">
        <v>1320</v>
      </c>
      <c r="E4" s="424"/>
      <c r="F4" s="424"/>
      <c r="G4" s="424"/>
    </row>
    <row r="5" spans="1:7" ht="69.75" customHeight="1">
      <c r="A5" s="682" t="s">
        <v>1321</v>
      </c>
      <c r="B5" s="682"/>
      <c r="C5" s="682"/>
      <c r="D5" s="682"/>
      <c r="E5" s="682"/>
      <c r="F5" s="682"/>
      <c r="G5" s="682"/>
    </row>
    <row r="6" spans="1:7" ht="6" customHeight="1">
      <c r="A6" s="683"/>
      <c r="B6" s="683"/>
      <c r="C6" s="683"/>
      <c r="D6" s="683"/>
      <c r="E6" s="683"/>
      <c r="F6" s="684"/>
      <c r="G6" s="453"/>
    </row>
    <row r="7" spans="5:7" ht="21" customHeight="1" thickBot="1">
      <c r="E7" s="428"/>
      <c r="F7" s="429"/>
      <c r="G7" s="429" t="s">
        <v>620</v>
      </c>
    </row>
    <row r="8" spans="1:11" ht="33.75" customHeight="1">
      <c r="A8" s="430" t="s">
        <v>621</v>
      </c>
      <c r="B8" s="431" t="s">
        <v>622</v>
      </c>
      <c r="C8" s="431" t="s">
        <v>623</v>
      </c>
      <c r="D8" s="432" t="s">
        <v>624</v>
      </c>
      <c r="E8" s="432" t="s">
        <v>625</v>
      </c>
      <c r="F8" s="543" t="s">
        <v>1257</v>
      </c>
      <c r="G8" s="685" t="s">
        <v>1259</v>
      </c>
      <c r="K8" s="434"/>
    </row>
    <row r="9" spans="1:7" ht="3.75" customHeight="1" thickBot="1">
      <c r="A9" s="435"/>
      <c r="B9" s="436"/>
      <c r="C9" s="436"/>
      <c r="D9" s="437"/>
      <c r="E9" s="437"/>
      <c r="F9" s="546"/>
      <c r="G9" s="686"/>
    </row>
    <row r="10" spans="1:7" s="443" customFormat="1" ht="18.75" customHeight="1">
      <c r="A10" s="548">
        <v>1</v>
      </c>
      <c r="B10" s="687" t="s">
        <v>627</v>
      </c>
      <c r="C10" s="687" t="s">
        <v>628</v>
      </c>
      <c r="D10" s="688" t="s">
        <v>629</v>
      </c>
      <c r="E10" s="688" t="s">
        <v>630</v>
      </c>
      <c r="F10" s="689">
        <v>6</v>
      </c>
      <c r="G10" s="690">
        <v>7</v>
      </c>
    </row>
    <row r="11" spans="1:11" s="448" customFormat="1" ht="20.25">
      <c r="A11" s="444" t="s">
        <v>631</v>
      </c>
      <c r="B11" s="445"/>
      <c r="C11" s="445"/>
      <c r="D11" s="445"/>
      <c r="E11" s="446"/>
      <c r="F11" s="553">
        <f>F13+F185+F235+F285+F417+F466+F531+F542+F549+F458+F169+F12</f>
        <v>437017848</v>
      </c>
      <c r="G11" s="447">
        <f>G13+G185+G235+G285+G417+G466+G531+G542+G549+G458+G169+G12</f>
        <v>443740679</v>
      </c>
      <c r="H11" s="449"/>
      <c r="J11" s="449"/>
      <c r="K11" s="450"/>
    </row>
    <row r="12" spans="1:7" ht="15">
      <c r="A12" s="451" t="s">
        <v>1260</v>
      </c>
      <c r="B12" s="445"/>
      <c r="C12" s="445"/>
      <c r="D12" s="445"/>
      <c r="E12" s="446"/>
      <c r="F12" s="553">
        <v>4400000</v>
      </c>
      <c r="G12" s="447">
        <v>8900000</v>
      </c>
    </row>
    <row r="13" spans="1:7" ht="15">
      <c r="A13" s="451" t="s">
        <v>632</v>
      </c>
      <c r="B13" s="445" t="s">
        <v>633</v>
      </c>
      <c r="C13" s="445"/>
      <c r="D13" s="445"/>
      <c r="E13" s="446"/>
      <c r="F13" s="553">
        <f>F14+F19+F28+F86+F91+F74+F69+F81</f>
        <v>35883384.78</v>
      </c>
      <c r="G13" s="447">
        <f>G14+G19+G28+G86+G91+G74+G69+G81</f>
        <v>35037580</v>
      </c>
    </row>
    <row r="14" spans="1:8" ht="28.5" customHeight="1">
      <c r="A14" s="452" t="s">
        <v>634</v>
      </c>
      <c r="B14" s="445" t="s">
        <v>633</v>
      </c>
      <c r="C14" s="445" t="s">
        <v>635</v>
      </c>
      <c r="D14" s="445"/>
      <c r="E14" s="446"/>
      <c r="F14" s="553">
        <f>F16</f>
        <v>1537000</v>
      </c>
      <c r="G14" s="447">
        <f>G16</f>
        <v>1537000</v>
      </c>
      <c r="H14" s="453"/>
    </row>
    <row r="15" spans="1:7" ht="19.5" customHeight="1">
      <c r="A15" s="454" t="s">
        <v>636</v>
      </c>
      <c r="B15" s="445" t="s">
        <v>633</v>
      </c>
      <c r="C15" s="445" t="s">
        <v>635</v>
      </c>
      <c r="D15" s="455" t="s">
        <v>637</v>
      </c>
      <c r="E15" s="446"/>
      <c r="F15" s="553">
        <f>F16</f>
        <v>1537000</v>
      </c>
      <c r="G15" s="447">
        <f>G16</f>
        <v>1537000</v>
      </c>
    </row>
    <row r="16" spans="1:7" ht="17.25" customHeight="1">
      <c r="A16" s="451" t="s">
        <v>638</v>
      </c>
      <c r="B16" s="445" t="s">
        <v>633</v>
      </c>
      <c r="C16" s="445" t="s">
        <v>635</v>
      </c>
      <c r="D16" s="455" t="s">
        <v>639</v>
      </c>
      <c r="E16" s="446"/>
      <c r="F16" s="553">
        <f>F18</f>
        <v>1537000</v>
      </c>
      <c r="G16" s="447">
        <f>G18</f>
        <v>1537000</v>
      </c>
    </row>
    <row r="17" spans="1:7" ht="30" customHeight="1">
      <c r="A17" s="452" t="s">
        <v>640</v>
      </c>
      <c r="B17" s="445" t="s">
        <v>633</v>
      </c>
      <c r="C17" s="445" t="s">
        <v>635</v>
      </c>
      <c r="D17" s="455" t="s">
        <v>641</v>
      </c>
      <c r="E17" s="446"/>
      <c r="F17" s="553">
        <f>F18</f>
        <v>1537000</v>
      </c>
      <c r="G17" s="447">
        <f>G18</f>
        <v>1537000</v>
      </c>
    </row>
    <row r="18" spans="1:7" ht="41.25" customHeight="1">
      <c r="A18" s="454" t="s">
        <v>642</v>
      </c>
      <c r="B18" s="445" t="s">
        <v>633</v>
      </c>
      <c r="C18" s="445" t="s">
        <v>635</v>
      </c>
      <c r="D18" s="455" t="s">
        <v>641</v>
      </c>
      <c r="E18" s="456" t="s">
        <v>643</v>
      </c>
      <c r="F18" s="553">
        <v>1537000</v>
      </c>
      <c r="G18" s="447">
        <v>1537000</v>
      </c>
    </row>
    <row r="19" spans="1:7" ht="42" customHeight="1">
      <c r="A19" s="452" t="s">
        <v>644</v>
      </c>
      <c r="B19" s="445" t="s">
        <v>633</v>
      </c>
      <c r="C19" s="445" t="s">
        <v>645</v>
      </c>
      <c r="D19" s="445"/>
      <c r="E19" s="446"/>
      <c r="F19" s="553">
        <f>F20</f>
        <v>1942800</v>
      </c>
      <c r="G19" s="447">
        <f>G20</f>
        <v>1942800</v>
      </c>
    </row>
    <row r="20" spans="1:7" ht="29.25" customHeight="1">
      <c r="A20" s="454" t="s">
        <v>646</v>
      </c>
      <c r="B20" s="445" t="s">
        <v>633</v>
      </c>
      <c r="C20" s="445" t="s">
        <v>645</v>
      </c>
      <c r="D20" s="455" t="s">
        <v>647</v>
      </c>
      <c r="E20" s="446"/>
      <c r="F20" s="553">
        <f>F21+F24</f>
        <v>1942800</v>
      </c>
      <c r="G20" s="447">
        <f>G21+G24</f>
        <v>1942800</v>
      </c>
    </row>
    <row r="21" spans="1:7" ht="18.75" customHeight="1">
      <c r="A21" s="451" t="s">
        <v>648</v>
      </c>
      <c r="B21" s="445" t="s">
        <v>633</v>
      </c>
      <c r="C21" s="445" t="s">
        <v>645</v>
      </c>
      <c r="D21" s="455" t="s">
        <v>649</v>
      </c>
      <c r="E21" s="446"/>
      <c r="F21" s="553">
        <f>F22</f>
        <v>880000</v>
      </c>
      <c r="G21" s="447">
        <f>G22</f>
        <v>880000</v>
      </c>
    </row>
    <row r="22" spans="1:7" ht="26.25">
      <c r="A22" s="452" t="s">
        <v>640</v>
      </c>
      <c r="B22" s="445" t="s">
        <v>633</v>
      </c>
      <c r="C22" s="445" t="s">
        <v>645</v>
      </c>
      <c r="D22" s="455" t="s">
        <v>650</v>
      </c>
      <c r="E22" s="456"/>
      <c r="F22" s="553">
        <f>F23</f>
        <v>880000</v>
      </c>
      <c r="G22" s="447">
        <f>G23</f>
        <v>880000</v>
      </c>
    </row>
    <row r="23" spans="1:7" ht="44.25" customHeight="1">
      <c r="A23" s="454" t="s">
        <v>642</v>
      </c>
      <c r="B23" s="445" t="s">
        <v>633</v>
      </c>
      <c r="C23" s="445" t="s">
        <v>645</v>
      </c>
      <c r="D23" s="455" t="s">
        <v>650</v>
      </c>
      <c r="E23" s="456" t="s">
        <v>643</v>
      </c>
      <c r="F23" s="553">
        <v>880000</v>
      </c>
      <c r="G23" s="447">
        <v>880000</v>
      </c>
    </row>
    <row r="24" spans="1:7" ht="18" customHeight="1">
      <c r="A24" s="451" t="s">
        <v>651</v>
      </c>
      <c r="B24" s="445" t="s">
        <v>633</v>
      </c>
      <c r="C24" s="445" t="s">
        <v>645</v>
      </c>
      <c r="D24" s="455" t="s">
        <v>652</v>
      </c>
      <c r="E24" s="456"/>
      <c r="F24" s="553">
        <f>F25</f>
        <v>1062800</v>
      </c>
      <c r="G24" s="447">
        <f>G25</f>
        <v>1062800</v>
      </c>
    </row>
    <row r="25" spans="1:7" ht="27.75" customHeight="1">
      <c r="A25" s="452" t="s">
        <v>640</v>
      </c>
      <c r="B25" s="445" t="s">
        <v>633</v>
      </c>
      <c r="C25" s="445" t="s">
        <v>645</v>
      </c>
      <c r="D25" s="455" t="s">
        <v>653</v>
      </c>
      <c r="E25" s="456"/>
      <c r="F25" s="553">
        <f>F26+F27</f>
        <v>1062800</v>
      </c>
      <c r="G25" s="447">
        <f>G26+G27</f>
        <v>1062800</v>
      </c>
    </row>
    <row r="26" spans="1:7" ht="40.5" customHeight="1">
      <c r="A26" s="454" t="s">
        <v>642</v>
      </c>
      <c r="B26" s="445" t="s">
        <v>633</v>
      </c>
      <c r="C26" s="445" t="s">
        <v>645</v>
      </c>
      <c r="D26" s="455" t="s">
        <v>653</v>
      </c>
      <c r="E26" s="456" t="s">
        <v>643</v>
      </c>
      <c r="F26" s="553">
        <v>1062800</v>
      </c>
      <c r="G26" s="447">
        <v>1062800</v>
      </c>
    </row>
    <row r="27" spans="1:7" ht="15" hidden="1">
      <c r="A27" s="466" t="s">
        <v>696</v>
      </c>
      <c r="B27" s="445" t="s">
        <v>633</v>
      </c>
      <c r="C27" s="445" t="s">
        <v>645</v>
      </c>
      <c r="D27" s="455" t="s">
        <v>653</v>
      </c>
      <c r="E27" s="456" t="s">
        <v>697</v>
      </c>
      <c r="F27" s="553"/>
      <c r="G27" s="447"/>
    </row>
    <row r="28" spans="1:7" ht="42" customHeight="1">
      <c r="A28" s="452" t="s">
        <v>656</v>
      </c>
      <c r="B28" s="445" t="s">
        <v>657</v>
      </c>
      <c r="C28" s="445" t="s">
        <v>658</v>
      </c>
      <c r="D28" s="445"/>
      <c r="E28" s="446"/>
      <c r="F28" s="553">
        <f>F29+F46+F61+F55+F40</f>
        <v>20214434</v>
      </c>
      <c r="G28" s="447">
        <f>G29+G46+G61+G55+G40</f>
        <v>20214434</v>
      </c>
    </row>
    <row r="29" spans="1:7" ht="30.75" customHeight="1">
      <c r="A29" s="451" t="s">
        <v>659</v>
      </c>
      <c r="B29" s="445" t="s">
        <v>657</v>
      </c>
      <c r="C29" s="445" t="s">
        <v>658</v>
      </c>
      <c r="D29" s="455" t="s">
        <v>660</v>
      </c>
      <c r="E29" s="456"/>
      <c r="F29" s="553">
        <f>F35+F30</f>
        <v>2922000</v>
      </c>
      <c r="G29" s="447">
        <f>G35+G30</f>
        <v>2922000</v>
      </c>
    </row>
    <row r="30" spans="1:7" s="461" customFormat="1" ht="57.75" customHeight="1">
      <c r="A30" s="454" t="s">
        <v>661</v>
      </c>
      <c r="B30" s="445" t="s">
        <v>633</v>
      </c>
      <c r="C30" s="445" t="s">
        <v>658</v>
      </c>
      <c r="D30" s="455" t="s">
        <v>662</v>
      </c>
      <c r="E30" s="456"/>
      <c r="F30" s="553">
        <f>F32</f>
        <v>876600</v>
      </c>
      <c r="G30" s="447">
        <f>G32</f>
        <v>876600</v>
      </c>
    </row>
    <row r="31" spans="1:7" ht="42" customHeight="1">
      <c r="A31" s="462" t="s">
        <v>663</v>
      </c>
      <c r="B31" s="445" t="s">
        <v>633</v>
      </c>
      <c r="C31" s="445" t="s">
        <v>658</v>
      </c>
      <c r="D31" s="455" t="s">
        <v>664</v>
      </c>
      <c r="E31" s="456"/>
      <c r="F31" s="553">
        <f>F32</f>
        <v>876600</v>
      </c>
      <c r="G31" s="447">
        <f>G32</f>
        <v>876600</v>
      </c>
    </row>
    <row r="32" spans="1:7" ht="42.75" customHeight="1">
      <c r="A32" s="556" t="s">
        <v>665</v>
      </c>
      <c r="B32" s="445" t="s">
        <v>633</v>
      </c>
      <c r="C32" s="445" t="s">
        <v>658</v>
      </c>
      <c r="D32" s="455" t="s">
        <v>666</v>
      </c>
      <c r="E32" s="456"/>
      <c r="F32" s="553">
        <f>F33+F34</f>
        <v>876600</v>
      </c>
      <c r="G32" s="447">
        <f>G33+G34</f>
        <v>876600</v>
      </c>
    </row>
    <row r="33" spans="1:7" ht="44.25" customHeight="1">
      <c r="A33" s="454" t="s">
        <v>642</v>
      </c>
      <c r="B33" s="445" t="s">
        <v>633</v>
      </c>
      <c r="C33" s="445" t="s">
        <v>658</v>
      </c>
      <c r="D33" s="455" t="s">
        <v>666</v>
      </c>
      <c r="E33" s="456" t="s">
        <v>643</v>
      </c>
      <c r="F33" s="553">
        <v>864600</v>
      </c>
      <c r="G33" s="447">
        <v>864600</v>
      </c>
    </row>
    <row r="34" spans="1:7" ht="30" customHeight="1">
      <c r="A34" s="454" t="s">
        <v>654</v>
      </c>
      <c r="B34" s="445" t="s">
        <v>633</v>
      </c>
      <c r="C34" s="445" t="s">
        <v>658</v>
      </c>
      <c r="D34" s="455" t="s">
        <v>666</v>
      </c>
      <c r="E34" s="456" t="s">
        <v>655</v>
      </c>
      <c r="F34" s="553">
        <v>12000</v>
      </c>
      <c r="G34" s="447">
        <v>12000</v>
      </c>
    </row>
    <row r="35" spans="1:7" s="461" customFormat="1" ht="54.75" customHeight="1">
      <c r="A35" s="452" t="s">
        <v>667</v>
      </c>
      <c r="B35" s="445" t="s">
        <v>633</v>
      </c>
      <c r="C35" s="445" t="s">
        <v>658</v>
      </c>
      <c r="D35" s="455" t="s">
        <v>668</v>
      </c>
      <c r="E35" s="446"/>
      <c r="F35" s="553">
        <f>F36</f>
        <v>2045400</v>
      </c>
      <c r="G35" s="447">
        <f>G36</f>
        <v>2045400</v>
      </c>
    </row>
    <row r="36" spans="1:7" ht="29.25" customHeight="1">
      <c r="A36" s="465" t="s">
        <v>669</v>
      </c>
      <c r="B36" s="445" t="s">
        <v>633</v>
      </c>
      <c r="C36" s="445" t="s">
        <v>658</v>
      </c>
      <c r="D36" s="455" t="s">
        <v>670</v>
      </c>
      <c r="E36" s="446"/>
      <c r="F36" s="553">
        <f>F37</f>
        <v>2045400</v>
      </c>
      <c r="G36" s="447">
        <f>G37</f>
        <v>2045400</v>
      </c>
    </row>
    <row r="37" spans="1:7" ht="30" customHeight="1">
      <c r="A37" s="452" t="s">
        <v>671</v>
      </c>
      <c r="B37" s="445" t="s">
        <v>633</v>
      </c>
      <c r="C37" s="445" t="s">
        <v>658</v>
      </c>
      <c r="D37" s="455" t="s">
        <v>672</v>
      </c>
      <c r="E37" s="446"/>
      <c r="F37" s="553">
        <f>F38+F39</f>
        <v>2045400</v>
      </c>
      <c r="G37" s="447">
        <f>G38+G39</f>
        <v>2045400</v>
      </c>
    </row>
    <row r="38" spans="1:7" ht="43.5" customHeight="1">
      <c r="A38" s="454" t="s">
        <v>642</v>
      </c>
      <c r="B38" s="445" t="s">
        <v>633</v>
      </c>
      <c r="C38" s="445" t="s">
        <v>658</v>
      </c>
      <c r="D38" s="455" t="s">
        <v>672</v>
      </c>
      <c r="E38" s="456" t="s">
        <v>643</v>
      </c>
      <c r="F38" s="553">
        <f>1524168+460299+300+46799+14134-300</f>
        <v>2045400</v>
      </c>
      <c r="G38" s="447">
        <f>1524168+460299+300+46799+14134-300</f>
        <v>2045400</v>
      </c>
    </row>
    <row r="39" spans="1:7" ht="48" customHeight="1" hidden="1">
      <c r="A39" s="454" t="s">
        <v>654</v>
      </c>
      <c r="B39" s="445" t="s">
        <v>633</v>
      </c>
      <c r="C39" s="445" t="s">
        <v>658</v>
      </c>
      <c r="D39" s="455" t="s">
        <v>672</v>
      </c>
      <c r="E39" s="456" t="s">
        <v>655</v>
      </c>
      <c r="F39" s="553">
        <f>60633-60633</f>
        <v>0</v>
      </c>
      <c r="G39" s="447">
        <f>60633-60633</f>
        <v>0</v>
      </c>
    </row>
    <row r="40" spans="1:7" ht="42.75" customHeight="1">
      <c r="A40" s="444" t="s">
        <v>673</v>
      </c>
      <c r="B40" s="445" t="s">
        <v>633</v>
      </c>
      <c r="C40" s="445" t="s">
        <v>658</v>
      </c>
      <c r="D40" s="455" t="s">
        <v>674</v>
      </c>
      <c r="E40" s="446"/>
      <c r="F40" s="553">
        <f>F41</f>
        <v>329014</v>
      </c>
      <c r="G40" s="447">
        <f>G41</f>
        <v>329014</v>
      </c>
    </row>
    <row r="41" spans="1:7" s="461" customFormat="1" ht="70.5" customHeight="1">
      <c r="A41" s="465" t="s">
        <v>675</v>
      </c>
      <c r="B41" s="445" t="s">
        <v>633</v>
      </c>
      <c r="C41" s="445" t="s">
        <v>658</v>
      </c>
      <c r="D41" s="455" t="s">
        <v>676</v>
      </c>
      <c r="E41" s="446"/>
      <c r="F41" s="553">
        <f>F43</f>
        <v>329014</v>
      </c>
      <c r="G41" s="447">
        <f>G43</f>
        <v>329014</v>
      </c>
    </row>
    <row r="42" spans="1:7" ht="31.5" customHeight="1">
      <c r="A42" s="466" t="s">
        <v>677</v>
      </c>
      <c r="B42" s="445" t="s">
        <v>633</v>
      </c>
      <c r="C42" s="445" t="s">
        <v>658</v>
      </c>
      <c r="D42" s="455" t="s">
        <v>678</v>
      </c>
      <c r="E42" s="446"/>
      <c r="F42" s="553">
        <f>F43</f>
        <v>329014</v>
      </c>
      <c r="G42" s="447">
        <f>G43</f>
        <v>329014</v>
      </c>
    </row>
    <row r="43" spans="1:7" ht="26.25">
      <c r="A43" s="556" t="s">
        <v>679</v>
      </c>
      <c r="B43" s="445" t="s">
        <v>633</v>
      </c>
      <c r="C43" s="445" t="s">
        <v>658</v>
      </c>
      <c r="D43" s="455" t="s">
        <v>680</v>
      </c>
      <c r="E43" s="446"/>
      <c r="F43" s="553">
        <f>F44+F45</f>
        <v>329014</v>
      </c>
      <c r="G43" s="447">
        <f>G44+G45</f>
        <v>329014</v>
      </c>
    </row>
    <row r="44" spans="1:7" ht="44.25" customHeight="1">
      <c r="A44" s="454" t="s">
        <v>642</v>
      </c>
      <c r="B44" s="445" t="s">
        <v>633</v>
      </c>
      <c r="C44" s="445" t="s">
        <v>658</v>
      </c>
      <c r="D44" s="455" t="s">
        <v>680</v>
      </c>
      <c r="E44" s="456" t="s">
        <v>643</v>
      </c>
      <c r="F44" s="553">
        <v>295773</v>
      </c>
      <c r="G44" s="447">
        <v>295773</v>
      </c>
    </row>
    <row r="45" spans="1:7" ht="29.25" customHeight="1">
      <c r="A45" s="454" t="s">
        <v>654</v>
      </c>
      <c r="B45" s="445" t="s">
        <v>633</v>
      </c>
      <c r="C45" s="445" t="s">
        <v>658</v>
      </c>
      <c r="D45" s="455" t="s">
        <v>680</v>
      </c>
      <c r="E45" s="456" t="s">
        <v>655</v>
      </c>
      <c r="F45" s="553">
        <v>33241</v>
      </c>
      <c r="G45" s="447">
        <v>33241</v>
      </c>
    </row>
    <row r="46" spans="1:7" ht="43.5" customHeight="1">
      <c r="A46" s="451" t="s">
        <v>681</v>
      </c>
      <c r="B46" s="445" t="s">
        <v>633</v>
      </c>
      <c r="C46" s="445" t="s">
        <v>658</v>
      </c>
      <c r="D46" s="455" t="s">
        <v>682</v>
      </c>
      <c r="E46" s="456"/>
      <c r="F46" s="553">
        <f>F47</f>
        <v>584400</v>
      </c>
      <c r="G46" s="447">
        <f>G47</f>
        <v>584400</v>
      </c>
    </row>
    <row r="47" spans="1:7" s="461" customFormat="1" ht="69.75" customHeight="1">
      <c r="A47" s="451" t="s">
        <v>683</v>
      </c>
      <c r="B47" s="445" t="s">
        <v>633</v>
      </c>
      <c r="C47" s="445" t="s">
        <v>658</v>
      </c>
      <c r="D47" s="455" t="s">
        <v>684</v>
      </c>
      <c r="E47" s="456"/>
      <c r="F47" s="553">
        <f>F49+F52</f>
        <v>584400</v>
      </c>
      <c r="G47" s="447">
        <f>G49+G52</f>
        <v>584400</v>
      </c>
    </row>
    <row r="48" spans="1:7" ht="41.25" customHeight="1">
      <c r="A48" s="465" t="s">
        <v>685</v>
      </c>
      <c r="B48" s="445" t="s">
        <v>633</v>
      </c>
      <c r="C48" s="445" t="s">
        <v>658</v>
      </c>
      <c r="D48" s="455" t="s">
        <v>686</v>
      </c>
      <c r="E48" s="456"/>
      <c r="F48" s="553">
        <f>F49+F52</f>
        <v>584400</v>
      </c>
      <c r="G48" s="447">
        <f>G49+G52</f>
        <v>584400</v>
      </c>
    </row>
    <row r="49" spans="1:7" ht="40.5" customHeight="1">
      <c r="A49" s="556" t="s">
        <v>687</v>
      </c>
      <c r="B49" s="445" t="s">
        <v>633</v>
      </c>
      <c r="C49" s="445" t="s">
        <v>658</v>
      </c>
      <c r="D49" s="445" t="s">
        <v>688</v>
      </c>
      <c r="E49" s="446"/>
      <c r="F49" s="553">
        <f>F50+F51</f>
        <v>292200</v>
      </c>
      <c r="G49" s="447">
        <f>G50+G51</f>
        <v>292200</v>
      </c>
    </row>
    <row r="50" spans="1:7" ht="41.25" customHeight="1">
      <c r="A50" s="454" t="s">
        <v>642</v>
      </c>
      <c r="B50" s="445" t="s">
        <v>633</v>
      </c>
      <c r="C50" s="445" t="s">
        <v>658</v>
      </c>
      <c r="D50" s="445" t="s">
        <v>688</v>
      </c>
      <c r="E50" s="456" t="s">
        <v>643</v>
      </c>
      <c r="F50" s="553">
        <v>292200</v>
      </c>
      <c r="G50" s="447">
        <v>292200</v>
      </c>
    </row>
    <row r="51" spans="1:7" ht="26.25">
      <c r="A51" s="454" t="s">
        <v>654</v>
      </c>
      <c r="B51" s="445" t="s">
        <v>633</v>
      </c>
      <c r="C51" s="445" t="s">
        <v>658</v>
      </c>
      <c r="D51" s="445" t="s">
        <v>688</v>
      </c>
      <c r="E51" s="456" t="s">
        <v>655</v>
      </c>
      <c r="F51" s="553"/>
      <c r="G51" s="447"/>
    </row>
    <row r="52" spans="1:7" ht="29.25" customHeight="1">
      <c r="A52" s="556" t="s">
        <v>689</v>
      </c>
      <c r="B52" s="445" t="s">
        <v>633</v>
      </c>
      <c r="C52" s="445" t="s">
        <v>658</v>
      </c>
      <c r="D52" s="445" t="s">
        <v>690</v>
      </c>
      <c r="E52" s="446"/>
      <c r="F52" s="553">
        <f>F53+F54</f>
        <v>292200</v>
      </c>
      <c r="G52" s="447">
        <f>G53+G54</f>
        <v>292200</v>
      </c>
    </row>
    <row r="53" spans="1:7" ht="38.25" customHeight="1">
      <c r="A53" s="454" t="s">
        <v>642</v>
      </c>
      <c r="B53" s="445" t="s">
        <v>633</v>
      </c>
      <c r="C53" s="445" t="s">
        <v>658</v>
      </c>
      <c r="D53" s="445" t="s">
        <v>690</v>
      </c>
      <c r="E53" s="456" t="s">
        <v>643</v>
      </c>
      <c r="F53" s="553">
        <f>193920+58564+30503+9213</f>
        <v>292200</v>
      </c>
      <c r="G53" s="447">
        <f>193920+58564+30503+9213</f>
        <v>292200</v>
      </c>
    </row>
    <row r="54" spans="1:7" ht="26.25" hidden="1">
      <c r="A54" s="454" t="s">
        <v>654</v>
      </c>
      <c r="B54" s="445" t="s">
        <v>633</v>
      </c>
      <c r="C54" s="445" t="s">
        <v>658</v>
      </c>
      <c r="D54" s="445" t="s">
        <v>690</v>
      </c>
      <c r="E54" s="456" t="s">
        <v>655</v>
      </c>
      <c r="F54" s="553">
        <f>39716-39716</f>
        <v>0</v>
      </c>
      <c r="G54" s="447">
        <f>39716-39716</f>
        <v>0</v>
      </c>
    </row>
    <row r="55" spans="1:7" ht="21" customHeight="1">
      <c r="A55" s="454" t="s">
        <v>691</v>
      </c>
      <c r="B55" s="445" t="s">
        <v>633</v>
      </c>
      <c r="C55" s="445" t="s">
        <v>658</v>
      </c>
      <c r="D55" s="445" t="s">
        <v>692</v>
      </c>
      <c r="E55" s="446"/>
      <c r="F55" s="553">
        <f>F56</f>
        <v>16057600</v>
      </c>
      <c r="G55" s="447">
        <f>G56</f>
        <v>16057600</v>
      </c>
    </row>
    <row r="56" spans="1:7" ht="18" customHeight="1">
      <c r="A56" s="452" t="s">
        <v>693</v>
      </c>
      <c r="B56" s="445" t="s">
        <v>633</v>
      </c>
      <c r="C56" s="445" t="s">
        <v>658</v>
      </c>
      <c r="D56" s="445" t="s">
        <v>694</v>
      </c>
      <c r="E56" s="446"/>
      <c r="F56" s="553">
        <f>F57</f>
        <v>16057600</v>
      </c>
      <c r="G56" s="447">
        <f>G57</f>
        <v>16057600</v>
      </c>
    </row>
    <row r="57" spans="1:7" ht="26.25">
      <c r="A57" s="452" t="s">
        <v>640</v>
      </c>
      <c r="B57" s="445" t="s">
        <v>633</v>
      </c>
      <c r="C57" s="445" t="s">
        <v>658</v>
      </c>
      <c r="D57" s="445" t="s">
        <v>695</v>
      </c>
      <c r="E57" s="446"/>
      <c r="F57" s="553">
        <f>F58+F59+F60</f>
        <v>16057600</v>
      </c>
      <c r="G57" s="447">
        <f>G58+G59+G60</f>
        <v>16057600</v>
      </c>
    </row>
    <row r="58" spans="1:7" ht="43.5" customHeight="1">
      <c r="A58" s="454" t="s">
        <v>642</v>
      </c>
      <c r="B58" s="445" t="s">
        <v>633</v>
      </c>
      <c r="C58" s="445" t="s">
        <v>658</v>
      </c>
      <c r="D58" s="445" t="s">
        <v>695</v>
      </c>
      <c r="E58" s="456" t="s">
        <v>643</v>
      </c>
      <c r="F58" s="553">
        <v>15918200</v>
      </c>
      <c r="G58" s="447">
        <v>15918200</v>
      </c>
    </row>
    <row r="59" spans="1:7" ht="27.75" customHeight="1">
      <c r="A59" s="454" t="s">
        <v>654</v>
      </c>
      <c r="B59" s="445" t="s">
        <v>633</v>
      </c>
      <c r="C59" s="445" t="s">
        <v>658</v>
      </c>
      <c r="D59" s="445" t="s">
        <v>695</v>
      </c>
      <c r="E59" s="456" t="s">
        <v>655</v>
      </c>
      <c r="F59" s="558">
        <v>58500</v>
      </c>
      <c r="G59" s="467">
        <v>58500</v>
      </c>
    </row>
    <row r="60" spans="1:7" ht="21.75" customHeight="1">
      <c r="A60" s="466" t="s">
        <v>696</v>
      </c>
      <c r="B60" s="445" t="s">
        <v>633</v>
      </c>
      <c r="C60" s="445" t="s">
        <v>658</v>
      </c>
      <c r="D60" s="445" t="s">
        <v>695</v>
      </c>
      <c r="E60" s="456" t="s">
        <v>697</v>
      </c>
      <c r="F60" s="553">
        <v>80900</v>
      </c>
      <c r="G60" s="447">
        <v>80900</v>
      </c>
    </row>
    <row r="61" spans="1:7" ht="17.25" customHeight="1">
      <c r="A61" s="451" t="s">
        <v>698</v>
      </c>
      <c r="B61" s="445" t="s">
        <v>633</v>
      </c>
      <c r="C61" s="445" t="s">
        <v>658</v>
      </c>
      <c r="D61" s="445" t="s">
        <v>699</v>
      </c>
      <c r="E61" s="446"/>
      <c r="F61" s="553">
        <f>F62+F66</f>
        <v>321420</v>
      </c>
      <c r="G61" s="447">
        <f>G62+G66</f>
        <v>321420</v>
      </c>
    </row>
    <row r="62" spans="1:7" ht="27.75" customHeight="1">
      <c r="A62" s="465" t="s">
        <v>700</v>
      </c>
      <c r="B62" s="445" t="s">
        <v>633</v>
      </c>
      <c r="C62" s="445" t="s">
        <v>658</v>
      </c>
      <c r="D62" s="445" t="s">
        <v>701</v>
      </c>
      <c r="E62" s="446"/>
      <c r="F62" s="553">
        <f>F63</f>
        <v>292200</v>
      </c>
      <c r="G62" s="447">
        <f>G63</f>
        <v>292200</v>
      </c>
    </row>
    <row r="63" spans="1:7" ht="27" customHeight="1">
      <c r="A63" s="452" t="s">
        <v>702</v>
      </c>
      <c r="B63" s="445" t="s">
        <v>633</v>
      </c>
      <c r="C63" s="445" t="s">
        <v>658</v>
      </c>
      <c r="D63" s="445" t="s">
        <v>703</v>
      </c>
      <c r="E63" s="446"/>
      <c r="F63" s="553">
        <f>F64+F65</f>
        <v>292200</v>
      </c>
      <c r="G63" s="447">
        <f>G64+G65</f>
        <v>292200</v>
      </c>
    </row>
    <row r="64" spans="1:7" ht="39">
      <c r="A64" s="454" t="s">
        <v>642</v>
      </c>
      <c r="B64" s="445" t="s">
        <v>633</v>
      </c>
      <c r="C64" s="445" t="s">
        <v>658</v>
      </c>
      <c r="D64" s="445" t="s">
        <v>703</v>
      </c>
      <c r="E64" s="456" t="s">
        <v>643</v>
      </c>
      <c r="F64" s="553">
        <f>208320+62913+16104+4863</f>
        <v>292200</v>
      </c>
      <c r="G64" s="447">
        <f>208320+62913+16104+4863</f>
        <v>292200</v>
      </c>
    </row>
    <row r="65" spans="1:7" ht="15" hidden="1">
      <c r="A65" s="454" t="s">
        <v>704</v>
      </c>
      <c r="B65" s="445" t="s">
        <v>633</v>
      </c>
      <c r="C65" s="445" t="s">
        <v>658</v>
      </c>
      <c r="D65" s="445" t="s">
        <v>703</v>
      </c>
      <c r="E65" s="456" t="s">
        <v>655</v>
      </c>
      <c r="F65" s="553">
        <f>20967-20967</f>
        <v>0</v>
      </c>
      <c r="G65" s="447">
        <f>20967-20967</f>
        <v>0</v>
      </c>
    </row>
    <row r="66" spans="1:7" ht="17.25" customHeight="1">
      <c r="A66" s="451" t="s">
        <v>705</v>
      </c>
      <c r="B66" s="445" t="s">
        <v>633</v>
      </c>
      <c r="C66" s="445" t="s">
        <v>658</v>
      </c>
      <c r="D66" s="445" t="s">
        <v>706</v>
      </c>
      <c r="E66" s="446"/>
      <c r="F66" s="553">
        <f>F67</f>
        <v>29220</v>
      </c>
      <c r="G66" s="447">
        <f>G67</f>
        <v>29220</v>
      </c>
    </row>
    <row r="67" spans="1:7" ht="42" customHeight="1">
      <c r="A67" s="468" t="s">
        <v>707</v>
      </c>
      <c r="B67" s="445" t="s">
        <v>633</v>
      </c>
      <c r="C67" s="445" t="s">
        <v>658</v>
      </c>
      <c r="D67" s="445" t="s">
        <v>708</v>
      </c>
      <c r="E67" s="446"/>
      <c r="F67" s="553">
        <f>F68</f>
        <v>29220</v>
      </c>
      <c r="G67" s="447">
        <f>G68</f>
        <v>29220</v>
      </c>
    </row>
    <row r="68" spans="1:7" ht="25.5" customHeight="1">
      <c r="A68" s="454" t="s">
        <v>654</v>
      </c>
      <c r="B68" s="445" t="s">
        <v>633</v>
      </c>
      <c r="C68" s="445" t="s">
        <v>658</v>
      </c>
      <c r="D68" s="445" t="s">
        <v>708</v>
      </c>
      <c r="E68" s="456" t="s">
        <v>643</v>
      </c>
      <c r="F68" s="553">
        <f>22442+6778</f>
        <v>29220</v>
      </c>
      <c r="G68" s="447">
        <f>22442+6778</f>
        <v>29220</v>
      </c>
    </row>
    <row r="69" spans="1:7" ht="48" customHeight="1" hidden="1">
      <c r="A69" s="560" t="s">
        <v>709</v>
      </c>
      <c r="B69" s="445" t="s">
        <v>633</v>
      </c>
      <c r="C69" s="445" t="s">
        <v>710</v>
      </c>
      <c r="D69" s="445"/>
      <c r="E69" s="456"/>
      <c r="F69" s="553">
        <f aca="true" t="shared" si="0" ref="F69:G72">F70</f>
        <v>0</v>
      </c>
      <c r="G69" s="447">
        <f t="shared" si="0"/>
        <v>0</v>
      </c>
    </row>
    <row r="70" spans="1:7" ht="48" customHeight="1" hidden="1">
      <c r="A70" s="451" t="s">
        <v>698</v>
      </c>
      <c r="B70" s="445" t="s">
        <v>633</v>
      </c>
      <c r="C70" s="445" t="s">
        <v>710</v>
      </c>
      <c r="D70" s="445" t="s">
        <v>699</v>
      </c>
      <c r="E70" s="456"/>
      <c r="F70" s="553">
        <f t="shared" si="0"/>
        <v>0</v>
      </c>
      <c r="G70" s="447">
        <f t="shared" si="0"/>
        <v>0</v>
      </c>
    </row>
    <row r="71" spans="1:7" ht="48" customHeight="1" hidden="1">
      <c r="A71" s="451" t="s">
        <v>705</v>
      </c>
      <c r="B71" s="445" t="s">
        <v>633</v>
      </c>
      <c r="C71" s="445" t="s">
        <v>710</v>
      </c>
      <c r="D71" s="445" t="s">
        <v>706</v>
      </c>
      <c r="E71" s="456"/>
      <c r="F71" s="553">
        <f t="shared" si="0"/>
        <v>0</v>
      </c>
      <c r="G71" s="447">
        <f t="shared" si="0"/>
        <v>0</v>
      </c>
    </row>
    <row r="72" spans="1:7" ht="48" customHeight="1" hidden="1">
      <c r="A72" s="556" t="s">
        <v>711</v>
      </c>
      <c r="B72" s="445" t="s">
        <v>633</v>
      </c>
      <c r="C72" s="445" t="s">
        <v>710</v>
      </c>
      <c r="D72" s="445" t="s">
        <v>712</v>
      </c>
      <c r="E72" s="456"/>
      <c r="F72" s="553">
        <f t="shared" si="0"/>
        <v>0</v>
      </c>
      <c r="G72" s="447">
        <f t="shared" si="0"/>
        <v>0</v>
      </c>
    </row>
    <row r="73" spans="1:7" ht="48" customHeight="1" hidden="1">
      <c r="A73" s="454" t="s">
        <v>704</v>
      </c>
      <c r="B73" s="445" t="s">
        <v>633</v>
      </c>
      <c r="C73" s="445" t="s">
        <v>710</v>
      </c>
      <c r="D73" s="445" t="s">
        <v>712</v>
      </c>
      <c r="E73" s="456" t="s">
        <v>655</v>
      </c>
      <c r="F73" s="553"/>
      <c r="G73" s="447"/>
    </row>
    <row r="74" spans="1:7" ht="26.25">
      <c r="A74" s="451" t="s">
        <v>713</v>
      </c>
      <c r="B74" s="445" t="s">
        <v>633</v>
      </c>
      <c r="C74" s="445" t="s">
        <v>714</v>
      </c>
      <c r="D74" s="445"/>
      <c r="E74" s="446"/>
      <c r="F74" s="553">
        <f aca="true" t="shared" si="1" ref="F74:G76">F75</f>
        <v>559000</v>
      </c>
      <c r="G74" s="447">
        <f t="shared" si="1"/>
        <v>559000</v>
      </c>
    </row>
    <row r="75" spans="1:7" ht="26.25">
      <c r="A75" s="469" t="s">
        <v>715</v>
      </c>
      <c r="B75" s="445" t="s">
        <v>633</v>
      </c>
      <c r="C75" s="445" t="s">
        <v>714</v>
      </c>
      <c r="D75" s="470" t="s">
        <v>716</v>
      </c>
      <c r="E75" s="456"/>
      <c r="F75" s="553">
        <f t="shared" si="1"/>
        <v>559000</v>
      </c>
      <c r="G75" s="447">
        <f t="shared" si="1"/>
        <v>559000</v>
      </c>
    </row>
    <row r="76" spans="1:7" ht="15">
      <c r="A76" s="469" t="s">
        <v>717</v>
      </c>
      <c r="B76" s="445" t="s">
        <v>633</v>
      </c>
      <c r="C76" s="445" t="s">
        <v>714</v>
      </c>
      <c r="D76" s="470" t="s">
        <v>718</v>
      </c>
      <c r="E76" s="456"/>
      <c r="F76" s="553">
        <f t="shared" si="1"/>
        <v>559000</v>
      </c>
      <c r="G76" s="447">
        <f t="shared" si="1"/>
        <v>559000</v>
      </c>
    </row>
    <row r="77" spans="1:7" ht="26.25">
      <c r="A77" s="452" t="s">
        <v>640</v>
      </c>
      <c r="B77" s="445" t="s">
        <v>633</v>
      </c>
      <c r="C77" s="445" t="s">
        <v>714</v>
      </c>
      <c r="D77" s="470" t="s">
        <v>719</v>
      </c>
      <c r="E77" s="446"/>
      <c r="F77" s="553">
        <f>F78+F79+F80</f>
        <v>559000</v>
      </c>
      <c r="G77" s="447">
        <f>G78+G79+G80</f>
        <v>559000</v>
      </c>
    </row>
    <row r="78" spans="1:7" ht="39">
      <c r="A78" s="454" t="s">
        <v>642</v>
      </c>
      <c r="B78" s="445" t="s">
        <v>633</v>
      </c>
      <c r="C78" s="445" t="s">
        <v>714</v>
      </c>
      <c r="D78" s="470" t="s">
        <v>719</v>
      </c>
      <c r="E78" s="456" t="s">
        <v>643</v>
      </c>
      <c r="F78" s="553">
        <v>559000</v>
      </c>
      <c r="G78" s="447">
        <v>559000</v>
      </c>
    </row>
    <row r="79" spans="1:7" ht="15">
      <c r="A79" s="454" t="s">
        <v>704</v>
      </c>
      <c r="B79" s="445" t="s">
        <v>633</v>
      </c>
      <c r="C79" s="445" t="s">
        <v>714</v>
      </c>
      <c r="D79" s="470" t="s">
        <v>719</v>
      </c>
      <c r="E79" s="456" t="s">
        <v>655</v>
      </c>
      <c r="F79" s="553">
        <v>0</v>
      </c>
      <c r="G79" s="447">
        <v>0</v>
      </c>
    </row>
    <row r="80" spans="1:7" ht="48" customHeight="1" hidden="1">
      <c r="A80" s="466" t="s">
        <v>696</v>
      </c>
      <c r="B80" s="445" t="s">
        <v>633</v>
      </c>
      <c r="C80" s="445" t="s">
        <v>714</v>
      </c>
      <c r="D80" s="470" t="s">
        <v>719</v>
      </c>
      <c r="E80" s="456" t="s">
        <v>697</v>
      </c>
      <c r="F80" s="553"/>
      <c r="G80" s="447"/>
    </row>
    <row r="81" spans="1:7" ht="48" customHeight="1" hidden="1">
      <c r="A81" s="471" t="s">
        <v>720</v>
      </c>
      <c r="B81" s="445" t="s">
        <v>633</v>
      </c>
      <c r="C81" s="445" t="s">
        <v>721</v>
      </c>
      <c r="D81" s="470"/>
      <c r="E81" s="456"/>
      <c r="F81" s="553">
        <f aca="true" t="shared" si="2" ref="F81:G84">F82</f>
        <v>0</v>
      </c>
      <c r="G81" s="447">
        <f t="shared" si="2"/>
        <v>0</v>
      </c>
    </row>
    <row r="82" spans="1:7" ht="48" customHeight="1" hidden="1">
      <c r="A82" s="451" t="s">
        <v>698</v>
      </c>
      <c r="B82" s="445" t="s">
        <v>633</v>
      </c>
      <c r="C82" s="445" t="s">
        <v>721</v>
      </c>
      <c r="D82" s="470" t="s">
        <v>699</v>
      </c>
      <c r="E82" s="456"/>
      <c r="F82" s="553">
        <f t="shared" si="2"/>
        <v>0</v>
      </c>
      <c r="G82" s="447">
        <f t="shared" si="2"/>
        <v>0</v>
      </c>
    </row>
    <row r="83" spans="1:7" ht="48" customHeight="1" hidden="1">
      <c r="A83" s="466" t="s">
        <v>722</v>
      </c>
      <c r="B83" s="445" t="s">
        <v>633</v>
      </c>
      <c r="C83" s="445" t="s">
        <v>721</v>
      </c>
      <c r="D83" s="470" t="s">
        <v>723</v>
      </c>
      <c r="E83" s="456"/>
      <c r="F83" s="553">
        <f t="shared" si="2"/>
        <v>0</v>
      </c>
      <c r="G83" s="447">
        <f t="shared" si="2"/>
        <v>0</v>
      </c>
    </row>
    <row r="84" spans="1:7" ht="48" customHeight="1" hidden="1">
      <c r="A84" s="466" t="s">
        <v>724</v>
      </c>
      <c r="B84" s="445" t="s">
        <v>633</v>
      </c>
      <c r="C84" s="445" t="s">
        <v>721</v>
      </c>
      <c r="D84" s="470" t="s">
        <v>725</v>
      </c>
      <c r="E84" s="456"/>
      <c r="F84" s="553">
        <f t="shared" si="2"/>
        <v>0</v>
      </c>
      <c r="G84" s="447">
        <f t="shared" si="2"/>
        <v>0</v>
      </c>
    </row>
    <row r="85" spans="1:7" ht="48" customHeight="1" hidden="1">
      <c r="A85" s="466" t="s">
        <v>696</v>
      </c>
      <c r="B85" s="445" t="s">
        <v>633</v>
      </c>
      <c r="C85" s="445" t="s">
        <v>721</v>
      </c>
      <c r="D85" s="470" t="s">
        <v>725</v>
      </c>
      <c r="E85" s="456" t="s">
        <v>697</v>
      </c>
      <c r="F85" s="553"/>
      <c r="G85" s="447"/>
    </row>
    <row r="86" spans="1:7" ht="18" customHeight="1">
      <c r="A86" s="451" t="s">
        <v>726</v>
      </c>
      <c r="B86" s="445" t="s">
        <v>633</v>
      </c>
      <c r="C86" s="445" t="s">
        <v>727</v>
      </c>
      <c r="D86" s="445"/>
      <c r="E86" s="446"/>
      <c r="F86" s="553">
        <f>F88</f>
        <v>50000</v>
      </c>
      <c r="G86" s="447">
        <f>G88</f>
        <v>50000</v>
      </c>
    </row>
    <row r="87" spans="1:7" ht="15.75" customHeight="1">
      <c r="A87" s="454" t="s">
        <v>728</v>
      </c>
      <c r="B87" s="445" t="s">
        <v>633</v>
      </c>
      <c r="C87" s="445" t="s">
        <v>727</v>
      </c>
      <c r="D87" s="455" t="s">
        <v>729</v>
      </c>
      <c r="E87" s="472" t="s">
        <v>730</v>
      </c>
      <c r="F87" s="553">
        <f aca="true" t="shared" si="3" ref="F87:G89">F88</f>
        <v>50000</v>
      </c>
      <c r="G87" s="447">
        <f t="shared" si="3"/>
        <v>50000</v>
      </c>
    </row>
    <row r="88" spans="1:7" ht="16.5" customHeight="1">
      <c r="A88" s="454" t="s">
        <v>726</v>
      </c>
      <c r="B88" s="445" t="s">
        <v>633</v>
      </c>
      <c r="C88" s="445" t="s">
        <v>727</v>
      </c>
      <c r="D88" s="455" t="s">
        <v>731</v>
      </c>
      <c r="E88" s="472" t="s">
        <v>730</v>
      </c>
      <c r="F88" s="553">
        <f t="shared" si="3"/>
        <v>50000</v>
      </c>
      <c r="G88" s="447">
        <f t="shared" si="3"/>
        <v>50000</v>
      </c>
    </row>
    <row r="89" spans="1:7" ht="15.75" customHeight="1">
      <c r="A89" s="452" t="s">
        <v>732</v>
      </c>
      <c r="B89" s="445" t="s">
        <v>633</v>
      </c>
      <c r="C89" s="445" t="s">
        <v>727</v>
      </c>
      <c r="D89" s="455" t="s">
        <v>733</v>
      </c>
      <c r="E89" s="472" t="s">
        <v>730</v>
      </c>
      <c r="F89" s="553">
        <f t="shared" si="3"/>
        <v>50000</v>
      </c>
      <c r="G89" s="447">
        <f t="shared" si="3"/>
        <v>50000</v>
      </c>
    </row>
    <row r="90" spans="1:7" ht="15">
      <c r="A90" s="454" t="s">
        <v>696</v>
      </c>
      <c r="B90" s="445" t="s">
        <v>633</v>
      </c>
      <c r="C90" s="445" t="s">
        <v>727</v>
      </c>
      <c r="D90" s="455" t="s">
        <v>733</v>
      </c>
      <c r="E90" s="472" t="s">
        <v>697</v>
      </c>
      <c r="F90" s="553">
        <f>50000</f>
        <v>50000</v>
      </c>
      <c r="G90" s="447">
        <f>50000</f>
        <v>50000</v>
      </c>
    </row>
    <row r="91" spans="1:11" ht="15">
      <c r="A91" s="451" t="s">
        <v>734</v>
      </c>
      <c r="B91" s="445" t="s">
        <v>633</v>
      </c>
      <c r="C91" s="445" t="s">
        <v>735</v>
      </c>
      <c r="D91" s="445"/>
      <c r="E91" s="446"/>
      <c r="F91" s="553">
        <f>F92+F113+F144+F150+F155+F165+F123+F135+F128+F118</f>
        <v>11580150.78</v>
      </c>
      <c r="G91" s="447">
        <f>G92+G113+G144+G150+G155+G165+G123+G135+G128+G118</f>
        <v>10734346</v>
      </c>
      <c r="K91" s="453"/>
    </row>
    <row r="92" spans="1:7" ht="44.25" customHeight="1">
      <c r="A92" s="451" t="s">
        <v>1206</v>
      </c>
      <c r="B92" s="445" t="s">
        <v>633</v>
      </c>
      <c r="C92" s="445" t="s">
        <v>735</v>
      </c>
      <c r="D92" s="445" t="s">
        <v>660</v>
      </c>
      <c r="E92" s="446"/>
      <c r="F92" s="553">
        <f>F104+F97+F93</f>
        <v>164900</v>
      </c>
      <c r="G92" s="447">
        <f>G104+G97+G93</f>
        <v>164900</v>
      </c>
    </row>
    <row r="93" spans="1:7" ht="54" customHeight="1">
      <c r="A93" s="473" t="s">
        <v>737</v>
      </c>
      <c r="B93" s="445" t="s">
        <v>633</v>
      </c>
      <c r="C93" s="445" t="s">
        <v>735</v>
      </c>
      <c r="D93" s="445" t="s">
        <v>738</v>
      </c>
      <c r="E93" s="446"/>
      <c r="F93" s="553">
        <f aca="true" t="shared" si="4" ref="F93:G95">F94</f>
        <v>14000</v>
      </c>
      <c r="G93" s="447">
        <f t="shared" si="4"/>
        <v>14000</v>
      </c>
    </row>
    <row r="94" spans="1:7" ht="32.25" customHeight="1">
      <c r="A94" s="473" t="s">
        <v>739</v>
      </c>
      <c r="B94" s="445" t="s">
        <v>633</v>
      </c>
      <c r="C94" s="445" t="s">
        <v>735</v>
      </c>
      <c r="D94" s="445" t="s">
        <v>740</v>
      </c>
      <c r="E94" s="446"/>
      <c r="F94" s="553">
        <f t="shared" si="4"/>
        <v>14000</v>
      </c>
      <c r="G94" s="447">
        <f t="shared" si="4"/>
        <v>14000</v>
      </c>
    </row>
    <row r="95" spans="1:7" ht="15">
      <c r="A95" s="454" t="s">
        <v>741</v>
      </c>
      <c r="B95" s="445" t="s">
        <v>633</v>
      </c>
      <c r="C95" s="445" t="s">
        <v>735</v>
      </c>
      <c r="D95" s="474" t="s">
        <v>742</v>
      </c>
      <c r="E95" s="446"/>
      <c r="F95" s="553">
        <f t="shared" si="4"/>
        <v>14000</v>
      </c>
      <c r="G95" s="447">
        <f t="shared" si="4"/>
        <v>14000</v>
      </c>
    </row>
    <row r="96" spans="1:7" ht="26.25">
      <c r="A96" s="454" t="s">
        <v>654</v>
      </c>
      <c r="B96" s="445" t="s">
        <v>633</v>
      </c>
      <c r="C96" s="445" t="s">
        <v>735</v>
      </c>
      <c r="D96" s="474" t="s">
        <v>742</v>
      </c>
      <c r="E96" s="446" t="s">
        <v>655</v>
      </c>
      <c r="F96" s="553">
        <v>14000</v>
      </c>
      <c r="G96" s="447">
        <v>14000</v>
      </c>
    </row>
    <row r="97" spans="1:7" s="461" customFormat="1" ht="58.5" customHeight="1">
      <c r="A97" s="454" t="s">
        <v>661</v>
      </c>
      <c r="B97" s="445" t="s">
        <v>633</v>
      </c>
      <c r="C97" s="445" t="s">
        <v>735</v>
      </c>
      <c r="D97" s="445" t="s">
        <v>662</v>
      </c>
      <c r="E97" s="446"/>
      <c r="F97" s="553">
        <f>F98+F101</f>
        <v>15000</v>
      </c>
      <c r="G97" s="447">
        <f>G98+G101</f>
        <v>15000</v>
      </c>
    </row>
    <row r="98" spans="1:7" ht="48" customHeight="1" hidden="1">
      <c r="A98" s="462" t="s">
        <v>663</v>
      </c>
      <c r="B98" s="445" t="s">
        <v>633</v>
      </c>
      <c r="C98" s="445" t="s">
        <v>735</v>
      </c>
      <c r="D98" s="445" t="s">
        <v>664</v>
      </c>
      <c r="E98" s="446"/>
      <c r="F98" s="553">
        <f>F100</f>
        <v>0</v>
      </c>
      <c r="G98" s="447">
        <f>G100</f>
        <v>0</v>
      </c>
    </row>
    <row r="99" spans="1:7" ht="48" customHeight="1" hidden="1">
      <c r="A99" s="496" t="s">
        <v>1207</v>
      </c>
      <c r="B99" s="445" t="s">
        <v>633</v>
      </c>
      <c r="C99" s="445" t="s">
        <v>735</v>
      </c>
      <c r="D99" s="563" t="s">
        <v>1208</v>
      </c>
      <c r="E99" s="446"/>
      <c r="F99" s="553">
        <f>F100</f>
        <v>0</v>
      </c>
      <c r="G99" s="447">
        <f>G100</f>
        <v>0</v>
      </c>
    </row>
    <row r="100" spans="1:7" ht="48" customHeight="1" hidden="1">
      <c r="A100" s="454" t="s">
        <v>654</v>
      </c>
      <c r="B100" s="445" t="s">
        <v>633</v>
      </c>
      <c r="C100" s="445" t="s">
        <v>735</v>
      </c>
      <c r="D100" s="563" t="s">
        <v>1208</v>
      </c>
      <c r="E100" s="446" t="s">
        <v>655</v>
      </c>
      <c r="F100" s="553"/>
      <c r="G100" s="447"/>
    </row>
    <row r="101" spans="1:7" ht="30.75" customHeight="1">
      <c r="A101" s="496" t="s">
        <v>743</v>
      </c>
      <c r="B101" s="445" t="s">
        <v>633</v>
      </c>
      <c r="C101" s="445" t="s">
        <v>735</v>
      </c>
      <c r="D101" s="445" t="s">
        <v>744</v>
      </c>
      <c r="E101" s="446"/>
      <c r="F101" s="553">
        <f>F102</f>
        <v>15000</v>
      </c>
      <c r="G101" s="447">
        <f>G102</f>
        <v>15000</v>
      </c>
    </row>
    <row r="102" spans="1:7" ht="30.75" customHeight="1">
      <c r="A102" s="473" t="s">
        <v>745</v>
      </c>
      <c r="B102" s="445" t="s">
        <v>633</v>
      </c>
      <c r="C102" s="445" t="s">
        <v>735</v>
      </c>
      <c r="D102" s="474" t="s">
        <v>746</v>
      </c>
      <c r="E102" s="446"/>
      <c r="F102" s="553">
        <f>F103</f>
        <v>15000</v>
      </c>
      <c r="G102" s="447">
        <f>G103</f>
        <v>15000</v>
      </c>
    </row>
    <row r="103" spans="1:7" ht="28.5" customHeight="1">
      <c r="A103" s="454" t="s">
        <v>654</v>
      </c>
      <c r="B103" s="445" t="s">
        <v>633</v>
      </c>
      <c r="C103" s="445" t="s">
        <v>735</v>
      </c>
      <c r="D103" s="474" t="s">
        <v>746</v>
      </c>
      <c r="E103" s="446" t="s">
        <v>655</v>
      </c>
      <c r="F103" s="553">
        <v>15000</v>
      </c>
      <c r="G103" s="447">
        <v>15000</v>
      </c>
    </row>
    <row r="104" spans="1:7" s="461" customFormat="1" ht="53.25" customHeight="1">
      <c r="A104" s="452" t="s">
        <v>747</v>
      </c>
      <c r="B104" s="445" t="s">
        <v>633</v>
      </c>
      <c r="C104" s="445" t="s">
        <v>735</v>
      </c>
      <c r="D104" s="445" t="s">
        <v>668</v>
      </c>
      <c r="E104" s="446"/>
      <c r="F104" s="553">
        <f>F105+F110</f>
        <v>135900</v>
      </c>
      <c r="G104" s="447">
        <f>G105+G110</f>
        <v>135900</v>
      </c>
    </row>
    <row r="105" spans="1:7" ht="28.5" customHeight="1">
      <c r="A105" s="452" t="s">
        <v>748</v>
      </c>
      <c r="B105" s="445" t="s">
        <v>633</v>
      </c>
      <c r="C105" s="445" t="s">
        <v>735</v>
      </c>
      <c r="D105" s="445" t="s">
        <v>749</v>
      </c>
      <c r="E105" s="446"/>
      <c r="F105" s="553">
        <f>F106+F108</f>
        <v>125900</v>
      </c>
      <c r="G105" s="447">
        <f>G106+G108</f>
        <v>125900</v>
      </c>
    </row>
    <row r="106" spans="1:7" ht="27.75" customHeight="1">
      <c r="A106" s="452" t="s">
        <v>750</v>
      </c>
      <c r="B106" s="445" t="s">
        <v>633</v>
      </c>
      <c r="C106" s="445" t="s">
        <v>735</v>
      </c>
      <c r="D106" s="445" t="s">
        <v>751</v>
      </c>
      <c r="E106" s="446"/>
      <c r="F106" s="553">
        <f>F107</f>
        <v>122900</v>
      </c>
      <c r="G106" s="447">
        <f>G107</f>
        <v>122900</v>
      </c>
    </row>
    <row r="107" spans="1:7" ht="28.5" customHeight="1">
      <c r="A107" s="454" t="s">
        <v>752</v>
      </c>
      <c r="B107" s="445" t="s">
        <v>633</v>
      </c>
      <c r="C107" s="445" t="s">
        <v>735</v>
      </c>
      <c r="D107" s="445" t="s">
        <v>751</v>
      </c>
      <c r="E107" s="456" t="s">
        <v>753</v>
      </c>
      <c r="F107" s="553">
        <v>122900</v>
      </c>
      <c r="G107" s="447">
        <v>122900</v>
      </c>
    </row>
    <row r="108" spans="1:7" ht="22.5" customHeight="1">
      <c r="A108" s="452" t="s">
        <v>754</v>
      </c>
      <c r="B108" s="445" t="s">
        <v>633</v>
      </c>
      <c r="C108" s="445" t="s">
        <v>735</v>
      </c>
      <c r="D108" s="445" t="s">
        <v>755</v>
      </c>
      <c r="E108" s="456"/>
      <c r="F108" s="553">
        <f>F109</f>
        <v>3000</v>
      </c>
      <c r="G108" s="447">
        <f>G109</f>
        <v>3000</v>
      </c>
    </row>
    <row r="109" spans="1:7" ht="29.25" customHeight="1">
      <c r="A109" s="454" t="s">
        <v>752</v>
      </c>
      <c r="B109" s="445" t="s">
        <v>633</v>
      </c>
      <c r="C109" s="445" t="s">
        <v>735</v>
      </c>
      <c r="D109" s="445" t="s">
        <v>755</v>
      </c>
      <c r="E109" s="456" t="s">
        <v>753</v>
      </c>
      <c r="F109" s="553">
        <v>3000</v>
      </c>
      <c r="G109" s="447">
        <v>3000</v>
      </c>
    </row>
    <row r="110" spans="1:7" ht="29.25" customHeight="1">
      <c r="A110" s="465" t="s">
        <v>669</v>
      </c>
      <c r="B110" s="445" t="s">
        <v>633</v>
      </c>
      <c r="C110" s="445" t="s">
        <v>735</v>
      </c>
      <c r="D110" s="445" t="s">
        <v>670</v>
      </c>
      <c r="E110" s="456"/>
      <c r="F110" s="553">
        <f>F111</f>
        <v>10000</v>
      </c>
      <c r="G110" s="447">
        <f>G111</f>
        <v>10000</v>
      </c>
    </row>
    <row r="111" spans="1:7" ht="29.25" customHeight="1">
      <c r="A111" s="496" t="s">
        <v>756</v>
      </c>
      <c r="B111" s="445" t="s">
        <v>633</v>
      </c>
      <c r="C111" s="445" t="s">
        <v>735</v>
      </c>
      <c r="D111" s="445" t="s">
        <v>757</v>
      </c>
      <c r="E111" s="456"/>
      <c r="F111" s="553">
        <f>F112</f>
        <v>10000</v>
      </c>
      <c r="G111" s="447">
        <f>G112</f>
        <v>10000</v>
      </c>
    </row>
    <row r="112" spans="1:7" ht="29.25" customHeight="1">
      <c r="A112" s="454" t="s">
        <v>654</v>
      </c>
      <c r="B112" s="445" t="s">
        <v>633</v>
      </c>
      <c r="C112" s="445" t="s">
        <v>735</v>
      </c>
      <c r="D112" s="445" t="s">
        <v>757</v>
      </c>
      <c r="E112" s="456" t="s">
        <v>655</v>
      </c>
      <c r="F112" s="553">
        <v>10000</v>
      </c>
      <c r="G112" s="447">
        <v>10000</v>
      </c>
    </row>
    <row r="113" spans="1:7" ht="45.75" customHeight="1">
      <c r="A113" s="508" t="s">
        <v>758</v>
      </c>
      <c r="B113" s="445" t="s">
        <v>633</v>
      </c>
      <c r="C113" s="445" t="s">
        <v>735</v>
      </c>
      <c r="D113" s="445" t="s">
        <v>759</v>
      </c>
      <c r="E113" s="456"/>
      <c r="F113" s="553">
        <f aca="true" t="shared" si="5" ref="F113:G116">F114</f>
        <v>657100</v>
      </c>
      <c r="G113" s="447">
        <f t="shared" si="5"/>
        <v>657100</v>
      </c>
    </row>
    <row r="114" spans="1:7" s="461" customFormat="1" ht="54" customHeight="1">
      <c r="A114" s="490" t="s">
        <v>760</v>
      </c>
      <c r="B114" s="445" t="s">
        <v>633</v>
      </c>
      <c r="C114" s="445" t="s">
        <v>735</v>
      </c>
      <c r="D114" s="445" t="s">
        <v>761</v>
      </c>
      <c r="E114" s="456"/>
      <c r="F114" s="553">
        <f t="shared" si="5"/>
        <v>657100</v>
      </c>
      <c r="G114" s="447">
        <f t="shared" si="5"/>
        <v>657100</v>
      </c>
    </row>
    <row r="115" spans="1:7" ht="31.5" customHeight="1">
      <c r="A115" s="490" t="s">
        <v>762</v>
      </c>
      <c r="B115" s="445" t="s">
        <v>633</v>
      </c>
      <c r="C115" s="445" t="s">
        <v>735</v>
      </c>
      <c r="D115" s="445" t="s">
        <v>763</v>
      </c>
      <c r="E115" s="456"/>
      <c r="F115" s="553">
        <f t="shared" si="5"/>
        <v>657100</v>
      </c>
      <c r="G115" s="447">
        <f t="shared" si="5"/>
        <v>657100</v>
      </c>
    </row>
    <row r="116" spans="1:7" ht="21.75" customHeight="1">
      <c r="A116" s="490" t="s">
        <v>764</v>
      </c>
      <c r="B116" s="445" t="s">
        <v>633</v>
      </c>
      <c r="C116" s="445" t="s">
        <v>735</v>
      </c>
      <c r="D116" s="445" t="s">
        <v>765</v>
      </c>
      <c r="E116" s="456"/>
      <c r="F116" s="553">
        <f t="shared" si="5"/>
        <v>657100</v>
      </c>
      <c r="G116" s="447">
        <f t="shared" si="5"/>
        <v>657100</v>
      </c>
    </row>
    <row r="117" spans="1:7" ht="24.75" customHeight="1">
      <c r="A117" s="454" t="s">
        <v>654</v>
      </c>
      <c r="B117" s="445" t="s">
        <v>633</v>
      </c>
      <c r="C117" s="445" t="s">
        <v>735</v>
      </c>
      <c r="D117" s="445" t="s">
        <v>765</v>
      </c>
      <c r="E117" s="446" t="s">
        <v>655</v>
      </c>
      <c r="F117" s="553">
        <v>657100</v>
      </c>
      <c r="G117" s="447">
        <v>657100</v>
      </c>
    </row>
    <row r="118" spans="1:7" ht="48" customHeight="1" hidden="1">
      <c r="A118" s="444" t="s">
        <v>766</v>
      </c>
      <c r="B118" s="445" t="s">
        <v>633</v>
      </c>
      <c r="C118" s="445" t="s">
        <v>735</v>
      </c>
      <c r="D118" s="455" t="s">
        <v>674</v>
      </c>
      <c r="E118" s="446"/>
      <c r="F118" s="553">
        <f aca="true" t="shared" si="6" ref="F118:G121">F119</f>
        <v>0</v>
      </c>
      <c r="G118" s="447">
        <f t="shared" si="6"/>
        <v>0</v>
      </c>
    </row>
    <row r="119" spans="1:7" s="461" customFormat="1" ht="48" customHeight="1" hidden="1">
      <c r="A119" s="465" t="s">
        <v>767</v>
      </c>
      <c r="B119" s="445" t="s">
        <v>633</v>
      </c>
      <c r="C119" s="445" t="s">
        <v>735</v>
      </c>
      <c r="D119" s="455" t="s">
        <v>676</v>
      </c>
      <c r="E119" s="446"/>
      <c r="F119" s="553">
        <f t="shared" si="6"/>
        <v>0</v>
      </c>
      <c r="G119" s="447">
        <f t="shared" si="6"/>
        <v>0</v>
      </c>
    </row>
    <row r="120" spans="1:7" ht="48" customHeight="1" hidden="1">
      <c r="A120" s="466" t="s">
        <v>677</v>
      </c>
      <c r="B120" s="445" t="s">
        <v>633</v>
      </c>
      <c r="C120" s="445" t="s">
        <v>735</v>
      </c>
      <c r="D120" s="455" t="s">
        <v>678</v>
      </c>
      <c r="E120" s="446"/>
      <c r="F120" s="553">
        <f t="shared" si="6"/>
        <v>0</v>
      </c>
      <c r="G120" s="447">
        <f t="shared" si="6"/>
        <v>0</v>
      </c>
    </row>
    <row r="121" spans="1:7" ht="48" customHeight="1" hidden="1">
      <c r="A121" s="454" t="s">
        <v>768</v>
      </c>
      <c r="B121" s="445" t="s">
        <v>633</v>
      </c>
      <c r="C121" s="445" t="s">
        <v>735</v>
      </c>
      <c r="D121" s="455" t="s">
        <v>769</v>
      </c>
      <c r="E121" s="446"/>
      <c r="F121" s="553">
        <f t="shared" si="6"/>
        <v>0</v>
      </c>
      <c r="G121" s="447">
        <f t="shared" si="6"/>
        <v>0</v>
      </c>
    </row>
    <row r="122" spans="1:7" ht="48" customHeight="1" hidden="1">
      <c r="A122" s="454" t="s">
        <v>654</v>
      </c>
      <c r="B122" s="445" t="s">
        <v>633</v>
      </c>
      <c r="C122" s="445" t="s">
        <v>735</v>
      </c>
      <c r="D122" s="455" t="s">
        <v>769</v>
      </c>
      <c r="E122" s="456" t="s">
        <v>655</v>
      </c>
      <c r="F122" s="553"/>
      <c r="G122" s="447"/>
    </row>
    <row r="123" spans="1:7" ht="48" customHeight="1" hidden="1">
      <c r="A123" s="508" t="s">
        <v>770</v>
      </c>
      <c r="B123" s="445" t="s">
        <v>633</v>
      </c>
      <c r="C123" s="445" t="s">
        <v>735</v>
      </c>
      <c r="D123" s="445" t="s">
        <v>771</v>
      </c>
      <c r="E123" s="446"/>
      <c r="F123" s="553">
        <f aca="true" t="shared" si="7" ref="F123:G126">F124</f>
        <v>0</v>
      </c>
      <c r="G123" s="447">
        <f t="shared" si="7"/>
        <v>0</v>
      </c>
    </row>
    <row r="124" spans="1:7" ht="48" customHeight="1" hidden="1">
      <c r="A124" s="490" t="s">
        <v>772</v>
      </c>
      <c r="B124" s="445" t="s">
        <v>633</v>
      </c>
      <c r="C124" s="445" t="s">
        <v>735</v>
      </c>
      <c r="D124" s="445" t="s">
        <v>773</v>
      </c>
      <c r="E124" s="446"/>
      <c r="F124" s="553">
        <f t="shared" si="7"/>
        <v>0</v>
      </c>
      <c r="G124" s="447">
        <f t="shared" si="7"/>
        <v>0</v>
      </c>
    </row>
    <row r="125" spans="1:7" ht="48" customHeight="1" hidden="1">
      <c r="A125" s="564" t="s">
        <v>774</v>
      </c>
      <c r="B125" s="445" t="s">
        <v>633</v>
      </c>
      <c r="C125" s="445" t="s">
        <v>735</v>
      </c>
      <c r="D125" s="445" t="s">
        <v>775</v>
      </c>
      <c r="E125" s="446"/>
      <c r="F125" s="553">
        <f t="shared" si="7"/>
        <v>0</v>
      </c>
      <c r="G125" s="447">
        <f t="shared" si="7"/>
        <v>0</v>
      </c>
    </row>
    <row r="126" spans="1:7" ht="48" customHeight="1" hidden="1">
      <c r="A126" s="466" t="s">
        <v>776</v>
      </c>
      <c r="B126" s="445" t="s">
        <v>633</v>
      </c>
      <c r="C126" s="445" t="s">
        <v>735</v>
      </c>
      <c r="D126" s="445" t="s">
        <v>777</v>
      </c>
      <c r="E126" s="446"/>
      <c r="F126" s="553">
        <f t="shared" si="7"/>
        <v>0</v>
      </c>
      <c r="G126" s="447">
        <f t="shared" si="7"/>
        <v>0</v>
      </c>
    </row>
    <row r="127" spans="1:7" ht="48" customHeight="1" hidden="1">
      <c r="A127" s="454" t="s">
        <v>654</v>
      </c>
      <c r="B127" s="445" t="s">
        <v>633</v>
      </c>
      <c r="C127" s="445" t="s">
        <v>735</v>
      </c>
      <c r="D127" s="445" t="s">
        <v>777</v>
      </c>
      <c r="E127" s="446" t="s">
        <v>655</v>
      </c>
      <c r="F127" s="553"/>
      <c r="G127" s="447"/>
    </row>
    <row r="128" spans="1:7" ht="51.75">
      <c r="A128" s="451" t="s">
        <v>681</v>
      </c>
      <c r="B128" s="445" t="s">
        <v>633</v>
      </c>
      <c r="C128" s="445" t="s">
        <v>735</v>
      </c>
      <c r="D128" s="455" t="s">
        <v>682</v>
      </c>
      <c r="E128" s="446"/>
      <c r="F128" s="553">
        <f>F129</f>
        <v>70000</v>
      </c>
      <c r="G128" s="447">
        <f>G129</f>
        <v>70000</v>
      </c>
    </row>
    <row r="129" spans="1:7" ht="72" customHeight="1">
      <c r="A129" s="479" t="s">
        <v>778</v>
      </c>
      <c r="B129" s="445" t="s">
        <v>633</v>
      </c>
      <c r="C129" s="445" t="s">
        <v>735</v>
      </c>
      <c r="D129" s="455" t="s">
        <v>779</v>
      </c>
      <c r="E129" s="446"/>
      <c r="F129" s="553">
        <f>F130</f>
        <v>70000</v>
      </c>
      <c r="G129" s="447">
        <f>G130</f>
        <v>70000</v>
      </c>
    </row>
    <row r="130" spans="1:7" ht="29.25" customHeight="1">
      <c r="A130" s="465" t="s">
        <v>780</v>
      </c>
      <c r="B130" s="445" t="s">
        <v>633</v>
      </c>
      <c r="C130" s="445" t="s">
        <v>735</v>
      </c>
      <c r="D130" s="470" t="s">
        <v>781</v>
      </c>
      <c r="E130" s="446"/>
      <c r="F130" s="553">
        <f>F131+F133</f>
        <v>70000</v>
      </c>
      <c r="G130" s="447">
        <f>G131+G133</f>
        <v>70000</v>
      </c>
    </row>
    <row r="131" spans="1:7" ht="26.25">
      <c r="A131" s="454" t="s">
        <v>782</v>
      </c>
      <c r="B131" s="445" t="s">
        <v>633</v>
      </c>
      <c r="C131" s="445" t="s">
        <v>735</v>
      </c>
      <c r="D131" s="470" t="s">
        <v>783</v>
      </c>
      <c r="E131" s="446"/>
      <c r="F131" s="553">
        <f>F132</f>
        <v>30000</v>
      </c>
      <c r="G131" s="447">
        <f>G132</f>
        <v>30000</v>
      </c>
    </row>
    <row r="132" spans="1:7" ht="26.25">
      <c r="A132" s="454" t="s">
        <v>654</v>
      </c>
      <c r="B132" s="445" t="s">
        <v>633</v>
      </c>
      <c r="C132" s="445" t="s">
        <v>735</v>
      </c>
      <c r="D132" s="470" t="s">
        <v>783</v>
      </c>
      <c r="E132" s="446" t="s">
        <v>655</v>
      </c>
      <c r="F132" s="553">
        <v>30000</v>
      </c>
      <c r="G132" s="447">
        <v>30000</v>
      </c>
    </row>
    <row r="133" spans="1:7" ht="29.25" customHeight="1">
      <c r="A133" s="454" t="s">
        <v>784</v>
      </c>
      <c r="B133" s="445" t="s">
        <v>633</v>
      </c>
      <c r="C133" s="445" t="s">
        <v>735</v>
      </c>
      <c r="D133" s="470" t="s">
        <v>785</v>
      </c>
      <c r="E133" s="446"/>
      <c r="F133" s="553">
        <f>F134</f>
        <v>40000</v>
      </c>
      <c r="G133" s="447">
        <f>G134</f>
        <v>40000</v>
      </c>
    </row>
    <row r="134" spans="1:7" ht="26.25">
      <c r="A134" s="454" t="s">
        <v>654</v>
      </c>
      <c r="B134" s="445" t="s">
        <v>633</v>
      </c>
      <c r="C134" s="445" t="s">
        <v>735</v>
      </c>
      <c r="D134" s="470" t="s">
        <v>785</v>
      </c>
      <c r="E134" s="446" t="s">
        <v>655</v>
      </c>
      <c r="F134" s="553">
        <f>40000</f>
        <v>40000</v>
      </c>
      <c r="G134" s="447">
        <f>40000</f>
        <v>40000</v>
      </c>
    </row>
    <row r="135" spans="1:7" ht="47.25" customHeight="1">
      <c r="A135" s="480" t="s">
        <v>786</v>
      </c>
      <c r="B135" s="445" t="s">
        <v>633</v>
      </c>
      <c r="C135" s="445" t="s">
        <v>735</v>
      </c>
      <c r="D135" s="474" t="s">
        <v>787</v>
      </c>
      <c r="E135" s="446"/>
      <c r="F135" s="553">
        <f>F136+F140</f>
        <v>196500</v>
      </c>
      <c r="G135" s="447">
        <f>G136+G140</f>
        <v>196500</v>
      </c>
    </row>
    <row r="136" spans="1:7" ht="45" customHeight="1">
      <c r="A136" s="496" t="s">
        <v>788</v>
      </c>
      <c r="B136" s="445" t="s">
        <v>633</v>
      </c>
      <c r="C136" s="445" t="s">
        <v>735</v>
      </c>
      <c r="D136" s="474" t="s">
        <v>789</v>
      </c>
      <c r="E136" s="446"/>
      <c r="F136" s="553">
        <f aca="true" t="shared" si="8" ref="F136:G138">F137</f>
        <v>15000</v>
      </c>
      <c r="G136" s="447">
        <f t="shared" si="8"/>
        <v>15000</v>
      </c>
    </row>
    <row r="137" spans="1:7" ht="25.5">
      <c r="A137" s="496" t="s">
        <v>790</v>
      </c>
      <c r="B137" s="445" t="s">
        <v>633</v>
      </c>
      <c r="C137" s="445" t="s">
        <v>735</v>
      </c>
      <c r="D137" s="474" t="s">
        <v>791</v>
      </c>
      <c r="E137" s="446"/>
      <c r="F137" s="553">
        <f t="shared" si="8"/>
        <v>15000</v>
      </c>
      <c r="G137" s="447">
        <f t="shared" si="8"/>
        <v>15000</v>
      </c>
    </row>
    <row r="138" spans="1:7" ht="26.25">
      <c r="A138" s="454" t="s">
        <v>792</v>
      </c>
      <c r="B138" s="445" t="s">
        <v>633</v>
      </c>
      <c r="C138" s="445" t="s">
        <v>735</v>
      </c>
      <c r="D138" s="474" t="s">
        <v>793</v>
      </c>
      <c r="E138" s="446"/>
      <c r="F138" s="553">
        <f t="shared" si="8"/>
        <v>15000</v>
      </c>
      <c r="G138" s="447">
        <f t="shared" si="8"/>
        <v>15000</v>
      </c>
    </row>
    <row r="139" spans="1:7" ht="26.25">
      <c r="A139" s="454" t="s">
        <v>654</v>
      </c>
      <c r="B139" s="445" t="s">
        <v>633</v>
      </c>
      <c r="C139" s="445" t="s">
        <v>735</v>
      </c>
      <c r="D139" s="474" t="s">
        <v>793</v>
      </c>
      <c r="E139" s="446" t="s">
        <v>655</v>
      </c>
      <c r="F139" s="553">
        <v>15000</v>
      </c>
      <c r="G139" s="447">
        <v>15000</v>
      </c>
    </row>
    <row r="140" spans="1:7" ht="58.5" customHeight="1">
      <c r="A140" s="496" t="s">
        <v>794</v>
      </c>
      <c r="B140" s="445" t="s">
        <v>633</v>
      </c>
      <c r="C140" s="445" t="s">
        <v>735</v>
      </c>
      <c r="D140" s="474" t="s">
        <v>795</v>
      </c>
      <c r="E140" s="446"/>
      <c r="F140" s="553">
        <f aca="true" t="shared" si="9" ref="F140:G142">F141</f>
        <v>181500</v>
      </c>
      <c r="G140" s="447">
        <f t="shared" si="9"/>
        <v>181500</v>
      </c>
    </row>
    <row r="141" spans="1:7" ht="22.5" customHeight="1">
      <c r="A141" s="496" t="s">
        <v>796</v>
      </c>
      <c r="B141" s="445" t="s">
        <v>633</v>
      </c>
      <c r="C141" s="445" t="s">
        <v>735</v>
      </c>
      <c r="D141" s="474" t="s">
        <v>797</v>
      </c>
      <c r="E141" s="446"/>
      <c r="F141" s="553">
        <f t="shared" si="9"/>
        <v>181500</v>
      </c>
      <c r="G141" s="447">
        <f t="shared" si="9"/>
        <v>181500</v>
      </c>
    </row>
    <row r="142" spans="1:7" ht="20.25" customHeight="1">
      <c r="A142" s="496" t="s">
        <v>756</v>
      </c>
      <c r="B142" s="445" t="s">
        <v>633</v>
      </c>
      <c r="C142" s="445" t="s">
        <v>735</v>
      </c>
      <c r="D142" s="474" t="s">
        <v>798</v>
      </c>
      <c r="E142" s="446"/>
      <c r="F142" s="553">
        <f t="shared" si="9"/>
        <v>181500</v>
      </c>
      <c r="G142" s="447">
        <f t="shared" si="9"/>
        <v>181500</v>
      </c>
    </row>
    <row r="143" spans="1:7" ht="28.5" customHeight="1">
      <c r="A143" s="454" t="s">
        <v>654</v>
      </c>
      <c r="B143" s="445" t="s">
        <v>633</v>
      </c>
      <c r="C143" s="445" t="s">
        <v>735</v>
      </c>
      <c r="D143" s="474" t="s">
        <v>798</v>
      </c>
      <c r="E143" s="446" t="s">
        <v>655</v>
      </c>
      <c r="F143" s="553">
        <v>181500</v>
      </c>
      <c r="G143" s="447">
        <v>181500</v>
      </c>
    </row>
    <row r="144" spans="1:7" ht="47.25" customHeight="1">
      <c r="A144" s="454" t="s">
        <v>799</v>
      </c>
      <c r="B144" s="445" t="s">
        <v>633</v>
      </c>
      <c r="C144" s="445" t="s">
        <v>735</v>
      </c>
      <c r="D144" s="474" t="s">
        <v>800</v>
      </c>
      <c r="E144" s="481"/>
      <c r="F144" s="553">
        <f>F145</f>
        <v>1867940</v>
      </c>
      <c r="G144" s="447">
        <f>G145</f>
        <v>1022136</v>
      </c>
    </row>
    <row r="145" spans="1:7" s="461" customFormat="1" ht="56.25" customHeight="1">
      <c r="A145" s="454" t="s">
        <v>801</v>
      </c>
      <c r="B145" s="445" t="s">
        <v>633</v>
      </c>
      <c r="C145" s="445" t="s">
        <v>735</v>
      </c>
      <c r="D145" s="474" t="s">
        <v>802</v>
      </c>
      <c r="E145" s="481"/>
      <c r="F145" s="553">
        <f>F147</f>
        <v>1867940</v>
      </c>
      <c r="G145" s="447">
        <f>G147</f>
        <v>1022136</v>
      </c>
    </row>
    <row r="146" spans="1:7" ht="63.75" customHeight="1">
      <c r="A146" s="484" t="s">
        <v>803</v>
      </c>
      <c r="B146" s="445" t="s">
        <v>633</v>
      </c>
      <c r="C146" s="445" t="s">
        <v>735</v>
      </c>
      <c r="D146" s="474" t="s">
        <v>804</v>
      </c>
      <c r="E146" s="481"/>
      <c r="F146" s="553">
        <f>F147</f>
        <v>1867940</v>
      </c>
      <c r="G146" s="447">
        <f>G147</f>
        <v>1022136</v>
      </c>
    </row>
    <row r="147" spans="1:7" ht="41.25" customHeight="1">
      <c r="A147" s="452" t="s">
        <v>805</v>
      </c>
      <c r="B147" s="445" t="s">
        <v>633</v>
      </c>
      <c r="C147" s="445" t="s">
        <v>735</v>
      </c>
      <c r="D147" s="474" t="s">
        <v>806</v>
      </c>
      <c r="E147" s="481"/>
      <c r="F147" s="553">
        <f>F148+F149</f>
        <v>1867940</v>
      </c>
      <c r="G147" s="447">
        <f>G148+G149</f>
        <v>1022136</v>
      </c>
    </row>
    <row r="148" spans="1:7" ht="39" customHeight="1">
      <c r="A148" s="454" t="s">
        <v>642</v>
      </c>
      <c r="B148" s="445" t="s">
        <v>633</v>
      </c>
      <c r="C148" s="445" t="s">
        <v>735</v>
      </c>
      <c r="D148" s="474" t="s">
        <v>806</v>
      </c>
      <c r="E148" s="481" t="s">
        <v>643</v>
      </c>
      <c r="F148" s="553">
        <v>765394</v>
      </c>
      <c r="G148" s="447">
        <v>765394</v>
      </c>
    </row>
    <row r="149" spans="1:7" ht="26.25" customHeight="1">
      <c r="A149" s="454" t="s">
        <v>654</v>
      </c>
      <c r="B149" s="445" t="s">
        <v>633</v>
      </c>
      <c r="C149" s="445" t="s">
        <v>735</v>
      </c>
      <c r="D149" s="474" t="s">
        <v>806</v>
      </c>
      <c r="E149" s="481" t="s">
        <v>655</v>
      </c>
      <c r="F149" s="553">
        <v>1102546</v>
      </c>
      <c r="G149" s="447">
        <v>256742</v>
      </c>
    </row>
    <row r="150" spans="1:7" ht="28.5" customHeight="1">
      <c r="A150" s="454" t="s">
        <v>809</v>
      </c>
      <c r="B150" s="445" t="s">
        <v>633</v>
      </c>
      <c r="C150" s="445" t="s">
        <v>735</v>
      </c>
      <c r="D150" s="455" t="s">
        <v>810</v>
      </c>
      <c r="E150" s="481"/>
      <c r="F150" s="553">
        <f>F151</f>
        <v>177900.78</v>
      </c>
      <c r="G150" s="447">
        <f>G151</f>
        <v>177900</v>
      </c>
    </row>
    <row r="151" spans="1:7" ht="20.25" customHeight="1">
      <c r="A151" s="454" t="s">
        <v>811</v>
      </c>
      <c r="B151" s="445" t="s">
        <v>633</v>
      </c>
      <c r="C151" s="445" t="s">
        <v>735</v>
      </c>
      <c r="D151" s="455" t="s">
        <v>812</v>
      </c>
      <c r="E151" s="481"/>
      <c r="F151" s="553">
        <f>F152</f>
        <v>177900.78</v>
      </c>
      <c r="G151" s="447">
        <f>G152</f>
        <v>177900</v>
      </c>
    </row>
    <row r="152" spans="1:8" ht="22.5" customHeight="1">
      <c r="A152" s="451" t="s">
        <v>756</v>
      </c>
      <c r="B152" s="445" t="s">
        <v>633</v>
      </c>
      <c r="C152" s="445" t="s">
        <v>735</v>
      </c>
      <c r="D152" s="455" t="s">
        <v>813</v>
      </c>
      <c r="E152" s="481"/>
      <c r="F152" s="553">
        <f>F153+F154</f>
        <v>177900.78</v>
      </c>
      <c r="G152" s="447">
        <f>G153+G154</f>
        <v>177900</v>
      </c>
      <c r="H152" s="434"/>
    </row>
    <row r="153" spans="1:7" ht="28.5" customHeight="1">
      <c r="A153" s="454" t="s">
        <v>654</v>
      </c>
      <c r="B153" s="445" t="s">
        <v>633</v>
      </c>
      <c r="C153" s="445" t="s">
        <v>735</v>
      </c>
      <c r="D153" s="455" t="s">
        <v>813</v>
      </c>
      <c r="E153" s="481" t="s">
        <v>655</v>
      </c>
      <c r="F153" s="553">
        <v>10000.78</v>
      </c>
      <c r="G153" s="447">
        <v>10000</v>
      </c>
    </row>
    <row r="154" spans="1:7" ht="16.5" customHeight="1">
      <c r="A154" s="466" t="s">
        <v>696</v>
      </c>
      <c r="B154" s="445" t="s">
        <v>633</v>
      </c>
      <c r="C154" s="445" t="s">
        <v>735</v>
      </c>
      <c r="D154" s="455" t="s">
        <v>813</v>
      </c>
      <c r="E154" s="481" t="s">
        <v>697</v>
      </c>
      <c r="F154" s="553">
        <v>167900</v>
      </c>
      <c r="G154" s="447">
        <v>167900</v>
      </c>
    </row>
    <row r="155" spans="1:7" ht="18" customHeight="1">
      <c r="A155" s="451" t="s">
        <v>698</v>
      </c>
      <c r="B155" s="485" t="s">
        <v>633</v>
      </c>
      <c r="C155" s="445" t="s">
        <v>735</v>
      </c>
      <c r="D155" s="470" t="s">
        <v>699</v>
      </c>
      <c r="E155" s="456"/>
      <c r="F155" s="553">
        <f>F156</f>
        <v>8445810</v>
      </c>
      <c r="G155" s="447">
        <f>G156</f>
        <v>8445810</v>
      </c>
    </row>
    <row r="156" spans="1:7" ht="17.25" customHeight="1">
      <c r="A156" s="451" t="s">
        <v>705</v>
      </c>
      <c r="B156" s="445" t="s">
        <v>633</v>
      </c>
      <c r="C156" s="445" t="s">
        <v>735</v>
      </c>
      <c r="D156" s="445" t="s">
        <v>706</v>
      </c>
      <c r="E156" s="446"/>
      <c r="F156" s="553">
        <f>F157+F161+F163</f>
        <v>8445810</v>
      </c>
      <c r="G156" s="447">
        <f>G157+G161+G163</f>
        <v>8445810</v>
      </c>
    </row>
    <row r="157" spans="1:7" ht="25.5">
      <c r="A157" s="466" t="s">
        <v>816</v>
      </c>
      <c r="B157" s="445" t="s">
        <v>633</v>
      </c>
      <c r="C157" s="445" t="s">
        <v>735</v>
      </c>
      <c r="D157" s="445" t="s">
        <v>817</v>
      </c>
      <c r="E157" s="446"/>
      <c r="F157" s="553">
        <f>F158+F159+F160</f>
        <v>8170490</v>
      </c>
      <c r="G157" s="447">
        <f>G158+G159+G160</f>
        <v>8170490</v>
      </c>
    </row>
    <row r="158" spans="1:7" ht="45.75" customHeight="1">
      <c r="A158" s="454" t="s">
        <v>642</v>
      </c>
      <c r="B158" s="445" t="s">
        <v>633</v>
      </c>
      <c r="C158" s="445" t="s">
        <v>735</v>
      </c>
      <c r="D158" s="445" t="s">
        <v>817</v>
      </c>
      <c r="E158" s="456" t="s">
        <v>643</v>
      </c>
      <c r="F158" s="553">
        <v>5520500</v>
      </c>
      <c r="G158" s="447">
        <v>5520500</v>
      </c>
    </row>
    <row r="159" spans="1:7" ht="30.75" customHeight="1">
      <c r="A159" s="454" t="s">
        <v>654</v>
      </c>
      <c r="B159" s="445" t="s">
        <v>633</v>
      </c>
      <c r="C159" s="445" t="s">
        <v>735</v>
      </c>
      <c r="D159" s="445" t="s">
        <v>817</v>
      </c>
      <c r="E159" s="456" t="s">
        <v>655</v>
      </c>
      <c r="F159" s="553">
        <v>2631850</v>
      </c>
      <c r="G159" s="447">
        <v>2631850</v>
      </c>
    </row>
    <row r="160" spans="1:7" ht="15">
      <c r="A160" s="466" t="s">
        <v>696</v>
      </c>
      <c r="B160" s="445" t="s">
        <v>633</v>
      </c>
      <c r="C160" s="445" t="s">
        <v>735</v>
      </c>
      <c r="D160" s="445" t="s">
        <v>817</v>
      </c>
      <c r="E160" s="456" t="s">
        <v>697</v>
      </c>
      <c r="F160" s="553">
        <v>18140</v>
      </c>
      <c r="G160" s="447">
        <v>18140</v>
      </c>
    </row>
    <row r="161" spans="1:7" ht="15">
      <c r="A161" s="490" t="s">
        <v>818</v>
      </c>
      <c r="B161" s="445" t="s">
        <v>633</v>
      </c>
      <c r="C161" s="445" t="s">
        <v>735</v>
      </c>
      <c r="D161" s="445" t="s">
        <v>819</v>
      </c>
      <c r="E161" s="456"/>
      <c r="F161" s="553">
        <f>F162</f>
        <v>100000</v>
      </c>
      <c r="G161" s="447">
        <f>G162</f>
        <v>100000</v>
      </c>
    </row>
    <row r="162" spans="1:7" ht="26.25">
      <c r="A162" s="454" t="s">
        <v>654</v>
      </c>
      <c r="B162" s="445" t="s">
        <v>633</v>
      </c>
      <c r="C162" s="445" t="s">
        <v>735</v>
      </c>
      <c r="D162" s="445" t="s">
        <v>819</v>
      </c>
      <c r="E162" s="456" t="s">
        <v>655</v>
      </c>
      <c r="F162" s="553">
        <v>100000</v>
      </c>
      <c r="G162" s="447">
        <v>100000</v>
      </c>
    </row>
    <row r="163" spans="1:7" ht="26.25">
      <c r="A163" s="454" t="s">
        <v>820</v>
      </c>
      <c r="B163" s="445" t="s">
        <v>633</v>
      </c>
      <c r="C163" s="445" t="s">
        <v>735</v>
      </c>
      <c r="D163" s="445" t="s">
        <v>821</v>
      </c>
      <c r="E163" s="456"/>
      <c r="F163" s="553">
        <f>F164</f>
        <v>175320</v>
      </c>
      <c r="G163" s="447">
        <f>G164</f>
        <v>175320</v>
      </c>
    </row>
    <row r="164" spans="1:7" ht="15">
      <c r="A164" s="454" t="s">
        <v>814</v>
      </c>
      <c r="B164" s="445" t="s">
        <v>633</v>
      </c>
      <c r="C164" s="445" t="s">
        <v>735</v>
      </c>
      <c r="D164" s="445" t="s">
        <v>821</v>
      </c>
      <c r="E164" s="456" t="s">
        <v>815</v>
      </c>
      <c r="F164" s="553">
        <f>175320</f>
        <v>175320</v>
      </c>
      <c r="G164" s="447">
        <f>175320</f>
        <v>175320</v>
      </c>
    </row>
    <row r="165" spans="1:7" ht="48" customHeight="1" hidden="1">
      <c r="A165" s="451" t="s">
        <v>822</v>
      </c>
      <c r="B165" s="485" t="s">
        <v>633</v>
      </c>
      <c r="C165" s="445" t="s">
        <v>735</v>
      </c>
      <c r="D165" s="470" t="s">
        <v>823</v>
      </c>
      <c r="E165" s="456"/>
      <c r="F165" s="553">
        <f aca="true" t="shared" si="10" ref="F165:G167">F166</f>
        <v>0</v>
      </c>
      <c r="G165" s="447">
        <f t="shared" si="10"/>
        <v>0</v>
      </c>
    </row>
    <row r="166" spans="1:7" ht="48" customHeight="1" hidden="1">
      <c r="A166" s="454" t="s">
        <v>726</v>
      </c>
      <c r="B166" s="485" t="s">
        <v>633</v>
      </c>
      <c r="C166" s="445" t="s">
        <v>735</v>
      </c>
      <c r="D166" s="470" t="s">
        <v>824</v>
      </c>
      <c r="E166" s="456"/>
      <c r="F166" s="553">
        <f t="shared" si="10"/>
        <v>0</v>
      </c>
      <c r="G166" s="447">
        <f t="shared" si="10"/>
        <v>0</v>
      </c>
    </row>
    <row r="167" spans="1:7" ht="48" customHeight="1" hidden="1">
      <c r="A167" s="454" t="s">
        <v>825</v>
      </c>
      <c r="B167" s="485" t="s">
        <v>633</v>
      </c>
      <c r="C167" s="445" t="s">
        <v>735</v>
      </c>
      <c r="D167" s="470" t="s">
        <v>826</v>
      </c>
      <c r="E167" s="456"/>
      <c r="F167" s="553">
        <f t="shared" si="10"/>
        <v>0</v>
      </c>
      <c r="G167" s="447">
        <f t="shared" si="10"/>
        <v>0</v>
      </c>
    </row>
    <row r="168" spans="1:7" ht="48" customHeight="1" hidden="1">
      <c r="A168" s="486" t="s">
        <v>827</v>
      </c>
      <c r="B168" s="485" t="s">
        <v>633</v>
      </c>
      <c r="C168" s="445" t="s">
        <v>735</v>
      </c>
      <c r="D168" s="470" t="s">
        <v>826</v>
      </c>
      <c r="E168" s="456" t="s">
        <v>828</v>
      </c>
      <c r="F168" s="553"/>
      <c r="G168" s="447"/>
    </row>
    <row r="169" spans="1:7" ht="15">
      <c r="A169" s="451" t="s">
        <v>829</v>
      </c>
      <c r="B169" s="445" t="s">
        <v>645</v>
      </c>
      <c r="C169" s="445" t="s">
        <v>830</v>
      </c>
      <c r="D169" s="470"/>
      <c r="E169" s="456"/>
      <c r="F169" s="553">
        <f aca="true" t="shared" si="11" ref="F169:G171">F170</f>
        <v>51000</v>
      </c>
      <c r="G169" s="447">
        <f t="shared" si="11"/>
        <v>51000</v>
      </c>
    </row>
    <row r="170" spans="1:7" ht="28.5" customHeight="1">
      <c r="A170" s="466" t="s">
        <v>831</v>
      </c>
      <c r="B170" s="445" t="s">
        <v>645</v>
      </c>
      <c r="C170" s="445" t="s">
        <v>832</v>
      </c>
      <c r="D170" s="470"/>
      <c r="E170" s="456"/>
      <c r="F170" s="553">
        <f t="shared" si="11"/>
        <v>51000</v>
      </c>
      <c r="G170" s="447">
        <f t="shared" si="11"/>
        <v>51000</v>
      </c>
    </row>
    <row r="171" spans="1:7" ht="56.25" customHeight="1">
      <c r="A171" s="465" t="s">
        <v>833</v>
      </c>
      <c r="B171" s="445" t="s">
        <v>645</v>
      </c>
      <c r="C171" s="445" t="s">
        <v>832</v>
      </c>
      <c r="D171" s="474" t="s">
        <v>834</v>
      </c>
      <c r="E171" s="456"/>
      <c r="F171" s="553">
        <f t="shared" si="11"/>
        <v>51000</v>
      </c>
      <c r="G171" s="447">
        <f t="shared" si="11"/>
        <v>51000</v>
      </c>
    </row>
    <row r="172" spans="1:7" s="461" customFormat="1" ht="89.25" customHeight="1">
      <c r="A172" s="496" t="s">
        <v>835</v>
      </c>
      <c r="B172" s="445" t="s">
        <v>645</v>
      </c>
      <c r="C172" s="445" t="s">
        <v>832</v>
      </c>
      <c r="D172" s="474" t="s">
        <v>836</v>
      </c>
      <c r="E172" s="456"/>
      <c r="F172" s="553">
        <f>F173+F176+F179+F182</f>
        <v>51000</v>
      </c>
      <c r="G172" s="447">
        <f>G173+G176+G179+G182</f>
        <v>51000</v>
      </c>
    </row>
    <row r="173" spans="1:7" ht="48" customHeight="1" hidden="1">
      <c r="A173" s="496" t="s">
        <v>837</v>
      </c>
      <c r="B173" s="445" t="s">
        <v>645</v>
      </c>
      <c r="C173" s="445" t="s">
        <v>832</v>
      </c>
      <c r="D173" s="474" t="s">
        <v>838</v>
      </c>
      <c r="E173" s="456"/>
      <c r="F173" s="553">
        <f>F174</f>
        <v>0</v>
      </c>
      <c r="G173" s="447">
        <f>G174</f>
        <v>0</v>
      </c>
    </row>
    <row r="174" spans="1:7" ht="48" customHeight="1" hidden="1">
      <c r="A174" s="454" t="s">
        <v>839</v>
      </c>
      <c r="B174" s="445" t="s">
        <v>645</v>
      </c>
      <c r="C174" s="445" t="s">
        <v>832</v>
      </c>
      <c r="D174" s="474" t="s">
        <v>840</v>
      </c>
      <c r="E174" s="456"/>
      <c r="F174" s="553">
        <f>F175</f>
        <v>0</v>
      </c>
      <c r="G174" s="447">
        <f>G175</f>
        <v>0</v>
      </c>
    </row>
    <row r="175" spans="1:7" ht="48" customHeight="1" hidden="1">
      <c r="A175" s="454" t="s">
        <v>654</v>
      </c>
      <c r="B175" s="445" t="s">
        <v>645</v>
      </c>
      <c r="C175" s="445" t="s">
        <v>832</v>
      </c>
      <c r="D175" s="474" t="s">
        <v>840</v>
      </c>
      <c r="E175" s="456" t="s">
        <v>655</v>
      </c>
      <c r="F175" s="553"/>
      <c r="G175" s="447"/>
    </row>
    <row r="176" spans="1:7" ht="55.5" customHeight="1">
      <c r="A176" s="496" t="s">
        <v>841</v>
      </c>
      <c r="B176" s="445" t="s">
        <v>645</v>
      </c>
      <c r="C176" s="445" t="s">
        <v>832</v>
      </c>
      <c r="D176" s="474" t="s">
        <v>842</v>
      </c>
      <c r="E176" s="456"/>
      <c r="F176" s="553">
        <f>F177</f>
        <v>51000</v>
      </c>
      <c r="G176" s="447">
        <f>G177</f>
        <v>51000</v>
      </c>
    </row>
    <row r="177" spans="1:7" ht="42.75" customHeight="1">
      <c r="A177" s="454" t="s">
        <v>839</v>
      </c>
      <c r="B177" s="445" t="s">
        <v>645</v>
      </c>
      <c r="C177" s="445" t="s">
        <v>832</v>
      </c>
      <c r="D177" s="474" t="s">
        <v>843</v>
      </c>
      <c r="E177" s="456"/>
      <c r="F177" s="553">
        <f>F178</f>
        <v>51000</v>
      </c>
      <c r="G177" s="447">
        <f>G178</f>
        <v>51000</v>
      </c>
    </row>
    <row r="178" spans="1:7" ht="33" customHeight="1">
      <c r="A178" s="454" t="s">
        <v>654</v>
      </c>
      <c r="B178" s="445" t="s">
        <v>645</v>
      </c>
      <c r="C178" s="445" t="s">
        <v>832</v>
      </c>
      <c r="D178" s="474" t="s">
        <v>843</v>
      </c>
      <c r="E178" s="456" t="s">
        <v>655</v>
      </c>
      <c r="F178" s="553">
        <v>51000</v>
      </c>
      <c r="G178" s="447">
        <v>51000</v>
      </c>
    </row>
    <row r="179" spans="1:7" ht="48" customHeight="1" hidden="1">
      <c r="A179" s="496" t="s">
        <v>844</v>
      </c>
      <c r="B179" s="445" t="s">
        <v>645</v>
      </c>
      <c r="C179" s="445" t="s">
        <v>832</v>
      </c>
      <c r="D179" s="474" t="s">
        <v>845</v>
      </c>
      <c r="E179" s="456"/>
      <c r="F179" s="553">
        <f>F180</f>
        <v>0</v>
      </c>
      <c r="G179" s="447">
        <f>G180</f>
        <v>0</v>
      </c>
    </row>
    <row r="180" spans="1:7" ht="48" customHeight="1" hidden="1">
      <c r="A180" s="454" t="s">
        <v>839</v>
      </c>
      <c r="B180" s="445" t="s">
        <v>645</v>
      </c>
      <c r="C180" s="445" t="s">
        <v>832</v>
      </c>
      <c r="D180" s="474" t="s">
        <v>846</v>
      </c>
      <c r="E180" s="456"/>
      <c r="F180" s="553">
        <f>F181</f>
        <v>0</v>
      </c>
      <c r="G180" s="447">
        <f>G181</f>
        <v>0</v>
      </c>
    </row>
    <row r="181" spans="1:7" ht="48" customHeight="1" hidden="1">
      <c r="A181" s="454" t="s">
        <v>654</v>
      </c>
      <c r="B181" s="445" t="s">
        <v>645</v>
      </c>
      <c r="C181" s="445" t="s">
        <v>832</v>
      </c>
      <c r="D181" s="474" t="s">
        <v>846</v>
      </c>
      <c r="E181" s="456" t="s">
        <v>655</v>
      </c>
      <c r="F181" s="553"/>
      <c r="G181" s="447"/>
    </row>
    <row r="182" spans="1:7" ht="48" customHeight="1" hidden="1">
      <c r="A182" s="496" t="s">
        <v>847</v>
      </c>
      <c r="B182" s="445" t="s">
        <v>645</v>
      </c>
      <c r="C182" s="445" t="s">
        <v>832</v>
      </c>
      <c r="D182" s="474" t="s">
        <v>848</v>
      </c>
      <c r="E182" s="456"/>
      <c r="F182" s="553">
        <f>F183</f>
        <v>0</v>
      </c>
      <c r="G182" s="447">
        <f>G183</f>
        <v>0</v>
      </c>
    </row>
    <row r="183" spans="1:7" ht="48" customHeight="1" hidden="1">
      <c r="A183" s="454" t="s">
        <v>839</v>
      </c>
      <c r="B183" s="445" t="s">
        <v>645</v>
      </c>
      <c r="C183" s="445" t="s">
        <v>832</v>
      </c>
      <c r="D183" s="474" t="s">
        <v>849</v>
      </c>
      <c r="E183" s="456"/>
      <c r="F183" s="553">
        <f>F184</f>
        <v>0</v>
      </c>
      <c r="G183" s="447">
        <f>G184</f>
        <v>0</v>
      </c>
    </row>
    <row r="184" spans="1:7" ht="48" customHeight="1" hidden="1">
      <c r="A184" s="454" t="s">
        <v>654</v>
      </c>
      <c r="B184" s="445" t="s">
        <v>645</v>
      </c>
      <c r="C184" s="445" t="s">
        <v>832</v>
      </c>
      <c r="D184" s="474" t="s">
        <v>849</v>
      </c>
      <c r="E184" s="456" t="s">
        <v>655</v>
      </c>
      <c r="F184" s="553"/>
      <c r="G184" s="447"/>
    </row>
    <row r="185" spans="1:7" ht="15" customHeight="1">
      <c r="A185" s="451" t="s">
        <v>850</v>
      </c>
      <c r="B185" s="445" t="s">
        <v>658</v>
      </c>
      <c r="C185" s="445"/>
      <c r="D185" s="445"/>
      <c r="E185" s="446"/>
      <c r="F185" s="553">
        <f>F186+F193+F204</f>
        <v>6048100</v>
      </c>
      <c r="G185" s="447">
        <f>G186+G193+G204</f>
        <v>6333891</v>
      </c>
    </row>
    <row r="186" spans="1:7" ht="15">
      <c r="A186" s="451" t="s">
        <v>851</v>
      </c>
      <c r="B186" s="445" t="s">
        <v>658</v>
      </c>
      <c r="C186" s="445" t="s">
        <v>852</v>
      </c>
      <c r="D186" s="445"/>
      <c r="E186" s="446"/>
      <c r="F186" s="553">
        <f aca="true" t="shared" si="12" ref="F186:G189">F187</f>
        <v>510000</v>
      </c>
      <c r="G186" s="447">
        <f t="shared" si="12"/>
        <v>510000</v>
      </c>
    </row>
    <row r="187" spans="1:7" ht="55.5" customHeight="1">
      <c r="A187" s="489" t="s">
        <v>770</v>
      </c>
      <c r="B187" s="445" t="s">
        <v>658</v>
      </c>
      <c r="C187" s="445" t="s">
        <v>852</v>
      </c>
      <c r="D187" s="474" t="s">
        <v>771</v>
      </c>
      <c r="E187" s="446"/>
      <c r="F187" s="553">
        <f t="shared" si="12"/>
        <v>510000</v>
      </c>
      <c r="G187" s="447">
        <f t="shared" si="12"/>
        <v>510000</v>
      </c>
    </row>
    <row r="188" spans="1:7" s="461" customFormat="1" ht="66.75" customHeight="1">
      <c r="A188" s="494" t="s">
        <v>853</v>
      </c>
      <c r="B188" s="445" t="s">
        <v>658</v>
      </c>
      <c r="C188" s="445" t="s">
        <v>852</v>
      </c>
      <c r="D188" s="474" t="s">
        <v>854</v>
      </c>
      <c r="E188" s="446"/>
      <c r="F188" s="553">
        <f t="shared" si="12"/>
        <v>510000</v>
      </c>
      <c r="G188" s="447">
        <f t="shared" si="12"/>
        <v>510000</v>
      </c>
    </row>
    <row r="189" spans="1:7" ht="30" customHeight="1">
      <c r="A189" s="466" t="s">
        <v>855</v>
      </c>
      <c r="B189" s="445" t="s">
        <v>658</v>
      </c>
      <c r="C189" s="445" t="s">
        <v>852</v>
      </c>
      <c r="D189" s="474" t="s">
        <v>856</v>
      </c>
      <c r="E189" s="446"/>
      <c r="F189" s="553">
        <f t="shared" si="12"/>
        <v>510000</v>
      </c>
      <c r="G189" s="447">
        <f t="shared" si="12"/>
        <v>510000</v>
      </c>
    </row>
    <row r="190" spans="1:7" ht="15">
      <c r="A190" s="451" t="s">
        <v>857</v>
      </c>
      <c r="B190" s="445" t="s">
        <v>658</v>
      </c>
      <c r="C190" s="445" t="s">
        <v>852</v>
      </c>
      <c r="D190" s="474" t="s">
        <v>858</v>
      </c>
      <c r="E190" s="446"/>
      <c r="F190" s="553">
        <f>F192+F191</f>
        <v>510000</v>
      </c>
      <c r="G190" s="447">
        <f>G192+G191</f>
        <v>510000</v>
      </c>
    </row>
    <row r="191" spans="1:7" ht="26.25">
      <c r="A191" s="454" t="s">
        <v>654</v>
      </c>
      <c r="B191" s="445" t="s">
        <v>658</v>
      </c>
      <c r="C191" s="445" t="s">
        <v>852</v>
      </c>
      <c r="D191" s="474" t="s">
        <v>858</v>
      </c>
      <c r="E191" s="446" t="s">
        <v>655</v>
      </c>
      <c r="F191" s="553">
        <v>10000</v>
      </c>
      <c r="G191" s="447">
        <v>10000</v>
      </c>
    </row>
    <row r="192" spans="1:7" ht="15">
      <c r="A192" s="454" t="s">
        <v>696</v>
      </c>
      <c r="B192" s="445" t="s">
        <v>658</v>
      </c>
      <c r="C192" s="445" t="s">
        <v>852</v>
      </c>
      <c r="D192" s="474" t="s">
        <v>858</v>
      </c>
      <c r="E192" s="446" t="s">
        <v>697</v>
      </c>
      <c r="F192" s="553">
        <v>500000</v>
      </c>
      <c r="G192" s="447">
        <v>500000</v>
      </c>
    </row>
    <row r="193" spans="1:7" ht="24.75" customHeight="1">
      <c r="A193" s="451" t="s">
        <v>859</v>
      </c>
      <c r="B193" s="445" t="s">
        <v>658</v>
      </c>
      <c r="C193" s="445" t="s">
        <v>832</v>
      </c>
      <c r="D193" s="445"/>
      <c r="E193" s="446"/>
      <c r="F193" s="553">
        <f>F194</f>
        <v>4975100</v>
      </c>
      <c r="G193" s="447">
        <f>G194</f>
        <v>5260891</v>
      </c>
    </row>
    <row r="194" spans="1:7" ht="56.25" customHeight="1">
      <c r="A194" s="489" t="s">
        <v>770</v>
      </c>
      <c r="B194" s="445" t="s">
        <v>658</v>
      </c>
      <c r="C194" s="445" t="s">
        <v>832</v>
      </c>
      <c r="D194" s="474" t="s">
        <v>771</v>
      </c>
      <c r="E194" s="446"/>
      <c r="F194" s="553">
        <f>F195</f>
        <v>4975100</v>
      </c>
      <c r="G194" s="447">
        <f>G195</f>
        <v>5260891</v>
      </c>
    </row>
    <row r="195" spans="1:7" s="461" customFormat="1" ht="69.75" customHeight="1">
      <c r="A195" s="490" t="s">
        <v>860</v>
      </c>
      <c r="B195" s="445" t="s">
        <v>658</v>
      </c>
      <c r="C195" s="445" t="s">
        <v>832</v>
      </c>
      <c r="D195" s="474" t="s">
        <v>861</v>
      </c>
      <c r="E195" s="446"/>
      <c r="F195" s="553">
        <f>F196+F199</f>
        <v>4975100</v>
      </c>
      <c r="G195" s="447">
        <f>G196+G199</f>
        <v>5260891</v>
      </c>
    </row>
    <row r="196" spans="1:7" ht="25.5">
      <c r="A196" s="466" t="s">
        <v>862</v>
      </c>
      <c r="B196" s="445" t="s">
        <v>658</v>
      </c>
      <c r="C196" s="445" t="s">
        <v>832</v>
      </c>
      <c r="D196" s="474" t="s">
        <v>863</v>
      </c>
      <c r="E196" s="446"/>
      <c r="F196" s="553">
        <f>F197</f>
        <v>4975100</v>
      </c>
      <c r="G196" s="447">
        <f>G197</f>
        <v>5260891</v>
      </c>
    </row>
    <row r="197" spans="1:7" ht="26.25">
      <c r="A197" s="454" t="s">
        <v>864</v>
      </c>
      <c r="B197" s="445" t="s">
        <v>658</v>
      </c>
      <c r="C197" s="445" t="s">
        <v>832</v>
      </c>
      <c r="D197" s="474" t="s">
        <v>865</v>
      </c>
      <c r="E197" s="446"/>
      <c r="F197" s="553">
        <f>F198</f>
        <v>4975100</v>
      </c>
      <c r="G197" s="447">
        <f>G198</f>
        <v>5260891</v>
      </c>
    </row>
    <row r="198" spans="1:7" ht="30.75" customHeight="1">
      <c r="A198" s="454" t="s">
        <v>704</v>
      </c>
      <c r="B198" s="445" t="s">
        <v>658</v>
      </c>
      <c r="C198" s="445" t="s">
        <v>832</v>
      </c>
      <c r="D198" s="474" t="s">
        <v>865</v>
      </c>
      <c r="E198" s="446" t="s">
        <v>655</v>
      </c>
      <c r="F198" s="553">
        <v>4975100</v>
      </c>
      <c r="G198" s="447">
        <v>5260891</v>
      </c>
    </row>
    <row r="199" spans="1:9" ht="48" customHeight="1" hidden="1">
      <c r="A199" s="466" t="s">
        <v>866</v>
      </c>
      <c r="B199" s="445" t="s">
        <v>658</v>
      </c>
      <c r="C199" s="445" t="s">
        <v>832</v>
      </c>
      <c r="D199" s="474" t="s">
        <v>867</v>
      </c>
      <c r="E199" s="446"/>
      <c r="F199" s="553">
        <f>F200+F202</f>
        <v>0</v>
      </c>
      <c r="G199" s="447">
        <f>G200+G202</f>
        <v>0</v>
      </c>
      <c r="I199" s="453"/>
    </row>
    <row r="200" spans="1:9" ht="15" hidden="1">
      <c r="A200" s="454" t="s">
        <v>868</v>
      </c>
      <c r="B200" s="445" t="s">
        <v>658</v>
      </c>
      <c r="C200" s="445" t="s">
        <v>832</v>
      </c>
      <c r="D200" s="474" t="s">
        <v>869</v>
      </c>
      <c r="E200" s="446"/>
      <c r="F200" s="553">
        <f>F201</f>
        <v>0</v>
      </c>
      <c r="G200" s="447">
        <f>G201</f>
        <v>0</v>
      </c>
      <c r="I200" s="453"/>
    </row>
    <row r="201" spans="1:9" ht="48" customHeight="1" hidden="1">
      <c r="A201" s="491" t="s">
        <v>870</v>
      </c>
      <c r="B201" s="445" t="s">
        <v>658</v>
      </c>
      <c r="C201" s="445" t="s">
        <v>832</v>
      </c>
      <c r="D201" s="474" t="s">
        <v>869</v>
      </c>
      <c r="E201" s="446" t="s">
        <v>871</v>
      </c>
      <c r="F201" s="553"/>
      <c r="G201" s="447"/>
      <c r="I201" s="453"/>
    </row>
    <row r="202" spans="1:9" ht="15" hidden="1">
      <c r="A202" s="454" t="s">
        <v>872</v>
      </c>
      <c r="B202" s="445" t="s">
        <v>658</v>
      </c>
      <c r="C202" s="445" t="s">
        <v>832</v>
      </c>
      <c r="D202" s="474" t="s">
        <v>873</v>
      </c>
      <c r="E202" s="446"/>
      <c r="F202" s="553">
        <f>F203</f>
        <v>0</v>
      </c>
      <c r="G202" s="447">
        <f>G203</f>
        <v>0</v>
      </c>
      <c r="I202" s="453"/>
    </row>
    <row r="203" spans="1:9" ht="26.25" hidden="1">
      <c r="A203" s="491" t="s">
        <v>870</v>
      </c>
      <c r="B203" s="445" t="s">
        <v>658</v>
      </c>
      <c r="C203" s="445" t="s">
        <v>832</v>
      </c>
      <c r="D203" s="474" t="s">
        <v>873</v>
      </c>
      <c r="E203" s="446" t="s">
        <v>871</v>
      </c>
      <c r="F203" s="553"/>
      <c r="G203" s="447"/>
      <c r="I203" s="453"/>
    </row>
    <row r="204" spans="1:9" ht="21" customHeight="1">
      <c r="A204" s="451" t="s">
        <v>891</v>
      </c>
      <c r="B204" s="445" t="s">
        <v>658</v>
      </c>
      <c r="C204" s="445" t="s">
        <v>892</v>
      </c>
      <c r="D204" s="445"/>
      <c r="E204" s="446"/>
      <c r="F204" s="553">
        <f>F205+F217+F226+F212</f>
        <v>563000</v>
      </c>
      <c r="G204" s="447">
        <f>G205+G217+G226+G212</f>
        <v>563000</v>
      </c>
      <c r="I204" s="453"/>
    </row>
    <row r="205" spans="1:9" ht="45" customHeight="1">
      <c r="A205" s="508" t="s">
        <v>893</v>
      </c>
      <c r="B205" s="445" t="s">
        <v>658</v>
      </c>
      <c r="C205" s="445" t="s">
        <v>892</v>
      </c>
      <c r="D205" s="445" t="s">
        <v>894</v>
      </c>
      <c r="E205" s="446"/>
      <c r="F205" s="553">
        <f>F206</f>
        <v>200000</v>
      </c>
      <c r="G205" s="447">
        <f>G206</f>
        <v>200000</v>
      </c>
      <c r="I205" s="453"/>
    </row>
    <row r="206" spans="1:9" s="461" customFormat="1" ht="56.25" customHeight="1">
      <c r="A206" s="569" t="s">
        <v>895</v>
      </c>
      <c r="B206" s="445" t="s">
        <v>658</v>
      </c>
      <c r="C206" s="445" t="s">
        <v>892</v>
      </c>
      <c r="D206" s="445" t="s">
        <v>896</v>
      </c>
      <c r="E206" s="446"/>
      <c r="F206" s="553">
        <f>F207</f>
        <v>200000</v>
      </c>
      <c r="G206" s="447">
        <f>G207</f>
        <v>200000</v>
      </c>
      <c r="I206" s="498"/>
    </row>
    <row r="207" spans="1:7" ht="29.25" customHeight="1">
      <c r="A207" s="466" t="s">
        <v>897</v>
      </c>
      <c r="B207" s="445" t="s">
        <v>658</v>
      </c>
      <c r="C207" s="445" t="s">
        <v>892</v>
      </c>
      <c r="D207" s="445" t="s">
        <v>898</v>
      </c>
      <c r="E207" s="446"/>
      <c r="F207" s="553">
        <f>F208+F210</f>
        <v>200000</v>
      </c>
      <c r="G207" s="447">
        <f>G208+G210</f>
        <v>200000</v>
      </c>
    </row>
    <row r="208" spans="1:7" ht="48" customHeight="1" hidden="1">
      <c r="A208" s="452" t="s">
        <v>899</v>
      </c>
      <c r="B208" s="445" t="s">
        <v>658</v>
      </c>
      <c r="C208" s="445" t="s">
        <v>892</v>
      </c>
      <c r="D208" s="445" t="s">
        <v>900</v>
      </c>
      <c r="E208" s="446"/>
      <c r="F208" s="553">
        <f>F209</f>
        <v>0</v>
      </c>
      <c r="G208" s="447">
        <f>G209</f>
        <v>0</v>
      </c>
    </row>
    <row r="209" spans="1:7" ht="48" customHeight="1" hidden="1">
      <c r="A209" s="454" t="s">
        <v>654</v>
      </c>
      <c r="B209" s="445" t="s">
        <v>658</v>
      </c>
      <c r="C209" s="445" t="s">
        <v>892</v>
      </c>
      <c r="D209" s="445" t="s">
        <v>900</v>
      </c>
      <c r="E209" s="446" t="s">
        <v>655</v>
      </c>
      <c r="F209" s="553"/>
      <c r="G209" s="447"/>
    </row>
    <row r="210" spans="1:7" ht="15">
      <c r="A210" s="452" t="s">
        <v>901</v>
      </c>
      <c r="B210" s="445" t="s">
        <v>658</v>
      </c>
      <c r="C210" s="445" t="s">
        <v>892</v>
      </c>
      <c r="D210" s="445" t="s">
        <v>902</v>
      </c>
      <c r="E210" s="446"/>
      <c r="F210" s="553">
        <f>F211</f>
        <v>200000</v>
      </c>
      <c r="G210" s="447">
        <f>G211</f>
        <v>200000</v>
      </c>
    </row>
    <row r="211" spans="1:7" ht="26.25">
      <c r="A211" s="454" t="s">
        <v>654</v>
      </c>
      <c r="B211" s="445" t="s">
        <v>658</v>
      </c>
      <c r="C211" s="445" t="s">
        <v>892</v>
      </c>
      <c r="D211" s="445" t="s">
        <v>902</v>
      </c>
      <c r="E211" s="446" t="s">
        <v>655</v>
      </c>
      <c r="F211" s="553">
        <v>200000</v>
      </c>
      <c r="G211" s="447">
        <v>200000</v>
      </c>
    </row>
    <row r="212" spans="1:7" ht="48" customHeight="1" hidden="1">
      <c r="A212" s="570" t="s">
        <v>903</v>
      </c>
      <c r="B212" s="445" t="s">
        <v>658</v>
      </c>
      <c r="C212" s="445" t="s">
        <v>892</v>
      </c>
      <c r="D212" s="485" t="s">
        <v>904</v>
      </c>
      <c r="E212" s="446"/>
      <c r="F212" s="553">
        <f aca="true" t="shared" si="13" ref="F212:G215">F213</f>
        <v>0</v>
      </c>
      <c r="G212" s="447">
        <f t="shared" si="13"/>
        <v>0</v>
      </c>
    </row>
    <row r="213" spans="1:7" ht="48" customHeight="1" hidden="1">
      <c r="A213" s="491" t="s">
        <v>905</v>
      </c>
      <c r="B213" s="445" t="s">
        <v>658</v>
      </c>
      <c r="C213" s="445" t="s">
        <v>892</v>
      </c>
      <c r="D213" s="485" t="s">
        <v>906</v>
      </c>
      <c r="E213" s="446"/>
      <c r="F213" s="553">
        <f t="shared" si="13"/>
        <v>0</v>
      </c>
      <c r="G213" s="447">
        <f t="shared" si="13"/>
        <v>0</v>
      </c>
    </row>
    <row r="214" spans="1:7" ht="48" customHeight="1" hidden="1">
      <c r="A214" s="466" t="s">
        <v>907</v>
      </c>
      <c r="B214" s="445" t="s">
        <v>658</v>
      </c>
      <c r="C214" s="445" t="s">
        <v>892</v>
      </c>
      <c r="D214" s="500" t="s">
        <v>908</v>
      </c>
      <c r="E214" s="446"/>
      <c r="F214" s="553">
        <f t="shared" si="13"/>
        <v>0</v>
      </c>
      <c r="G214" s="447">
        <f t="shared" si="13"/>
        <v>0</v>
      </c>
    </row>
    <row r="215" spans="1:7" ht="48" customHeight="1" hidden="1">
      <c r="A215" s="444" t="s">
        <v>909</v>
      </c>
      <c r="B215" s="445" t="s">
        <v>658</v>
      </c>
      <c r="C215" s="445" t="s">
        <v>892</v>
      </c>
      <c r="D215" s="485" t="s">
        <v>910</v>
      </c>
      <c r="E215" s="446"/>
      <c r="F215" s="553">
        <f t="shared" si="13"/>
        <v>0</v>
      </c>
      <c r="G215" s="447">
        <f t="shared" si="13"/>
        <v>0</v>
      </c>
    </row>
    <row r="216" spans="1:7" ht="48" customHeight="1" hidden="1">
      <c r="A216" s="454" t="s">
        <v>704</v>
      </c>
      <c r="B216" s="445" t="s">
        <v>658</v>
      </c>
      <c r="C216" s="445" t="s">
        <v>892</v>
      </c>
      <c r="D216" s="485" t="s">
        <v>910</v>
      </c>
      <c r="E216" s="446" t="s">
        <v>655</v>
      </c>
      <c r="F216" s="553"/>
      <c r="G216" s="447"/>
    </row>
    <row r="217" spans="1:7" ht="54.75" customHeight="1">
      <c r="A217" s="508" t="s">
        <v>911</v>
      </c>
      <c r="B217" s="445" t="s">
        <v>658</v>
      </c>
      <c r="C217" s="445" t="s">
        <v>892</v>
      </c>
      <c r="D217" s="485" t="s">
        <v>912</v>
      </c>
      <c r="E217" s="446"/>
      <c r="F217" s="553">
        <f>F218</f>
        <v>330000</v>
      </c>
      <c r="G217" s="447">
        <f>G218</f>
        <v>330000</v>
      </c>
    </row>
    <row r="218" spans="1:7" s="461" customFormat="1" ht="66.75" customHeight="1">
      <c r="A218" s="490" t="s">
        <v>913</v>
      </c>
      <c r="B218" s="445" t="s">
        <v>658</v>
      </c>
      <c r="C218" s="445" t="s">
        <v>892</v>
      </c>
      <c r="D218" s="485" t="s">
        <v>914</v>
      </c>
      <c r="E218" s="446"/>
      <c r="F218" s="553">
        <f>F219</f>
        <v>330000</v>
      </c>
      <c r="G218" s="447">
        <f>G219</f>
        <v>330000</v>
      </c>
    </row>
    <row r="219" spans="1:7" ht="29.25" customHeight="1">
      <c r="A219" s="466" t="s">
        <v>915</v>
      </c>
      <c r="B219" s="445" t="s">
        <v>658</v>
      </c>
      <c r="C219" s="445" t="s">
        <v>892</v>
      </c>
      <c r="D219" s="470" t="s">
        <v>916</v>
      </c>
      <c r="E219" s="456"/>
      <c r="F219" s="553">
        <f>F224+F220+F222</f>
        <v>330000</v>
      </c>
      <c r="G219" s="447">
        <f>G224+G220+G222</f>
        <v>330000</v>
      </c>
    </row>
    <row r="220" spans="1:7" ht="48" customHeight="1" hidden="1">
      <c r="A220" s="466" t="s">
        <v>917</v>
      </c>
      <c r="B220" s="445" t="s">
        <v>658</v>
      </c>
      <c r="C220" s="445" t="s">
        <v>892</v>
      </c>
      <c r="D220" s="470" t="s">
        <v>918</v>
      </c>
      <c r="E220" s="456"/>
      <c r="F220" s="553">
        <f>F221</f>
        <v>0</v>
      </c>
      <c r="G220" s="447">
        <f>G221</f>
        <v>0</v>
      </c>
    </row>
    <row r="221" spans="1:7" ht="15" hidden="1">
      <c r="A221" s="502" t="s">
        <v>814</v>
      </c>
      <c r="B221" s="445" t="s">
        <v>658</v>
      </c>
      <c r="C221" s="445" t="s">
        <v>892</v>
      </c>
      <c r="D221" s="470" t="s">
        <v>918</v>
      </c>
      <c r="E221" s="456" t="s">
        <v>815</v>
      </c>
      <c r="F221" s="553"/>
      <c r="G221" s="447"/>
    </row>
    <row r="222" spans="1:7" ht="30" customHeight="1">
      <c r="A222" s="466" t="s">
        <v>919</v>
      </c>
      <c r="B222" s="445" t="s">
        <v>658</v>
      </c>
      <c r="C222" s="445" t="s">
        <v>892</v>
      </c>
      <c r="D222" s="470" t="s">
        <v>920</v>
      </c>
      <c r="E222" s="456"/>
      <c r="F222" s="553">
        <f>F223</f>
        <v>330000</v>
      </c>
      <c r="G222" s="447">
        <f>G223</f>
        <v>330000</v>
      </c>
    </row>
    <row r="223" spans="1:7" ht="17.25" customHeight="1">
      <c r="A223" s="502" t="s">
        <v>814</v>
      </c>
      <c r="B223" s="445" t="s">
        <v>658</v>
      </c>
      <c r="C223" s="445" t="s">
        <v>892</v>
      </c>
      <c r="D223" s="470" t="s">
        <v>920</v>
      </c>
      <c r="E223" s="456" t="s">
        <v>815</v>
      </c>
      <c r="F223" s="553">
        <f>877632-547632</f>
        <v>330000</v>
      </c>
      <c r="G223" s="447">
        <f>877632-547632</f>
        <v>330000</v>
      </c>
    </row>
    <row r="224" spans="1:7" ht="48" customHeight="1" hidden="1">
      <c r="A224" s="502" t="s">
        <v>921</v>
      </c>
      <c r="B224" s="445" t="s">
        <v>658</v>
      </c>
      <c r="C224" s="445" t="s">
        <v>892</v>
      </c>
      <c r="D224" s="470" t="s">
        <v>922</v>
      </c>
      <c r="E224" s="456"/>
      <c r="F224" s="553">
        <f>F225</f>
        <v>0</v>
      </c>
      <c r="G224" s="447">
        <f>G225</f>
        <v>0</v>
      </c>
    </row>
    <row r="225" spans="1:7" ht="48" customHeight="1" hidden="1">
      <c r="A225" s="502" t="s">
        <v>814</v>
      </c>
      <c r="B225" s="445" t="s">
        <v>658</v>
      </c>
      <c r="C225" s="445" t="s">
        <v>892</v>
      </c>
      <c r="D225" s="470" t="s">
        <v>922</v>
      </c>
      <c r="E225" s="456" t="s">
        <v>815</v>
      </c>
      <c r="F225" s="553">
        <f>400000-400000</f>
        <v>0</v>
      </c>
      <c r="G225" s="447">
        <f>400000-400000</f>
        <v>0</v>
      </c>
    </row>
    <row r="226" spans="1:7" ht="38.25">
      <c r="A226" s="490" t="s">
        <v>923</v>
      </c>
      <c r="B226" s="445" t="s">
        <v>658</v>
      </c>
      <c r="C226" s="445" t="s">
        <v>892</v>
      </c>
      <c r="D226" s="445" t="s">
        <v>924</v>
      </c>
      <c r="E226" s="456"/>
      <c r="F226" s="553">
        <f>F227+F231</f>
        <v>33000</v>
      </c>
      <c r="G226" s="447">
        <f>G227+G231</f>
        <v>33000</v>
      </c>
    </row>
    <row r="227" spans="1:7" s="461" customFormat="1" ht="63.75">
      <c r="A227" s="569" t="s">
        <v>925</v>
      </c>
      <c r="B227" s="445" t="s">
        <v>658</v>
      </c>
      <c r="C227" s="445" t="s">
        <v>892</v>
      </c>
      <c r="D227" s="445" t="s">
        <v>926</v>
      </c>
      <c r="E227" s="456"/>
      <c r="F227" s="553">
        <f aca="true" t="shared" si="14" ref="F227:G229">F228</f>
        <v>28000</v>
      </c>
      <c r="G227" s="447">
        <f t="shared" si="14"/>
        <v>28000</v>
      </c>
    </row>
    <row r="228" spans="1:7" ht="38.25">
      <c r="A228" s="569" t="s">
        <v>927</v>
      </c>
      <c r="B228" s="445" t="s">
        <v>658</v>
      </c>
      <c r="C228" s="445" t="s">
        <v>892</v>
      </c>
      <c r="D228" s="445" t="s">
        <v>928</v>
      </c>
      <c r="E228" s="456"/>
      <c r="F228" s="553">
        <f t="shared" si="14"/>
        <v>28000</v>
      </c>
      <c r="G228" s="447">
        <f t="shared" si="14"/>
        <v>28000</v>
      </c>
    </row>
    <row r="229" spans="1:7" ht="26.25">
      <c r="A229" s="452" t="s">
        <v>929</v>
      </c>
      <c r="B229" s="445" t="s">
        <v>658</v>
      </c>
      <c r="C229" s="445" t="s">
        <v>892</v>
      </c>
      <c r="D229" s="445" t="s">
        <v>930</v>
      </c>
      <c r="E229" s="456"/>
      <c r="F229" s="553">
        <f t="shared" si="14"/>
        <v>28000</v>
      </c>
      <c r="G229" s="447">
        <f t="shared" si="14"/>
        <v>28000</v>
      </c>
    </row>
    <row r="230" spans="1:7" ht="26.25">
      <c r="A230" s="454" t="s">
        <v>654</v>
      </c>
      <c r="B230" s="445" t="s">
        <v>658</v>
      </c>
      <c r="C230" s="445" t="s">
        <v>892</v>
      </c>
      <c r="D230" s="445" t="s">
        <v>930</v>
      </c>
      <c r="E230" s="456" t="s">
        <v>655</v>
      </c>
      <c r="F230" s="553">
        <v>28000</v>
      </c>
      <c r="G230" s="447">
        <v>28000</v>
      </c>
    </row>
    <row r="231" spans="1:7" ht="69.75" customHeight="1">
      <c r="A231" s="465" t="s">
        <v>931</v>
      </c>
      <c r="B231" s="445" t="s">
        <v>658</v>
      </c>
      <c r="C231" s="445" t="s">
        <v>892</v>
      </c>
      <c r="D231" s="445" t="s">
        <v>932</v>
      </c>
      <c r="E231" s="456"/>
      <c r="F231" s="553">
        <f aca="true" t="shared" si="15" ref="F231:G233">F232</f>
        <v>5000</v>
      </c>
      <c r="G231" s="447">
        <f t="shared" si="15"/>
        <v>5000</v>
      </c>
    </row>
    <row r="232" spans="1:7" ht="45.75" customHeight="1">
      <c r="A232" s="569" t="s">
        <v>933</v>
      </c>
      <c r="B232" s="445" t="s">
        <v>658</v>
      </c>
      <c r="C232" s="445" t="s">
        <v>892</v>
      </c>
      <c r="D232" s="445" t="s">
        <v>934</v>
      </c>
      <c r="E232" s="456"/>
      <c r="F232" s="553">
        <f t="shared" si="15"/>
        <v>5000</v>
      </c>
      <c r="G232" s="447">
        <f t="shared" si="15"/>
        <v>5000</v>
      </c>
    </row>
    <row r="233" spans="1:7" ht="26.25">
      <c r="A233" s="454" t="s">
        <v>935</v>
      </c>
      <c r="B233" s="445" t="s">
        <v>658</v>
      </c>
      <c r="C233" s="445" t="s">
        <v>892</v>
      </c>
      <c r="D233" s="445" t="s">
        <v>936</v>
      </c>
      <c r="E233" s="456"/>
      <c r="F233" s="553">
        <f t="shared" si="15"/>
        <v>5000</v>
      </c>
      <c r="G233" s="447">
        <f t="shared" si="15"/>
        <v>5000</v>
      </c>
    </row>
    <row r="234" spans="1:7" ht="26.25">
      <c r="A234" s="454" t="s">
        <v>654</v>
      </c>
      <c r="B234" s="445" t="s">
        <v>658</v>
      </c>
      <c r="C234" s="445" t="s">
        <v>892</v>
      </c>
      <c r="D234" s="445" t="s">
        <v>936</v>
      </c>
      <c r="E234" s="456" t="s">
        <v>655</v>
      </c>
      <c r="F234" s="553">
        <v>5000</v>
      </c>
      <c r="G234" s="447">
        <v>5000</v>
      </c>
    </row>
    <row r="235" spans="1:7" ht="15">
      <c r="A235" s="454" t="s">
        <v>937</v>
      </c>
      <c r="B235" s="445" t="s">
        <v>710</v>
      </c>
      <c r="C235" s="445"/>
      <c r="D235" s="445"/>
      <c r="E235" s="456"/>
      <c r="F235" s="553">
        <f>F245+F236</f>
        <v>2000000</v>
      </c>
      <c r="G235" s="447">
        <f>G245+G236</f>
        <v>2000000</v>
      </c>
    </row>
    <row r="236" spans="1:7" ht="48" customHeight="1" hidden="1">
      <c r="A236" s="454" t="s">
        <v>938</v>
      </c>
      <c r="B236" s="445" t="s">
        <v>710</v>
      </c>
      <c r="C236" s="445" t="s">
        <v>633</v>
      </c>
      <c r="D236" s="445"/>
      <c r="E236" s="456"/>
      <c r="F236" s="553">
        <f aca="true" t="shared" si="16" ref="F236:G238">F237</f>
        <v>0</v>
      </c>
      <c r="G236" s="447">
        <f t="shared" si="16"/>
        <v>0</v>
      </c>
    </row>
    <row r="237" spans="1:7" ht="48" customHeight="1" hidden="1">
      <c r="A237" s="454" t="s">
        <v>939</v>
      </c>
      <c r="B237" s="445" t="s">
        <v>710</v>
      </c>
      <c r="C237" s="445" t="s">
        <v>633</v>
      </c>
      <c r="D237" s="445" t="s">
        <v>912</v>
      </c>
      <c r="E237" s="456"/>
      <c r="F237" s="553">
        <f t="shared" si="16"/>
        <v>0</v>
      </c>
      <c r="G237" s="447">
        <f t="shared" si="16"/>
        <v>0</v>
      </c>
    </row>
    <row r="238" spans="1:7" ht="48" customHeight="1" hidden="1">
      <c r="A238" s="454" t="s">
        <v>940</v>
      </c>
      <c r="B238" s="445" t="s">
        <v>710</v>
      </c>
      <c r="C238" s="445" t="s">
        <v>633</v>
      </c>
      <c r="D238" s="445" t="s">
        <v>914</v>
      </c>
      <c r="E238" s="456"/>
      <c r="F238" s="553">
        <f t="shared" si="16"/>
        <v>0</v>
      </c>
      <c r="G238" s="447">
        <f t="shared" si="16"/>
        <v>0</v>
      </c>
    </row>
    <row r="239" spans="1:7" ht="48" customHeight="1" hidden="1">
      <c r="A239" s="454" t="s">
        <v>941</v>
      </c>
      <c r="B239" s="445" t="s">
        <v>710</v>
      </c>
      <c r="C239" s="445" t="s">
        <v>633</v>
      </c>
      <c r="D239" s="445" t="s">
        <v>942</v>
      </c>
      <c r="E239" s="456"/>
      <c r="F239" s="553">
        <f>F240+F242</f>
        <v>0</v>
      </c>
      <c r="G239" s="447">
        <f>G240+G242</f>
        <v>0</v>
      </c>
    </row>
    <row r="240" spans="1:7" ht="48" customHeight="1" hidden="1">
      <c r="A240" s="454" t="s">
        <v>943</v>
      </c>
      <c r="B240" s="445" t="s">
        <v>710</v>
      </c>
      <c r="C240" s="445" t="s">
        <v>633</v>
      </c>
      <c r="D240" s="445" t="s">
        <v>944</v>
      </c>
      <c r="E240" s="456"/>
      <c r="F240" s="553">
        <f>F241</f>
        <v>0</v>
      </c>
      <c r="G240" s="447">
        <f>G241</f>
        <v>0</v>
      </c>
    </row>
    <row r="241" spans="1:7" ht="48" customHeight="1" hidden="1">
      <c r="A241" s="502" t="s">
        <v>814</v>
      </c>
      <c r="B241" s="445" t="s">
        <v>710</v>
      </c>
      <c r="C241" s="445" t="s">
        <v>633</v>
      </c>
      <c r="D241" s="445" t="s">
        <v>944</v>
      </c>
      <c r="E241" s="456" t="s">
        <v>815</v>
      </c>
      <c r="F241" s="553"/>
      <c r="G241" s="447"/>
    </row>
    <row r="242" spans="1:7" ht="48" customHeight="1" hidden="1">
      <c r="A242" s="502" t="s">
        <v>945</v>
      </c>
      <c r="B242" s="445" t="s">
        <v>710</v>
      </c>
      <c r="C242" s="445" t="s">
        <v>633</v>
      </c>
      <c r="D242" s="445" t="s">
        <v>946</v>
      </c>
      <c r="E242" s="456"/>
      <c r="F242" s="553">
        <f>F244+F243</f>
        <v>0</v>
      </c>
      <c r="G242" s="447">
        <f>G244+G243</f>
        <v>0</v>
      </c>
    </row>
    <row r="243" spans="1:7" ht="48" customHeight="1" hidden="1">
      <c r="A243" s="454" t="s">
        <v>654</v>
      </c>
      <c r="B243" s="445" t="s">
        <v>710</v>
      </c>
      <c r="C243" s="445" t="s">
        <v>633</v>
      </c>
      <c r="D243" s="445" t="s">
        <v>946</v>
      </c>
      <c r="E243" s="456" t="s">
        <v>655</v>
      </c>
      <c r="F243" s="553"/>
      <c r="G243" s="447"/>
    </row>
    <row r="244" spans="1:7" ht="48" customHeight="1" hidden="1">
      <c r="A244" s="502" t="s">
        <v>870</v>
      </c>
      <c r="B244" s="445" t="s">
        <v>710</v>
      </c>
      <c r="C244" s="445" t="s">
        <v>633</v>
      </c>
      <c r="D244" s="445" t="s">
        <v>946</v>
      </c>
      <c r="E244" s="456" t="s">
        <v>871</v>
      </c>
      <c r="F244" s="553"/>
      <c r="G244" s="447"/>
    </row>
    <row r="245" spans="1:7" ht="23.25" customHeight="1">
      <c r="A245" s="454" t="s">
        <v>947</v>
      </c>
      <c r="B245" s="445" t="s">
        <v>710</v>
      </c>
      <c r="C245" s="445" t="s">
        <v>635</v>
      </c>
      <c r="D245" s="445"/>
      <c r="E245" s="456"/>
      <c r="F245" s="553">
        <f>F246+F257+F267</f>
        <v>2000000</v>
      </c>
      <c r="G245" s="447">
        <f>G246+G257+G267</f>
        <v>2000000</v>
      </c>
    </row>
    <row r="246" spans="1:7" ht="48" customHeight="1" hidden="1">
      <c r="A246" s="444" t="s">
        <v>1322</v>
      </c>
      <c r="B246" s="445" t="s">
        <v>710</v>
      </c>
      <c r="C246" s="445" t="s">
        <v>635</v>
      </c>
      <c r="D246" s="474" t="s">
        <v>949</v>
      </c>
      <c r="E246" s="456"/>
      <c r="F246" s="589">
        <f>F247</f>
        <v>500000</v>
      </c>
      <c r="G246" s="589">
        <f>G247</f>
        <v>500000</v>
      </c>
    </row>
    <row r="247" spans="1:7" s="461" customFormat="1" ht="48" customHeight="1" hidden="1">
      <c r="A247" s="572" t="s">
        <v>1323</v>
      </c>
      <c r="B247" s="445" t="s">
        <v>710</v>
      </c>
      <c r="C247" s="445" t="s">
        <v>635</v>
      </c>
      <c r="D247" s="474" t="s">
        <v>951</v>
      </c>
      <c r="E247" s="456"/>
      <c r="F247" s="447">
        <f>F248</f>
        <v>500000</v>
      </c>
      <c r="G247" s="447">
        <f>G248</f>
        <v>500000</v>
      </c>
    </row>
    <row r="248" spans="1:7" ht="48" customHeight="1" hidden="1">
      <c r="A248" s="466" t="s">
        <v>952</v>
      </c>
      <c r="B248" s="445" t="s">
        <v>710</v>
      </c>
      <c r="C248" s="445" t="s">
        <v>635</v>
      </c>
      <c r="D248" s="474" t="s">
        <v>951</v>
      </c>
      <c r="E248" s="456"/>
      <c r="F248" s="691">
        <f>F249+F251+F253+F255</f>
        <v>500000</v>
      </c>
      <c r="G248" s="691">
        <f>G249+G251+G253+G255</f>
        <v>500000</v>
      </c>
    </row>
    <row r="249" spans="1:7" ht="39" hidden="1">
      <c r="A249" s="556" t="s">
        <v>1262</v>
      </c>
      <c r="B249" s="445" t="s">
        <v>710</v>
      </c>
      <c r="C249" s="445" t="s">
        <v>635</v>
      </c>
      <c r="D249" s="474" t="s">
        <v>1263</v>
      </c>
      <c r="E249" s="456"/>
      <c r="F249" s="553">
        <f>F250</f>
        <v>0</v>
      </c>
      <c r="G249" s="447">
        <f>G250</f>
        <v>0</v>
      </c>
    </row>
    <row r="250" spans="1:7" ht="15" hidden="1">
      <c r="A250" s="502" t="s">
        <v>814</v>
      </c>
      <c r="B250" s="445" t="s">
        <v>710</v>
      </c>
      <c r="C250" s="445" t="s">
        <v>635</v>
      </c>
      <c r="D250" s="474" t="s">
        <v>1263</v>
      </c>
      <c r="E250" s="456" t="s">
        <v>815</v>
      </c>
      <c r="F250" s="553"/>
      <c r="G250" s="447"/>
    </row>
    <row r="251" spans="1:7" ht="51.75" hidden="1">
      <c r="A251" s="556" t="s">
        <v>1264</v>
      </c>
      <c r="B251" s="445" t="s">
        <v>710</v>
      </c>
      <c r="C251" s="445" t="s">
        <v>635</v>
      </c>
      <c r="D251" s="474" t="s">
        <v>1265</v>
      </c>
      <c r="E251" s="456"/>
      <c r="F251" s="553">
        <f>F252</f>
        <v>0</v>
      </c>
      <c r="G251" s="447">
        <f>G252</f>
        <v>0</v>
      </c>
    </row>
    <row r="252" spans="1:7" ht="15" hidden="1">
      <c r="A252" s="502" t="s">
        <v>814</v>
      </c>
      <c r="B252" s="445" t="s">
        <v>710</v>
      </c>
      <c r="C252" s="445" t="s">
        <v>635</v>
      </c>
      <c r="D252" s="474" t="s">
        <v>1265</v>
      </c>
      <c r="E252" s="456" t="s">
        <v>815</v>
      </c>
      <c r="F252" s="553"/>
      <c r="G252" s="447"/>
    </row>
    <row r="253" spans="1:7" ht="25.5" hidden="1">
      <c r="A253" s="496" t="s">
        <v>953</v>
      </c>
      <c r="B253" s="445" t="s">
        <v>710</v>
      </c>
      <c r="C253" s="445" t="s">
        <v>635</v>
      </c>
      <c r="D253" s="474" t="s">
        <v>1266</v>
      </c>
      <c r="E253" s="456"/>
      <c r="F253" s="553">
        <f>F254</f>
        <v>0</v>
      </c>
      <c r="G253" s="447">
        <f>G254</f>
        <v>0</v>
      </c>
    </row>
    <row r="254" spans="1:7" ht="15" hidden="1">
      <c r="A254" s="502" t="s">
        <v>814</v>
      </c>
      <c r="B254" s="445" t="s">
        <v>710</v>
      </c>
      <c r="C254" s="445" t="s">
        <v>635</v>
      </c>
      <c r="D254" s="474" t="s">
        <v>1266</v>
      </c>
      <c r="E254" s="456" t="s">
        <v>815</v>
      </c>
      <c r="F254" s="553"/>
      <c r="G254" s="447"/>
    </row>
    <row r="255" spans="1:7" ht="38.25">
      <c r="A255" s="475" t="s">
        <v>955</v>
      </c>
      <c r="B255" s="445" t="s">
        <v>710</v>
      </c>
      <c r="C255" s="445" t="s">
        <v>635</v>
      </c>
      <c r="D255" s="474" t="s">
        <v>956</v>
      </c>
      <c r="E255" s="456"/>
      <c r="F255" s="553">
        <f>F256</f>
        <v>500000</v>
      </c>
      <c r="G255" s="447">
        <f>G256</f>
        <v>500000</v>
      </c>
    </row>
    <row r="256" spans="1:7" ht="15">
      <c r="A256" s="502" t="s">
        <v>814</v>
      </c>
      <c r="B256" s="445" t="s">
        <v>710</v>
      </c>
      <c r="C256" s="445" t="s">
        <v>635</v>
      </c>
      <c r="D256" s="474" t="s">
        <v>956</v>
      </c>
      <c r="E256" s="456" t="s">
        <v>815</v>
      </c>
      <c r="F256" s="553">
        <f>970000-470000</f>
        <v>500000</v>
      </c>
      <c r="G256" s="447">
        <f>970000-470000</f>
        <v>500000</v>
      </c>
    </row>
    <row r="257" spans="1:7" ht="51" customHeight="1">
      <c r="A257" s="572" t="s">
        <v>957</v>
      </c>
      <c r="B257" s="445" t="s">
        <v>710</v>
      </c>
      <c r="C257" s="445" t="s">
        <v>635</v>
      </c>
      <c r="D257" s="474" t="s">
        <v>912</v>
      </c>
      <c r="E257" s="456"/>
      <c r="F257" s="553">
        <f>F258</f>
        <v>500000</v>
      </c>
      <c r="G257" s="447">
        <f>G258</f>
        <v>500000</v>
      </c>
    </row>
    <row r="258" spans="1:7" s="461" customFormat="1" ht="77.25" customHeight="1">
      <c r="A258" s="502" t="s">
        <v>958</v>
      </c>
      <c r="B258" s="445" t="s">
        <v>710</v>
      </c>
      <c r="C258" s="445" t="s">
        <v>635</v>
      </c>
      <c r="D258" s="474" t="s">
        <v>959</v>
      </c>
      <c r="E258" s="456"/>
      <c r="F258" s="553">
        <f>F264+F259</f>
        <v>500000</v>
      </c>
      <c r="G258" s="447">
        <f>G264+G259</f>
        <v>500000</v>
      </c>
    </row>
    <row r="259" spans="1:7" s="461" customFormat="1" ht="48" customHeight="1" hidden="1">
      <c r="A259" s="466" t="s">
        <v>991</v>
      </c>
      <c r="B259" s="445" t="s">
        <v>710</v>
      </c>
      <c r="C259" s="445" t="s">
        <v>635</v>
      </c>
      <c r="D259" s="470" t="s">
        <v>992</v>
      </c>
      <c r="E259" s="456"/>
      <c r="F259" s="589">
        <f>F260+F262</f>
        <v>0</v>
      </c>
      <c r="G259" s="589">
        <f>G260+G262</f>
        <v>0</v>
      </c>
    </row>
    <row r="260" spans="1:7" s="461" customFormat="1" ht="48" customHeight="1" hidden="1">
      <c r="A260" s="496" t="s">
        <v>993</v>
      </c>
      <c r="B260" s="445" t="s">
        <v>710</v>
      </c>
      <c r="C260" s="445" t="s">
        <v>635</v>
      </c>
      <c r="D260" s="470" t="s">
        <v>994</v>
      </c>
      <c r="E260" s="456"/>
      <c r="F260" s="447">
        <f>F261</f>
        <v>0</v>
      </c>
      <c r="G260" s="447">
        <f>G261</f>
        <v>0</v>
      </c>
    </row>
    <row r="261" spans="1:7" s="461" customFormat="1" ht="48" customHeight="1" hidden="1">
      <c r="A261" s="502" t="s">
        <v>814</v>
      </c>
      <c r="B261" s="445" t="s">
        <v>710</v>
      </c>
      <c r="C261" s="445" t="s">
        <v>635</v>
      </c>
      <c r="D261" s="470" t="s">
        <v>994</v>
      </c>
      <c r="E261" s="456" t="s">
        <v>815</v>
      </c>
      <c r="F261" s="447"/>
      <c r="G261" s="447"/>
    </row>
    <row r="262" spans="1:7" s="461" customFormat="1" ht="48" customHeight="1" hidden="1">
      <c r="A262" s="496" t="s">
        <v>995</v>
      </c>
      <c r="B262" s="445" t="s">
        <v>710</v>
      </c>
      <c r="C262" s="445" t="s">
        <v>635</v>
      </c>
      <c r="D262" s="470" t="s">
        <v>996</v>
      </c>
      <c r="E262" s="456"/>
      <c r="F262" s="447">
        <f>F263</f>
        <v>0</v>
      </c>
      <c r="G262" s="447">
        <f>G263</f>
        <v>0</v>
      </c>
    </row>
    <row r="263" spans="1:7" s="461" customFormat="1" ht="48" customHeight="1" hidden="1">
      <c r="A263" s="502" t="s">
        <v>814</v>
      </c>
      <c r="B263" s="445" t="s">
        <v>710</v>
      </c>
      <c r="C263" s="445" t="s">
        <v>635</v>
      </c>
      <c r="D263" s="470" t="s">
        <v>996</v>
      </c>
      <c r="E263" s="456" t="s">
        <v>815</v>
      </c>
      <c r="F263" s="691"/>
      <c r="G263" s="691"/>
    </row>
    <row r="264" spans="1:7" ht="44.25" customHeight="1">
      <c r="A264" s="466" t="s">
        <v>960</v>
      </c>
      <c r="B264" s="445" t="s">
        <v>710</v>
      </c>
      <c r="C264" s="445" t="s">
        <v>635</v>
      </c>
      <c r="D264" s="470" t="s">
        <v>961</v>
      </c>
      <c r="E264" s="456"/>
      <c r="F264" s="553">
        <f>F265</f>
        <v>500000</v>
      </c>
      <c r="G264" s="447">
        <f>G265</f>
        <v>500000</v>
      </c>
    </row>
    <row r="265" spans="1:7" ht="39">
      <c r="A265" s="452" t="s">
        <v>962</v>
      </c>
      <c r="B265" s="445" t="s">
        <v>710</v>
      </c>
      <c r="C265" s="445" t="s">
        <v>635</v>
      </c>
      <c r="D265" s="470" t="s">
        <v>963</v>
      </c>
      <c r="E265" s="456"/>
      <c r="F265" s="553">
        <f>F266</f>
        <v>500000</v>
      </c>
      <c r="G265" s="447">
        <f>G266</f>
        <v>500000</v>
      </c>
    </row>
    <row r="266" spans="1:7" ht="18.75" customHeight="1">
      <c r="A266" s="502" t="s">
        <v>814</v>
      </c>
      <c r="B266" s="445" t="s">
        <v>710</v>
      </c>
      <c r="C266" s="445" t="s">
        <v>635</v>
      </c>
      <c r="D266" s="470" t="s">
        <v>963</v>
      </c>
      <c r="E266" s="456" t="s">
        <v>815</v>
      </c>
      <c r="F266" s="553">
        <v>500000</v>
      </c>
      <c r="G266" s="447">
        <v>500000</v>
      </c>
    </row>
    <row r="267" spans="1:7" ht="45" customHeight="1">
      <c r="A267" s="490" t="s">
        <v>884</v>
      </c>
      <c r="B267" s="445" t="s">
        <v>710</v>
      </c>
      <c r="C267" s="445" t="s">
        <v>635</v>
      </c>
      <c r="D267" s="474" t="s">
        <v>885</v>
      </c>
      <c r="E267" s="456"/>
      <c r="F267" s="553">
        <f>F268</f>
        <v>1000000</v>
      </c>
      <c r="G267" s="447">
        <f>G268</f>
        <v>1000000</v>
      </c>
    </row>
    <row r="268" spans="1:7" s="461" customFormat="1" ht="51">
      <c r="A268" s="490" t="s">
        <v>964</v>
      </c>
      <c r="B268" s="445" t="s">
        <v>710</v>
      </c>
      <c r="C268" s="445" t="s">
        <v>635</v>
      </c>
      <c r="D268" s="474" t="s">
        <v>887</v>
      </c>
      <c r="E268" s="456"/>
      <c r="F268" s="553">
        <f>F276+F269</f>
        <v>1000000</v>
      </c>
      <c r="G268" s="447">
        <f>G276+G269</f>
        <v>1000000</v>
      </c>
    </row>
    <row r="269" spans="1:7" s="461" customFormat="1" ht="48" customHeight="1" hidden="1">
      <c r="A269" s="496" t="s">
        <v>1267</v>
      </c>
      <c r="B269" s="445" t="s">
        <v>710</v>
      </c>
      <c r="C269" s="445" t="s">
        <v>635</v>
      </c>
      <c r="D269" s="474" t="s">
        <v>1268</v>
      </c>
      <c r="E269" s="456"/>
      <c r="F269" s="553">
        <f>F270+F272+F274</f>
        <v>0</v>
      </c>
      <c r="G269" s="447">
        <f>G270+G272+G274</f>
        <v>0</v>
      </c>
    </row>
    <row r="270" spans="1:7" s="461" customFormat="1" ht="48" customHeight="1" hidden="1">
      <c r="A270" s="496" t="s">
        <v>1269</v>
      </c>
      <c r="B270" s="445" t="s">
        <v>710</v>
      </c>
      <c r="C270" s="445" t="s">
        <v>635</v>
      </c>
      <c r="D270" s="445" t="s">
        <v>1270</v>
      </c>
      <c r="E270" s="456"/>
      <c r="F270" s="553">
        <f>F271</f>
        <v>0</v>
      </c>
      <c r="G270" s="447">
        <f>G271</f>
        <v>0</v>
      </c>
    </row>
    <row r="271" spans="1:7" s="461" customFormat="1" ht="48" customHeight="1" hidden="1">
      <c r="A271" s="502" t="s">
        <v>814</v>
      </c>
      <c r="B271" s="445" t="s">
        <v>710</v>
      </c>
      <c r="C271" s="445" t="s">
        <v>635</v>
      </c>
      <c r="D271" s="445" t="s">
        <v>1270</v>
      </c>
      <c r="E271" s="456" t="s">
        <v>815</v>
      </c>
      <c r="F271" s="553"/>
      <c r="G271" s="447"/>
    </row>
    <row r="272" spans="1:7" s="461" customFormat="1" ht="48" customHeight="1" hidden="1">
      <c r="A272" s="496" t="s">
        <v>1271</v>
      </c>
      <c r="B272" s="445" t="s">
        <v>710</v>
      </c>
      <c r="C272" s="445" t="s">
        <v>635</v>
      </c>
      <c r="D272" s="445" t="s">
        <v>1272</v>
      </c>
      <c r="E272" s="456"/>
      <c r="F272" s="553">
        <f>F273</f>
        <v>0</v>
      </c>
      <c r="G272" s="447">
        <f>G273</f>
        <v>0</v>
      </c>
    </row>
    <row r="273" spans="1:7" s="461" customFormat="1" ht="48" customHeight="1" hidden="1">
      <c r="A273" s="502" t="s">
        <v>814</v>
      </c>
      <c r="B273" s="445" t="s">
        <v>710</v>
      </c>
      <c r="C273" s="445" t="s">
        <v>635</v>
      </c>
      <c r="D273" s="445" t="s">
        <v>1272</v>
      </c>
      <c r="E273" s="456" t="s">
        <v>815</v>
      </c>
      <c r="F273" s="553"/>
      <c r="G273" s="447"/>
    </row>
    <row r="274" spans="1:7" s="461" customFormat="1" ht="48" customHeight="1" hidden="1">
      <c r="A274" s="496" t="s">
        <v>1273</v>
      </c>
      <c r="B274" s="445" t="s">
        <v>710</v>
      </c>
      <c r="C274" s="445" t="s">
        <v>635</v>
      </c>
      <c r="D274" s="445" t="s">
        <v>1274</v>
      </c>
      <c r="E274" s="456"/>
      <c r="F274" s="553">
        <f>F275</f>
        <v>0</v>
      </c>
      <c r="G274" s="447">
        <f>G275</f>
        <v>0</v>
      </c>
    </row>
    <row r="275" spans="1:7" s="461" customFormat="1" ht="48" customHeight="1" hidden="1">
      <c r="A275" s="502" t="s">
        <v>814</v>
      </c>
      <c r="B275" s="445" t="s">
        <v>710</v>
      </c>
      <c r="C275" s="445" t="s">
        <v>635</v>
      </c>
      <c r="D275" s="445" t="s">
        <v>1274</v>
      </c>
      <c r="E275" s="456" t="s">
        <v>815</v>
      </c>
      <c r="F275" s="553"/>
      <c r="G275" s="447"/>
    </row>
    <row r="276" spans="1:7" ht="18.75" customHeight="1">
      <c r="A276" s="504" t="s">
        <v>965</v>
      </c>
      <c r="B276" s="445" t="s">
        <v>710</v>
      </c>
      <c r="C276" s="445" t="s">
        <v>635</v>
      </c>
      <c r="D276" s="474" t="s">
        <v>966</v>
      </c>
      <c r="E276" s="456"/>
      <c r="F276" s="553">
        <f>F281+F279+F277+F283</f>
        <v>1000000</v>
      </c>
      <c r="G276" s="447">
        <f>G281+G279+G277+G283</f>
        <v>1000000</v>
      </c>
    </row>
    <row r="277" spans="1:7" ht="48" customHeight="1" hidden="1">
      <c r="A277" s="556" t="s">
        <v>1269</v>
      </c>
      <c r="B277" s="445" t="s">
        <v>710</v>
      </c>
      <c r="C277" s="445" t="s">
        <v>635</v>
      </c>
      <c r="D277" s="474" t="s">
        <v>1275</v>
      </c>
      <c r="E277" s="456"/>
      <c r="F277" s="553">
        <f>F278</f>
        <v>0</v>
      </c>
      <c r="G277" s="447">
        <f>G278</f>
        <v>0</v>
      </c>
    </row>
    <row r="278" spans="1:7" ht="48" customHeight="1" hidden="1">
      <c r="A278" s="502" t="s">
        <v>814</v>
      </c>
      <c r="B278" s="445" t="s">
        <v>710</v>
      </c>
      <c r="C278" s="445" t="s">
        <v>635</v>
      </c>
      <c r="D278" s="474" t="s">
        <v>1275</v>
      </c>
      <c r="E278" s="456" t="s">
        <v>815</v>
      </c>
      <c r="F278" s="553"/>
      <c r="G278" s="447"/>
    </row>
    <row r="279" spans="1:7" ht="48" customHeight="1" hidden="1">
      <c r="A279" s="496" t="s">
        <v>973</v>
      </c>
      <c r="B279" s="445" t="s">
        <v>710</v>
      </c>
      <c r="C279" s="445" t="s">
        <v>635</v>
      </c>
      <c r="D279" s="474" t="s">
        <v>1276</v>
      </c>
      <c r="E279" s="456"/>
      <c r="F279" s="553">
        <f>F280</f>
        <v>0</v>
      </c>
      <c r="G279" s="447">
        <f>G280</f>
        <v>0</v>
      </c>
    </row>
    <row r="280" spans="1:7" ht="48" customHeight="1" hidden="1">
      <c r="A280" s="502" t="s">
        <v>814</v>
      </c>
      <c r="B280" s="445" t="s">
        <v>710</v>
      </c>
      <c r="C280" s="445" t="s">
        <v>635</v>
      </c>
      <c r="D280" s="474" t="s">
        <v>1276</v>
      </c>
      <c r="E280" s="456" t="s">
        <v>815</v>
      </c>
      <c r="F280" s="553"/>
      <c r="G280" s="447"/>
    </row>
    <row r="281" spans="1:7" ht="36" customHeight="1">
      <c r="A281" s="475" t="s">
        <v>967</v>
      </c>
      <c r="B281" s="445" t="s">
        <v>710</v>
      </c>
      <c r="C281" s="445" t="s">
        <v>635</v>
      </c>
      <c r="D281" s="474" t="s">
        <v>968</v>
      </c>
      <c r="E281" s="456"/>
      <c r="F281" s="553">
        <f>F282</f>
        <v>1000000</v>
      </c>
      <c r="G281" s="447">
        <f>G282</f>
        <v>1000000</v>
      </c>
    </row>
    <row r="282" spans="1:7" ht="15">
      <c r="A282" s="502" t="s">
        <v>814</v>
      </c>
      <c r="B282" s="445" t="s">
        <v>710</v>
      </c>
      <c r="C282" s="445" t="s">
        <v>635</v>
      </c>
      <c r="D282" s="474" t="s">
        <v>968</v>
      </c>
      <c r="E282" s="456" t="s">
        <v>815</v>
      </c>
      <c r="F282" s="553">
        <f>1615000-615000</f>
        <v>1000000</v>
      </c>
      <c r="G282" s="447">
        <f>1615000-615000</f>
        <v>1000000</v>
      </c>
    </row>
    <row r="283" spans="1:7" ht="39" hidden="1">
      <c r="A283" s="452" t="s">
        <v>962</v>
      </c>
      <c r="B283" s="445" t="s">
        <v>710</v>
      </c>
      <c r="C283" s="445" t="s">
        <v>635</v>
      </c>
      <c r="D283" s="474" t="s">
        <v>975</v>
      </c>
      <c r="E283" s="456"/>
      <c r="F283" s="553">
        <f>F284</f>
        <v>0</v>
      </c>
      <c r="G283" s="447">
        <f>G284</f>
        <v>0</v>
      </c>
    </row>
    <row r="284" spans="1:7" ht="15" hidden="1">
      <c r="A284" s="502" t="s">
        <v>814</v>
      </c>
      <c r="B284" s="445" t="s">
        <v>710</v>
      </c>
      <c r="C284" s="445" t="s">
        <v>635</v>
      </c>
      <c r="D284" s="474" t="s">
        <v>975</v>
      </c>
      <c r="E284" s="456" t="s">
        <v>815</v>
      </c>
      <c r="F284" s="553"/>
      <c r="G284" s="447"/>
    </row>
    <row r="285" spans="1:7" ht="19.5" customHeight="1">
      <c r="A285" s="451" t="s">
        <v>980</v>
      </c>
      <c r="B285" s="445" t="s">
        <v>721</v>
      </c>
      <c r="C285" s="445"/>
      <c r="D285" s="474"/>
      <c r="E285" s="481"/>
      <c r="F285" s="553">
        <f>F377+F286+F309+F400+F364</f>
        <v>313292531</v>
      </c>
      <c r="G285" s="447">
        <f>G377+G286+G309+G400+G364</f>
        <v>315813218</v>
      </c>
    </row>
    <row r="286" spans="1:7" ht="18.75" customHeight="1">
      <c r="A286" s="451" t="s">
        <v>981</v>
      </c>
      <c r="B286" s="445" t="s">
        <v>721</v>
      </c>
      <c r="C286" s="445" t="s">
        <v>633</v>
      </c>
      <c r="D286" s="474"/>
      <c r="E286" s="481"/>
      <c r="F286" s="553">
        <f>F287+F305</f>
        <v>74560259</v>
      </c>
      <c r="G286" s="447">
        <f>G287+G305</f>
        <v>73560259</v>
      </c>
    </row>
    <row r="287" spans="1:7" ht="30.75" customHeight="1">
      <c r="A287" s="451" t="s">
        <v>982</v>
      </c>
      <c r="B287" s="445" t="s">
        <v>721</v>
      </c>
      <c r="C287" s="445" t="s">
        <v>633</v>
      </c>
      <c r="D287" s="445" t="s">
        <v>983</v>
      </c>
      <c r="E287" s="446"/>
      <c r="F287" s="553">
        <f>F288</f>
        <v>74560259</v>
      </c>
      <c r="G287" s="447">
        <f>G288</f>
        <v>73560259</v>
      </c>
    </row>
    <row r="288" spans="1:7" s="461" customFormat="1" ht="41.25" customHeight="1">
      <c r="A288" s="509" t="s">
        <v>984</v>
      </c>
      <c r="B288" s="445" t="s">
        <v>721</v>
      </c>
      <c r="C288" s="445" t="s">
        <v>633</v>
      </c>
      <c r="D288" s="445" t="s">
        <v>985</v>
      </c>
      <c r="E288" s="446"/>
      <c r="F288" s="553">
        <f>F289</f>
        <v>74560259</v>
      </c>
      <c r="G288" s="447">
        <f>G289</f>
        <v>73560259</v>
      </c>
    </row>
    <row r="289" spans="1:7" ht="32.25" customHeight="1">
      <c r="A289" s="466" t="s">
        <v>986</v>
      </c>
      <c r="B289" s="445" t="s">
        <v>721</v>
      </c>
      <c r="C289" s="445" t="s">
        <v>633</v>
      </c>
      <c r="D289" s="445" t="s">
        <v>987</v>
      </c>
      <c r="E289" s="446"/>
      <c r="F289" s="553">
        <f>F290+F297+F299+F301+F295+F293</f>
        <v>74560259</v>
      </c>
      <c r="G289" s="447">
        <f>G290+G297+G299+G301+G295+G293</f>
        <v>73560259</v>
      </c>
    </row>
    <row r="290" spans="1:7" ht="67.5" customHeight="1">
      <c r="A290" s="556" t="s">
        <v>988</v>
      </c>
      <c r="B290" s="445" t="s">
        <v>721</v>
      </c>
      <c r="C290" s="445" t="s">
        <v>633</v>
      </c>
      <c r="D290" s="445" t="s">
        <v>989</v>
      </c>
      <c r="E290" s="446"/>
      <c r="F290" s="553">
        <f>F291+F292</f>
        <v>39608388</v>
      </c>
      <c r="G290" s="447">
        <f>G291+G292</f>
        <v>39608388</v>
      </c>
    </row>
    <row r="291" spans="1:7" ht="45" customHeight="1">
      <c r="A291" s="507" t="s">
        <v>642</v>
      </c>
      <c r="B291" s="445" t="s">
        <v>721</v>
      </c>
      <c r="C291" s="445" t="s">
        <v>633</v>
      </c>
      <c r="D291" s="445" t="s">
        <v>989</v>
      </c>
      <c r="E291" s="446" t="s">
        <v>643</v>
      </c>
      <c r="F291" s="553">
        <f>45470627-6371741</f>
        <v>39098886</v>
      </c>
      <c r="G291" s="447">
        <f>45470627-6371741</f>
        <v>39098886</v>
      </c>
    </row>
    <row r="292" spans="1:7" ht="32.25" customHeight="1">
      <c r="A292" s="454" t="s">
        <v>654</v>
      </c>
      <c r="B292" s="445" t="s">
        <v>721</v>
      </c>
      <c r="C292" s="445" t="s">
        <v>633</v>
      </c>
      <c r="D292" s="445" t="s">
        <v>989</v>
      </c>
      <c r="E292" s="446" t="s">
        <v>655</v>
      </c>
      <c r="F292" s="553">
        <v>509502</v>
      </c>
      <c r="G292" s="447">
        <v>509502</v>
      </c>
    </row>
    <row r="293" spans="1:7" ht="48" customHeight="1" hidden="1">
      <c r="A293" s="556" t="s">
        <v>1006</v>
      </c>
      <c r="B293" s="445" t="s">
        <v>721</v>
      </c>
      <c r="C293" s="445" t="s">
        <v>633</v>
      </c>
      <c r="D293" s="445" t="s">
        <v>1223</v>
      </c>
      <c r="E293" s="446"/>
      <c r="F293" s="553">
        <f>F294</f>
        <v>0</v>
      </c>
      <c r="G293" s="447">
        <f>G294</f>
        <v>0</v>
      </c>
    </row>
    <row r="294" spans="1:7" ht="48" customHeight="1" hidden="1">
      <c r="A294" s="454" t="s">
        <v>654</v>
      </c>
      <c r="B294" s="445" t="s">
        <v>721</v>
      </c>
      <c r="C294" s="445" t="s">
        <v>633</v>
      </c>
      <c r="D294" s="445" t="s">
        <v>1223</v>
      </c>
      <c r="E294" s="446" t="s">
        <v>655</v>
      </c>
      <c r="F294" s="553"/>
      <c r="G294" s="447"/>
    </row>
    <row r="295" spans="1:7" ht="48" customHeight="1" hidden="1">
      <c r="A295" s="556" t="s">
        <v>1008</v>
      </c>
      <c r="B295" s="445" t="s">
        <v>721</v>
      </c>
      <c r="C295" s="445" t="s">
        <v>633</v>
      </c>
      <c r="D295" s="445" t="s">
        <v>1224</v>
      </c>
      <c r="E295" s="446"/>
      <c r="F295" s="553">
        <f>F296</f>
        <v>0</v>
      </c>
      <c r="G295" s="447">
        <f>G296</f>
        <v>0</v>
      </c>
    </row>
    <row r="296" spans="1:7" ht="48" customHeight="1" hidden="1">
      <c r="A296" s="454" t="s">
        <v>654</v>
      </c>
      <c r="B296" s="445" t="s">
        <v>721</v>
      </c>
      <c r="C296" s="445" t="s">
        <v>633</v>
      </c>
      <c r="D296" s="445" t="s">
        <v>1224</v>
      </c>
      <c r="E296" s="446" t="s">
        <v>655</v>
      </c>
      <c r="F296" s="553">
        <f>175343-175343</f>
        <v>0</v>
      </c>
      <c r="G296" s="447">
        <f>175343-175343</f>
        <v>0</v>
      </c>
    </row>
    <row r="297" spans="1:7" ht="48" customHeight="1" hidden="1">
      <c r="A297" s="556" t="s">
        <v>1324</v>
      </c>
      <c r="B297" s="445" t="s">
        <v>721</v>
      </c>
      <c r="C297" s="445" t="s">
        <v>633</v>
      </c>
      <c r="D297" s="445" t="s">
        <v>1325</v>
      </c>
      <c r="E297" s="446"/>
      <c r="F297" s="553">
        <f>F298</f>
        <v>0</v>
      </c>
      <c r="G297" s="447">
        <f>G298</f>
        <v>0</v>
      </c>
    </row>
    <row r="298" spans="1:7" ht="48" customHeight="1" hidden="1">
      <c r="A298" s="454" t="s">
        <v>654</v>
      </c>
      <c r="B298" s="445" t="s">
        <v>721</v>
      </c>
      <c r="C298" s="445" t="s">
        <v>633</v>
      </c>
      <c r="D298" s="445" t="s">
        <v>1325</v>
      </c>
      <c r="E298" s="446" t="s">
        <v>655</v>
      </c>
      <c r="F298" s="553"/>
      <c r="G298" s="447"/>
    </row>
    <row r="299" spans="1:7" ht="48" customHeight="1" hidden="1">
      <c r="A299" s="496" t="s">
        <v>1326</v>
      </c>
      <c r="B299" s="445" t="s">
        <v>721</v>
      </c>
      <c r="C299" s="445" t="s">
        <v>633</v>
      </c>
      <c r="D299" s="445" t="s">
        <v>1226</v>
      </c>
      <c r="E299" s="446"/>
      <c r="F299" s="553">
        <f>F300</f>
        <v>0</v>
      </c>
      <c r="G299" s="447">
        <f>G300</f>
        <v>0</v>
      </c>
    </row>
    <row r="300" spans="1:7" ht="48" customHeight="1" hidden="1">
      <c r="A300" s="454" t="s">
        <v>654</v>
      </c>
      <c r="B300" s="445" t="s">
        <v>721</v>
      </c>
      <c r="C300" s="445" t="s">
        <v>633</v>
      </c>
      <c r="D300" s="445" t="s">
        <v>1226</v>
      </c>
      <c r="E300" s="446" t="s">
        <v>655</v>
      </c>
      <c r="F300" s="553"/>
      <c r="G300" s="447"/>
    </row>
    <row r="301" spans="1:7" ht="25.5" customHeight="1">
      <c r="A301" s="466" t="s">
        <v>816</v>
      </c>
      <c r="B301" s="445" t="s">
        <v>721</v>
      </c>
      <c r="C301" s="445" t="s">
        <v>633</v>
      </c>
      <c r="D301" s="445" t="s">
        <v>990</v>
      </c>
      <c r="E301" s="446"/>
      <c r="F301" s="553">
        <f>F302+F303+F304</f>
        <v>34951871</v>
      </c>
      <c r="G301" s="447">
        <f>G302+G303+G304</f>
        <v>33951871</v>
      </c>
    </row>
    <row r="302" spans="1:7" ht="40.5" customHeight="1">
      <c r="A302" s="454" t="s">
        <v>642</v>
      </c>
      <c r="B302" s="445" t="s">
        <v>721</v>
      </c>
      <c r="C302" s="445" t="s">
        <v>633</v>
      </c>
      <c r="D302" s="445" t="s">
        <v>990</v>
      </c>
      <c r="E302" s="446" t="s">
        <v>643</v>
      </c>
      <c r="F302" s="553">
        <v>18202400</v>
      </c>
      <c r="G302" s="447">
        <v>17202400</v>
      </c>
    </row>
    <row r="303" spans="1:7" ht="28.5" customHeight="1">
      <c r="A303" s="454" t="s">
        <v>654</v>
      </c>
      <c r="B303" s="445" t="s">
        <v>721</v>
      </c>
      <c r="C303" s="445" t="s">
        <v>633</v>
      </c>
      <c r="D303" s="445" t="s">
        <v>990</v>
      </c>
      <c r="E303" s="446" t="s">
        <v>655</v>
      </c>
      <c r="F303" s="553">
        <v>14825086</v>
      </c>
      <c r="G303" s="447">
        <v>14825086</v>
      </c>
    </row>
    <row r="304" spans="1:7" ht="19.5" customHeight="1">
      <c r="A304" s="466" t="s">
        <v>696</v>
      </c>
      <c r="B304" s="445" t="s">
        <v>721</v>
      </c>
      <c r="C304" s="445" t="s">
        <v>633</v>
      </c>
      <c r="D304" s="445" t="s">
        <v>990</v>
      </c>
      <c r="E304" s="446" t="s">
        <v>697</v>
      </c>
      <c r="F304" s="553">
        <v>1924385</v>
      </c>
      <c r="G304" s="447">
        <v>1924385</v>
      </c>
    </row>
    <row r="305" spans="1:7" ht="48" customHeight="1" hidden="1">
      <c r="A305" s="451" t="s">
        <v>698</v>
      </c>
      <c r="B305" s="485" t="s">
        <v>721</v>
      </c>
      <c r="C305" s="445" t="s">
        <v>633</v>
      </c>
      <c r="D305" s="470" t="s">
        <v>699</v>
      </c>
      <c r="E305" s="446"/>
      <c r="F305" s="553">
        <f aca="true" t="shared" si="17" ref="F305:G307">F306</f>
        <v>0</v>
      </c>
      <c r="G305" s="447">
        <f t="shared" si="17"/>
        <v>0</v>
      </c>
    </row>
    <row r="306" spans="1:7" ht="48" customHeight="1" hidden="1">
      <c r="A306" s="451" t="s">
        <v>705</v>
      </c>
      <c r="B306" s="445" t="s">
        <v>721</v>
      </c>
      <c r="C306" s="445" t="s">
        <v>633</v>
      </c>
      <c r="D306" s="445" t="s">
        <v>706</v>
      </c>
      <c r="E306" s="446"/>
      <c r="F306" s="553">
        <f t="shared" si="17"/>
        <v>0</v>
      </c>
      <c r="G306" s="447">
        <f t="shared" si="17"/>
        <v>0</v>
      </c>
    </row>
    <row r="307" spans="1:7" ht="48" customHeight="1" hidden="1">
      <c r="A307" s="466" t="s">
        <v>816</v>
      </c>
      <c r="B307" s="445" t="s">
        <v>721</v>
      </c>
      <c r="C307" s="445" t="s">
        <v>633</v>
      </c>
      <c r="D307" s="445" t="s">
        <v>817</v>
      </c>
      <c r="E307" s="446"/>
      <c r="F307" s="553">
        <f t="shared" si="17"/>
        <v>0</v>
      </c>
      <c r="G307" s="447">
        <f t="shared" si="17"/>
        <v>0</v>
      </c>
    </row>
    <row r="308" spans="1:7" ht="48" customHeight="1" hidden="1">
      <c r="A308" s="454" t="s">
        <v>654</v>
      </c>
      <c r="B308" s="445" t="s">
        <v>721</v>
      </c>
      <c r="C308" s="445" t="s">
        <v>633</v>
      </c>
      <c r="D308" s="445" t="s">
        <v>817</v>
      </c>
      <c r="E308" s="446" t="s">
        <v>655</v>
      </c>
      <c r="F308" s="553"/>
      <c r="G308" s="447"/>
    </row>
    <row r="309" spans="1:7" ht="18" customHeight="1">
      <c r="A309" s="451" t="s">
        <v>997</v>
      </c>
      <c r="B309" s="445" t="s">
        <v>721</v>
      </c>
      <c r="C309" s="445" t="s">
        <v>635</v>
      </c>
      <c r="D309" s="445"/>
      <c r="E309" s="446"/>
      <c r="F309" s="553">
        <f>F310+F351+F359+F344</f>
        <v>198835440</v>
      </c>
      <c r="G309" s="447">
        <f>G310+G351+G359+G344</f>
        <v>198835440</v>
      </c>
    </row>
    <row r="310" spans="1:7" ht="27" customHeight="1">
      <c r="A310" s="451" t="s">
        <v>982</v>
      </c>
      <c r="B310" s="445" t="s">
        <v>721</v>
      </c>
      <c r="C310" s="445" t="s">
        <v>635</v>
      </c>
      <c r="D310" s="445" t="s">
        <v>983</v>
      </c>
      <c r="E310" s="446"/>
      <c r="F310" s="553">
        <f>F311</f>
        <v>198657640</v>
      </c>
      <c r="G310" s="447">
        <f>G311</f>
        <v>198657640</v>
      </c>
    </row>
    <row r="311" spans="1:7" s="461" customFormat="1" ht="43.5" customHeight="1">
      <c r="A311" s="509" t="s">
        <v>984</v>
      </c>
      <c r="B311" s="445" t="s">
        <v>721</v>
      </c>
      <c r="C311" s="445" t="s">
        <v>635</v>
      </c>
      <c r="D311" s="445" t="s">
        <v>985</v>
      </c>
      <c r="E311" s="446"/>
      <c r="F311" s="553">
        <f>F312+F339</f>
        <v>198657640</v>
      </c>
      <c r="G311" s="447">
        <f>G312+G339</f>
        <v>198657640</v>
      </c>
    </row>
    <row r="312" spans="1:7" ht="32.25" customHeight="1">
      <c r="A312" s="466" t="s">
        <v>1002</v>
      </c>
      <c r="B312" s="445" t="s">
        <v>721</v>
      </c>
      <c r="C312" s="445" t="s">
        <v>635</v>
      </c>
      <c r="D312" s="445" t="s">
        <v>1003</v>
      </c>
      <c r="E312" s="446"/>
      <c r="F312" s="553">
        <f>F317+F324+F326+F328+F330+F332+F334+F337+F320+F322+F314+F316</f>
        <v>198657640</v>
      </c>
      <c r="G312" s="447">
        <f>G317+G324+G326+G328+G330+G332+G334+G337+G320+G322+G314+G316</f>
        <v>198657640</v>
      </c>
    </row>
    <row r="313" spans="1:7" ht="48" customHeight="1" hidden="1">
      <c r="A313" s="466" t="s">
        <v>1227</v>
      </c>
      <c r="B313" s="445" t="s">
        <v>721</v>
      </c>
      <c r="C313" s="445" t="s">
        <v>635</v>
      </c>
      <c r="D313" s="445" t="s">
        <v>1228</v>
      </c>
      <c r="E313" s="446"/>
      <c r="F313" s="553">
        <f>F314</f>
        <v>0</v>
      </c>
      <c r="G313" s="447">
        <f>G314</f>
        <v>0</v>
      </c>
    </row>
    <row r="314" spans="1:7" ht="48" customHeight="1" hidden="1">
      <c r="A314" s="454" t="s">
        <v>654</v>
      </c>
      <c r="B314" s="445" t="s">
        <v>721</v>
      </c>
      <c r="C314" s="445" t="s">
        <v>635</v>
      </c>
      <c r="D314" s="445" t="s">
        <v>1228</v>
      </c>
      <c r="E314" s="446" t="s">
        <v>655</v>
      </c>
      <c r="F314" s="553"/>
      <c r="G314" s="447"/>
    </row>
    <row r="315" spans="1:7" ht="48" customHeight="1" hidden="1">
      <c r="A315" s="496" t="s">
        <v>1000</v>
      </c>
      <c r="B315" s="445" t="s">
        <v>721</v>
      </c>
      <c r="C315" s="445" t="s">
        <v>635</v>
      </c>
      <c r="D315" s="445" t="s">
        <v>1229</v>
      </c>
      <c r="E315" s="446"/>
      <c r="F315" s="553">
        <f>F316</f>
        <v>0</v>
      </c>
      <c r="G315" s="447">
        <f>G316</f>
        <v>0</v>
      </c>
    </row>
    <row r="316" spans="1:7" ht="48" customHeight="1" hidden="1">
      <c r="A316" s="454" t="s">
        <v>654</v>
      </c>
      <c r="B316" s="445" t="s">
        <v>721</v>
      </c>
      <c r="C316" s="445" t="s">
        <v>635</v>
      </c>
      <c r="D316" s="445" t="s">
        <v>1229</v>
      </c>
      <c r="E316" s="446" t="s">
        <v>655</v>
      </c>
      <c r="F316" s="553"/>
      <c r="G316" s="447"/>
    </row>
    <row r="317" spans="1:7" ht="79.5" customHeight="1">
      <c r="A317" s="556" t="s">
        <v>1004</v>
      </c>
      <c r="B317" s="445" t="s">
        <v>721</v>
      </c>
      <c r="C317" s="445" t="s">
        <v>635</v>
      </c>
      <c r="D317" s="445" t="s">
        <v>1005</v>
      </c>
      <c r="E317" s="446"/>
      <c r="F317" s="553">
        <f>F318+F319</f>
        <v>169901716</v>
      </c>
      <c r="G317" s="447">
        <f>G318+G319</f>
        <v>169901716</v>
      </c>
    </row>
    <row r="318" spans="1:7" ht="43.5" customHeight="1">
      <c r="A318" s="454" t="s">
        <v>642</v>
      </c>
      <c r="B318" s="445" t="s">
        <v>721</v>
      </c>
      <c r="C318" s="445" t="s">
        <v>635</v>
      </c>
      <c r="D318" s="445" t="s">
        <v>1005</v>
      </c>
      <c r="E318" s="446" t="s">
        <v>643</v>
      </c>
      <c r="F318" s="553">
        <v>162981899</v>
      </c>
      <c r="G318" s="447">
        <v>162981899</v>
      </c>
    </row>
    <row r="319" spans="1:7" ht="24" customHeight="1">
      <c r="A319" s="454" t="s">
        <v>654</v>
      </c>
      <c r="B319" s="445" t="s">
        <v>721</v>
      </c>
      <c r="C319" s="445" t="s">
        <v>635</v>
      </c>
      <c r="D319" s="445" t="s">
        <v>1005</v>
      </c>
      <c r="E319" s="446" t="s">
        <v>655</v>
      </c>
      <c r="F319" s="553">
        <v>6919817</v>
      </c>
      <c r="G319" s="447">
        <v>6919817</v>
      </c>
    </row>
    <row r="320" spans="1:7" ht="48" customHeight="1" hidden="1">
      <c r="A320" s="556" t="s">
        <v>1006</v>
      </c>
      <c r="B320" s="445" t="s">
        <v>721</v>
      </c>
      <c r="C320" s="445" t="s">
        <v>635</v>
      </c>
      <c r="D320" s="445" t="s">
        <v>1007</v>
      </c>
      <c r="E320" s="446"/>
      <c r="F320" s="553">
        <f>F321</f>
        <v>0</v>
      </c>
      <c r="G320" s="447">
        <f>G321</f>
        <v>0</v>
      </c>
    </row>
    <row r="321" spans="1:7" ht="48" customHeight="1" hidden="1">
      <c r="A321" s="454" t="s">
        <v>654</v>
      </c>
      <c r="B321" s="445" t="s">
        <v>721</v>
      </c>
      <c r="C321" s="445" t="s">
        <v>635</v>
      </c>
      <c r="D321" s="445" t="s">
        <v>1007</v>
      </c>
      <c r="E321" s="446" t="s">
        <v>655</v>
      </c>
      <c r="F321" s="553"/>
      <c r="G321" s="447"/>
    </row>
    <row r="322" spans="1:7" ht="48" customHeight="1" hidden="1">
      <c r="A322" s="556" t="s">
        <v>1008</v>
      </c>
      <c r="B322" s="445" t="s">
        <v>721</v>
      </c>
      <c r="C322" s="445" t="s">
        <v>635</v>
      </c>
      <c r="D322" s="445" t="s">
        <v>1009</v>
      </c>
      <c r="E322" s="446"/>
      <c r="F322" s="553">
        <f>F323</f>
        <v>0</v>
      </c>
      <c r="G322" s="447">
        <f>G323</f>
        <v>0</v>
      </c>
    </row>
    <row r="323" spans="1:7" ht="48" customHeight="1" hidden="1">
      <c r="A323" s="454" t="s">
        <v>654</v>
      </c>
      <c r="B323" s="445" t="s">
        <v>721</v>
      </c>
      <c r="C323" s="445" t="s">
        <v>635</v>
      </c>
      <c r="D323" s="445" t="s">
        <v>1009</v>
      </c>
      <c r="E323" s="446" t="s">
        <v>655</v>
      </c>
      <c r="F323" s="553">
        <f>1526555.5-1526555.5</f>
        <v>0</v>
      </c>
      <c r="G323" s="447">
        <f>1526555.5-1526555.5</f>
        <v>0</v>
      </c>
    </row>
    <row r="324" spans="1:7" ht="48" customHeight="1" hidden="1">
      <c r="A324" s="556" t="s">
        <v>1010</v>
      </c>
      <c r="B324" s="445" t="s">
        <v>721</v>
      </c>
      <c r="C324" s="445" t="s">
        <v>635</v>
      </c>
      <c r="D324" s="445" t="s">
        <v>1011</v>
      </c>
      <c r="E324" s="446"/>
      <c r="F324" s="553">
        <f>F325</f>
        <v>0</v>
      </c>
      <c r="G324" s="447">
        <f>G325</f>
        <v>0</v>
      </c>
    </row>
    <row r="325" spans="1:7" ht="48" customHeight="1" hidden="1">
      <c r="A325" s="454" t="s">
        <v>654</v>
      </c>
      <c r="B325" s="445" t="s">
        <v>721</v>
      </c>
      <c r="C325" s="445" t="s">
        <v>635</v>
      </c>
      <c r="D325" s="445" t="s">
        <v>1011</v>
      </c>
      <c r="E325" s="446" t="s">
        <v>655</v>
      </c>
      <c r="F325" s="553"/>
      <c r="G325" s="447"/>
    </row>
    <row r="326" spans="1:7" ht="48" customHeight="1" hidden="1">
      <c r="A326" s="556" t="s">
        <v>1277</v>
      </c>
      <c r="B326" s="445" t="s">
        <v>721</v>
      </c>
      <c r="C326" s="445" t="s">
        <v>635</v>
      </c>
      <c r="D326" s="445" t="s">
        <v>1013</v>
      </c>
      <c r="E326" s="446"/>
      <c r="F326" s="553">
        <f>F327</f>
        <v>0</v>
      </c>
      <c r="G326" s="447">
        <f>G327</f>
        <v>0</v>
      </c>
    </row>
    <row r="327" spans="1:7" ht="48" customHeight="1" hidden="1">
      <c r="A327" s="454" t="s">
        <v>654</v>
      </c>
      <c r="B327" s="445" t="s">
        <v>721</v>
      </c>
      <c r="C327" s="445" t="s">
        <v>635</v>
      </c>
      <c r="D327" s="445" t="s">
        <v>1013</v>
      </c>
      <c r="E327" s="446" t="s">
        <v>655</v>
      </c>
      <c r="F327" s="553"/>
      <c r="G327" s="447"/>
    </row>
    <row r="328" spans="1:7" ht="48" customHeight="1" hidden="1">
      <c r="A328" s="556" t="s">
        <v>1014</v>
      </c>
      <c r="B328" s="445" t="s">
        <v>721</v>
      </c>
      <c r="C328" s="445" t="s">
        <v>635</v>
      </c>
      <c r="D328" s="445" t="s">
        <v>1015</v>
      </c>
      <c r="E328" s="446"/>
      <c r="F328" s="553">
        <f>F329</f>
        <v>0</v>
      </c>
      <c r="G328" s="447">
        <f>G329</f>
        <v>0</v>
      </c>
    </row>
    <row r="329" spans="1:7" ht="48" customHeight="1" hidden="1">
      <c r="A329" s="454" t="s">
        <v>654</v>
      </c>
      <c r="B329" s="445" t="s">
        <v>721</v>
      </c>
      <c r="C329" s="445" t="s">
        <v>635</v>
      </c>
      <c r="D329" s="445" t="s">
        <v>1015</v>
      </c>
      <c r="E329" s="446" t="s">
        <v>655</v>
      </c>
      <c r="F329" s="553"/>
      <c r="G329" s="447"/>
    </row>
    <row r="330" spans="1:7" ht="48" customHeight="1" hidden="1">
      <c r="A330" s="556" t="s">
        <v>1016</v>
      </c>
      <c r="B330" s="445" t="s">
        <v>721</v>
      </c>
      <c r="C330" s="445" t="s">
        <v>635</v>
      </c>
      <c r="D330" s="445" t="s">
        <v>1017</v>
      </c>
      <c r="E330" s="446"/>
      <c r="F330" s="553">
        <f>F331</f>
        <v>0</v>
      </c>
      <c r="G330" s="447">
        <f>G331</f>
        <v>0</v>
      </c>
    </row>
    <row r="331" spans="1:7" ht="48" customHeight="1" hidden="1">
      <c r="A331" s="454" t="s">
        <v>654</v>
      </c>
      <c r="B331" s="445" t="s">
        <v>721</v>
      </c>
      <c r="C331" s="445" t="s">
        <v>635</v>
      </c>
      <c r="D331" s="445" t="s">
        <v>1017</v>
      </c>
      <c r="E331" s="446" t="s">
        <v>655</v>
      </c>
      <c r="F331" s="553"/>
      <c r="G331" s="447"/>
    </row>
    <row r="332" spans="1:7" ht="48" customHeight="1" hidden="1">
      <c r="A332" s="502" t="s">
        <v>1018</v>
      </c>
      <c r="B332" s="445" t="s">
        <v>721</v>
      </c>
      <c r="C332" s="445" t="s">
        <v>635</v>
      </c>
      <c r="D332" s="445" t="s">
        <v>1019</v>
      </c>
      <c r="E332" s="446"/>
      <c r="F332" s="553">
        <f>F333</f>
        <v>0</v>
      </c>
      <c r="G332" s="447">
        <f>G333</f>
        <v>0</v>
      </c>
    </row>
    <row r="333" spans="1:7" ht="48" customHeight="1" hidden="1">
      <c r="A333" s="454" t="s">
        <v>642</v>
      </c>
      <c r="B333" s="445" t="s">
        <v>721</v>
      </c>
      <c r="C333" s="445" t="s">
        <v>635</v>
      </c>
      <c r="D333" s="445" t="s">
        <v>1019</v>
      </c>
      <c r="E333" s="446" t="s">
        <v>643</v>
      </c>
      <c r="F333" s="553"/>
      <c r="G333" s="447"/>
    </row>
    <row r="334" spans="1:7" ht="25.5">
      <c r="A334" s="466" t="s">
        <v>816</v>
      </c>
      <c r="B334" s="445" t="s">
        <v>721</v>
      </c>
      <c r="C334" s="445" t="s">
        <v>635</v>
      </c>
      <c r="D334" s="445" t="s">
        <v>1020</v>
      </c>
      <c r="E334" s="446"/>
      <c r="F334" s="553">
        <f>F335+F336</f>
        <v>28755924</v>
      </c>
      <c r="G334" s="447">
        <f>G335+G336</f>
        <v>28755924</v>
      </c>
    </row>
    <row r="335" spans="1:7" ht="27" customHeight="1">
      <c r="A335" s="454" t="s">
        <v>654</v>
      </c>
      <c r="B335" s="445" t="s">
        <v>721</v>
      </c>
      <c r="C335" s="445" t="s">
        <v>635</v>
      </c>
      <c r="D335" s="445" t="s">
        <v>1020</v>
      </c>
      <c r="E335" s="446" t="s">
        <v>655</v>
      </c>
      <c r="F335" s="553">
        <v>26683186</v>
      </c>
      <c r="G335" s="447">
        <v>26683186</v>
      </c>
    </row>
    <row r="336" spans="1:7" ht="15.75" customHeight="1">
      <c r="A336" s="466" t="s">
        <v>696</v>
      </c>
      <c r="B336" s="445" t="s">
        <v>721</v>
      </c>
      <c r="C336" s="445" t="s">
        <v>635</v>
      </c>
      <c r="D336" s="445" t="s">
        <v>1020</v>
      </c>
      <c r="E336" s="446" t="s">
        <v>697</v>
      </c>
      <c r="F336" s="553">
        <v>2072738</v>
      </c>
      <c r="G336" s="447">
        <v>2072738</v>
      </c>
    </row>
    <row r="337" spans="1:7" ht="48" customHeight="1" hidden="1">
      <c r="A337" s="454" t="s">
        <v>1021</v>
      </c>
      <c r="B337" s="445" t="s">
        <v>721</v>
      </c>
      <c r="C337" s="445" t="s">
        <v>635</v>
      </c>
      <c r="D337" s="445" t="s">
        <v>1022</v>
      </c>
      <c r="E337" s="446"/>
      <c r="F337" s="553">
        <f>F338</f>
        <v>0</v>
      </c>
      <c r="G337" s="447">
        <f>G338</f>
        <v>0</v>
      </c>
    </row>
    <row r="338" spans="1:7" ht="48" customHeight="1" hidden="1">
      <c r="A338" s="454" t="s">
        <v>654</v>
      </c>
      <c r="B338" s="445" t="s">
        <v>721</v>
      </c>
      <c r="C338" s="445" t="s">
        <v>635</v>
      </c>
      <c r="D338" s="445" t="s">
        <v>1022</v>
      </c>
      <c r="E338" s="446" t="s">
        <v>655</v>
      </c>
      <c r="F338" s="553"/>
      <c r="G338" s="447"/>
    </row>
    <row r="339" spans="1:7" ht="48" customHeight="1" hidden="1">
      <c r="A339" s="466" t="s">
        <v>1145</v>
      </c>
      <c r="B339" s="445" t="s">
        <v>721</v>
      </c>
      <c r="C339" s="445" t="s">
        <v>635</v>
      </c>
      <c r="D339" s="445" t="s">
        <v>1146</v>
      </c>
      <c r="E339" s="446"/>
      <c r="F339" s="553">
        <f>F340+F342</f>
        <v>0</v>
      </c>
      <c r="G339" s="447">
        <f>G340+G342</f>
        <v>0</v>
      </c>
    </row>
    <row r="340" spans="1:7" ht="48" customHeight="1" hidden="1">
      <c r="A340" s="556" t="s">
        <v>1232</v>
      </c>
      <c r="B340" s="445" t="s">
        <v>721</v>
      </c>
      <c r="C340" s="445" t="s">
        <v>635</v>
      </c>
      <c r="D340" s="445" t="s">
        <v>1233</v>
      </c>
      <c r="E340" s="446"/>
      <c r="F340" s="553">
        <f>F341</f>
        <v>0</v>
      </c>
      <c r="G340" s="447">
        <f>G341</f>
        <v>0</v>
      </c>
    </row>
    <row r="341" spans="1:7" ht="48" customHeight="1" hidden="1">
      <c r="A341" s="454" t="s">
        <v>642</v>
      </c>
      <c r="B341" s="445" t="s">
        <v>721</v>
      </c>
      <c r="C341" s="445" t="s">
        <v>635</v>
      </c>
      <c r="D341" s="445" t="s">
        <v>1233</v>
      </c>
      <c r="E341" s="446" t="s">
        <v>643</v>
      </c>
      <c r="F341" s="553"/>
      <c r="G341" s="447"/>
    </row>
    <row r="342" spans="1:7" ht="48" customHeight="1" hidden="1">
      <c r="A342" s="556" t="s">
        <v>1234</v>
      </c>
      <c r="B342" s="445" t="s">
        <v>721</v>
      </c>
      <c r="C342" s="445" t="s">
        <v>635</v>
      </c>
      <c r="D342" s="445" t="s">
        <v>1235</v>
      </c>
      <c r="E342" s="446"/>
      <c r="F342" s="553">
        <f>F343</f>
        <v>0</v>
      </c>
      <c r="G342" s="447">
        <f>G343</f>
        <v>0</v>
      </c>
    </row>
    <row r="343" spans="1:7" ht="48" customHeight="1" hidden="1">
      <c r="A343" s="454" t="s">
        <v>642</v>
      </c>
      <c r="B343" s="445" t="s">
        <v>721</v>
      </c>
      <c r="C343" s="445" t="s">
        <v>635</v>
      </c>
      <c r="D343" s="445" t="s">
        <v>1235</v>
      </c>
      <c r="E343" s="446" t="s">
        <v>643</v>
      </c>
      <c r="F343" s="553">
        <f>100000-100000</f>
        <v>0</v>
      </c>
      <c r="G343" s="447">
        <f>100000-100000</f>
        <v>0</v>
      </c>
    </row>
    <row r="344" spans="1:7" ht="48" customHeight="1" hidden="1">
      <c r="A344" s="572" t="s">
        <v>1236</v>
      </c>
      <c r="B344" s="445" t="s">
        <v>721</v>
      </c>
      <c r="C344" s="445" t="s">
        <v>635</v>
      </c>
      <c r="D344" s="474" t="s">
        <v>912</v>
      </c>
      <c r="E344" s="446"/>
      <c r="F344" s="553">
        <f>F345</f>
        <v>0</v>
      </c>
      <c r="G344" s="447">
        <f>G345</f>
        <v>0</v>
      </c>
    </row>
    <row r="345" spans="1:7" ht="48" customHeight="1" hidden="1">
      <c r="A345" s="582" t="s">
        <v>1237</v>
      </c>
      <c r="B345" s="445" t="s">
        <v>721</v>
      </c>
      <c r="C345" s="445" t="s">
        <v>635</v>
      </c>
      <c r="D345" s="474" t="s">
        <v>959</v>
      </c>
      <c r="E345" s="446"/>
      <c r="F345" s="553">
        <f>F346</f>
        <v>0</v>
      </c>
      <c r="G345" s="447">
        <f>G346</f>
        <v>0</v>
      </c>
    </row>
    <row r="346" spans="1:7" ht="48" customHeight="1" hidden="1">
      <c r="A346" s="466" t="s">
        <v>991</v>
      </c>
      <c r="B346" s="445" t="s">
        <v>721</v>
      </c>
      <c r="C346" s="445" t="s">
        <v>635</v>
      </c>
      <c r="D346" s="470" t="s">
        <v>992</v>
      </c>
      <c r="E346" s="446"/>
      <c r="F346" s="553">
        <f>F349+F347</f>
        <v>0</v>
      </c>
      <c r="G346" s="447">
        <f>G349+G347</f>
        <v>0</v>
      </c>
    </row>
    <row r="347" spans="1:7" ht="48" customHeight="1" hidden="1">
      <c r="A347" s="496" t="s">
        <v>1327</v>
      </c>
      <c r="B347" s="445" t="s">
        <v>721</v>
      </c>
      <c r="C347" s="445" t="s">
        <v>635</v>
      </c>
      <c r="D347" s="470" t="s">
        <v>994</v>
      </c>
      <c r="E347" s="446"/>
      <c r="F347" s="553">
        <f>F348</f>
        <v>0</v>
      </c>
      <c r="G347" s="447">
        <f>G348</f>
        <v>0</v>
      </c>
    </row>
    <row r="348" spans="1:7" ht="48" customHeight="1" hidden="1">
      <c r="A348" s="454" t="s">
        <v>870</v>
      </c>
      <c r="B348" s="445" t="s">
        <v>721</v>
      </c>
      <c r="C348" s="445" t="s">
        <v>635</v>
      </c>
      <c r="D348" s="470" t="s">
        <v>994</v>
      </c>
      <c r="E348" s="446" t="s">
        <v>871</v>
      </c>
      <c r="F348" s="553"/>
      <c r="G348" s="447"/>
    </row>
    <row r="349" spans="1:7" ht="48" customHeight="1" hidden="1">
      <c r="A349" s="496" t="s">
        <v>995</v>
      </c>
      <c r="B349" s="445" t="s">
        <v>721</v>
      </c>
      <c r="C349" s="445" t="s">
        <v>635</v>
      </c>
      <c r="D349" s="470" t="s">
        <v>996</v>
      </c>
      <c r="E349" s="446"/>
      <c r="F349" s="553">
        <f>F350</f>
        <v>0</v>
      </c>
      <c r="G349" s="447">
        <f>G350</f>
        <v>0</v>
      </c>
    </row>
    <row r="350" spans="1:7" ht="48" customHeight="1" hidden="1">
      <c r="A350" s="454" t="s">
        <v>870</v>
      </c>
      <c r="B350" s="445" t="s">
        <v>721</v>
      </c>
      <c r="C350" s="445" t="s">
        <v>635</v>
      </c>
      <c r="D350" s="470" t="s">
        <v>996</v>
      </c>
      <c r="E350" s="446" t="s">
        <v>871</v>
      </c>
      <c r="F350" s="553"/>
      <c r="G350" s="447"/>
    </row>
    <row r="351" spans="1:7" ht="53.25" customHeight="1">
      <c r="A351" s="489" t="s">
        <v>1328</v>
      </c>
      <c r="B351" s="445" t="s">
        <v>721</v>
      </c>
      <c r="C351" s="445" t="s">
        <v>635</v>
      </c>
      <c r="D351" s="474" t="s">
        <v>771</v>
      </c>
      <c r="E351" s="446"/>
      <c r="F351" s="553">
        <f>F352</f>
        <v>167800</v>
      </c>
      <c r="G351" s="447">
        <f>G352</f>
        <v>167800</v>
      </c>
    </row>
    <row r="352" spans="1:7" s="461" customFormat="1" ht="68.25" customHeight="1">
      <c r="A352" s="494" t="s">
        <v>772</v>
      </c>
      <c r="B352" s="445" t="s">
        <v>721</v>
      </c>
      <c r="C352" s="445" t="s">
        <v>635</v>
      </c>
      <c r="D352" s="474" t="s">
        <v>773</v>
      </c>
      <c r="E352" s="446"/>
      <c r="F352" s="553">
        <f>F353+F356</f>
        <v>167800</v>
      </c>
      <c r="G352" s="447">
        <f>G353+G356</f>
        <v>167800</v>
      </c>
    </row>
    <row r="353" spans="1:7" ht="48" customHeight="1" hidden="1">
      <c r="A353" s="569" t="s">
        <v>774</v>
      </c>
      <c r="B353" s="445" t="s">
        <v>721</v>
      </c>
      <c r="C353" s="445" t="s">
        <v>635</v>
      </c>
      <c r="D353" s="474" t="s">
        <v>775</v>
      </c>
      <c r="E353" s="446"/>
      <c r="F353" s="553">
        <f>F354</f>
        <v>0</v>
      </c>
      <c r="G353" s="447">
        <f>G354</f>
        <v>0</v>
      </c>
    </row>
    <row r="354" spans="1:7" ht="48" customHeight="1" hidden="1">
      <c r="A354" s="466" t="s">
        <v>776</v>
      </c>
      <c r="B354" s="445" t="s">
        <v>721</v>
      </c>
      <c r="C354" s="445" t="s">
        <v>635</v>
      </c>
      <c r="D354" s="474" t="s">
        <v>777</v>
      </c>
      <c r="E354" s="446"/>
      <c r="F354" s="553">
        <f>F355</f>
        <v>0</v>
      </c>
      <c r="G354" s="447">
        <f>G355</f>
        <v>0</v>
      </c>
    </row>
    <row r="355" spans="1:7" ht="48" customHeight="1" hidden="1">
      <c r="A355" s="454" t="s">
        <v>654</v>
      </c>
      <c r="B355" s="445" t="s">
        <v>721</v>
      </c>
      <c r="C355" s="445" t="s">
        <v>635</v>
      </c>
      <c r="D355" s="474" t="s">
        <v>777</v>
      </c>
      <c r="E355" s="446" t="s">
        <v>655</v>
      </c>
      <c r="F355" s="553"/>
      <c r="G355" s="447"/>
    </row>
    <row r="356" spans="1:7" ht="57.75" customHeight="1">
      <c r="A356" s="569" t="s">
        <v>1023</v>
      </c>
      <c r="B356" s="445" t="s">
        <v>721</v>
      </c>
      <c r="C356" s="445" t="s">
        <v>635</v>
      </c>
      <c r="D356" s="474" t="s">
        <v>1024</v>
      </c>
      <c r="E356" s="446"/>
      <c r="F356" s="553">
        <f>F357</f>
        <v>167800</v>
      </c>
      <c r="G356" s="447">
        <f>G357</f>
        <v>167800</v>
      </c>
    </row>
    <row r="357" spans="1:7" ht="26.25" customHeight="1">
      <c r="A357" s="466" t="s">
        <v>776</v>
      </c>
      <c r="B357" s="445" t="s">
        <v>721</v>
      </c>
      <c r="C357" s="445" t="s">
        <v>635</v>
      </c>
      <c r="D357" s="474" t="s">
        <v>1025</v>
      </c>
      <c r="E357" s="446"/>
      <c r="F357" s="553">
        <f>F358</f>
        <v>167800</v>
      </c>
      <c r="G357" s="447">
        <f>G358</f>
        <v>167800</v>
      </c>
    </row>
    <row r="358" spans="1:7" ht="29.25" customHeight="1">
      <c r="A358" s="454" t="s">
        <v>654</v>
      </c>
      <c r="B358" s="445" t="s">
        <v>721</v>
      </c>
      <c r="C358" s="445" t="s">
        <v>635</v>
      </c>
      <c r="D358" s="474" t="s">
        <v>1025</v>
      </c>
      <c r="E358" s="446" t="s">
        <v>655</v>
      </c>
      <c r="F358" s="553">
        <v>167800</v>
      </c>
      <c r="G358" s="447">
        <v>167800</v>
      </c>
    </row>
    <row r="359" spans="1:7" ht="44.25" customHeight="1">
      <c r="A359" s="508" t="s">
        <v>1026</v>
      </c>
      <c r="B359" s="445" t="s">
        <v>721</v>
      </c>
      <c r="C359" s="445" t="s">
        <v>635</v>
      </c>
      <c r="D359" s="445" t="s">
        <v>1027</v>
      </c>
      <c r="E359" s="456"/>
      <c r="F359" s="553">
        <f aca="true" t="shared" si="18" ref="F359:G362">F360</f>
        <v>10000</v>
      </c>
      <c r="G359" s="447">
        <f t="shared" si="18"/>
        <v>10000</v>
      </c>
    </row>
    <row r="360" spans="1:7" ht="63" customHeight="1">
      <c r="A360" s="465" t="s">
        <v>1028</v>
      </c>
      <c r="B360" s="445" t="s">
        <v>721</v>
      </c>
      <c r="C360" s="445" t="s">
        <v>635</v>
      </c>
      <c r="D360" s="445" t="s">
        <v>1029</v>
      </c>
      <c r="E360" s="456"/>
      <c r="F360" s="553">
        <f t="shared" si="18"/>
        <v>10000</v>
      </c>
      <c r="G360" s="447">
        <f t="shared" si="18"/>
        <v>10000</v>
      </c>
    </row>
    <row r="361" spans="1:7" ht="30" customHeight="1">
      <c r="A361" s="496" t="s">
        <v>1030</v>
      </c>
      <c r="B361" s="445" t="s">
        <v>721</v>
      </c>
      <c r="C361" s="445" t="s">
        <v>635</v>
      </c>
      <c r="D361" s="445" t="s">
        <v>1031</v>
      </c>
      <c r="E361" s="456"/>
      <c r="F361" s="553">
        <f t="shared" si="18"/>
        <v>10000</v>
      </c>
      <c r="G361" s="447">
        <f t="shared" si="18"/>
        <v>10000</v>
      </c>
    </row>
    <row r="362" spans="1:7" ht="16.5" customHeight="1">
      <c r="A362" s="496" t="s">
        <v>1032</v>
      </c>
      <c r="B362" s="445" t="s">
        <v>721</v>
      </c>
      <c r="C362" s="445" t="s">
        <v>635</v>
      </c>
      <c r="D362" s="445" t="s">
        <v>1033</v>
      </c>
      <c r="E362" s="456"/>
      <c r="F362" s="553">
        <f t="shared" si="18"/>
        <v>10000</v>
      </c>
      <c r="G362" s="447">
        <f t="shared" si="18"/>
        <v>10000</v>
      </c>
    </row>
    <row r="363" spans="1:7" ht="30" customHeight="1">
      <c r="A363" s="454" t="s">
        <v>654</v>
      </c>
      <c r="B363" s="445" t="s">
        <v>721</v>
      </c>
      <c r="C363" s="445" t="s">
        <v>635</v>
      </c>
      <c r="D363" s="445" t="s">
        <v>1033</v>
      </c>
      <c r="E363" s="446" t="s">
        <v>655</v>
      </c>
      <c r="F363" s="553">
        <v>10000</v>
      </c>
      <c r="G363" s="447">
        <v>10000</v>
      </c>
    </row>
    <row r="364" spans="1:8" ht="22.5" customHeight="1">
      <c r="A364" s="454" t="s">
        <v>1034</v>
      </c>
      <c r="B364" s="445" t="s">
        <v>721</v>
      </c>
      <c r="C364" s="445" t="s">
        <v>645</v>
      </c>
      <c r="D364" s="445"/>
      <c r="E364" s="446"/>
      <c r="F364" s="553">
        <f>F365</f>
        <v>30283463</v>
      </c>
      <c r="G364" s="447">
        <f>G365</f>
        <v>33831463</v>
      </c>
      <c r="H364" s="453"/>
    </row>
    <row r="365" spans="1:7" ht="33.75" customHeight="1">
      <c r="A365" s="451" t="s">
        <v>982</v>
      </c>
      <c r="B365" s="445" t="s">
        <v>721</v>
      </c>
      <c r="C365" s="445" t="s">
        <v>645</v>
      </c>
      <c r="D365" s="445" t="s">
        <v>983</v>
      </c>
      <c r="E365" s="446"/>
      <c r="F365" s="553">
        <f>F366</f>
        <v>30283463</v>
      </c>
      <c r="G365" s="447">
        <f>G366</f>
        <v>33831463</v>
      </c>
    </row>
    <row r="366" spans="1:7" ht="53.25" customHeight="1">
      <c r="A366" s="454" t="s">
        <v>1035</v>
      </c>
      <c r="B366" s="445" t="s">
        <v>721</v>
      </c>
      <c r="C366" s="445" t="s">
        <v>645</v>
      </c>
      <c r="D366" s="445" t="s">
        <v>1036</v>
      </c>
      <c r="E366" s="446"/>
      <c r="F366" s="553">
        <f>F367+F372</f>
        <v>30283463</v>
      </c>
      <c r="G366" s="447">
        <f>G367+G372</f>
        <v>33831463</v>
      </c>
    </row>
    <row r="367" spans="1:7" ht="30.75" customHeight="1">
      <c r="A367" s="466" t="s">
        <v>1037</v>
      </c>
      <c r="B367" s="445" t="s">
        <v>721</v>
      </c>
      <c r="C367" s="445" t="s">
        <v>645</v>
      </c>
      <c r="D367" s="445" t="s">
        <v>1038</v>
      </c>
      <c r="E367" s="446"/>
      <c r="F367" s="553">
        <f>F368</f>
        <v>13612063</v>
      </c>
      <c r="G367" s="447">
        <f>G368</f>
        <v>15160063</v>
      </c>
    </row>
    <row r="368" spans="1:7" ht="29.25" customHeight="1">
      <c r="A368" s="466" t="s">
        <v>816</v>
      </c>
      <c r="B368" s="445" t="s">
        <v>721</v>
      </c>
      <c r="C368" s="445" t="s">
        <v>645</v>
      </c>
      <c r="D368" s="445" t="s">
        <v>1039</v>
      </c>
      <c r="E368" s="446"/>
      <c r="F368" s="553">
        <f>F369+F370+F371</f>
        <v>13612063</v>
      </c>
      <c r="G368" s="447">
        <f>G369+G370+G371</f>
        <v>15160063</v>
      </c>
    </row>
    <row r="369" spans="1:7" ht="41.25" customHeight="1">
      <c r="A369" s="454" t="s">
        <v>642</v>
      </c>
      <c r="B369" s="445" t="s">
        <v>721</v>
      </c>
      <c r="C369" s="445" t="s">
        <v>645</v>
      </c>
      <c r="D369" s="445" t="s">
        <v>1039</v>
      </c>
      <c r="E369" s="446" t="s">
        <v>643</v>
      </c>
      <c r="F369" s="553">
        <v>12852300</v>
      </c>
      <c r="G369" s="447">
        <f>10400300+4000000</f>
        <v>14400300</v>
      </c>
    </row>
    <row r="370" spans="1:7" ht="24.75" customHeight="1">
      <c r="A370" s="454" t="s">
        <v>654</v>
      </c>
      <c r="B370" s="445" t="s">
        <v>721</v>
      </c>
      <c r="C370" s="445" t="s">
        <v>645</v>
      </c>
      <c r="D370" s="445" t="s">
        <v>1039</v>
      </c>
      <c r="E370" s="446" t="s">
        <v>655</v>
      </c>
      <c r="F370" s="553">
        <v>644300</v>
      </c>
      <c r="G370" s="447">
        <v>644300</v>
      </c>
    </row>
    <row r="371" spans="1:7" ht="15.75" customHeight="1">
      <c r="A371" s="466" t="s">
        <v>696</v>
      </c>
      <c r="B371" s="445" t="s">
        <v>721</v>
      </c>
      <c r="C371" s="445" t="s">
        <v>645</v>
      </c>
      <c r="D371" s="445" t="s">
        <v>1039</v>
      </c>
      <c r="E371" s="446" t="s">
        <v>697</v>
      </c>
      <c r="F371" s="553">
        <v>115463</v>
      </c>
      <c r="G371" s="447">
        <v>115463</v>
      </c>
    </row>
    <row r="372" spans="1:7" ht="17.25" customHeight="1">
      <c r="A372" s="466" t="s">
        <v>1040</v>
      </c>
      <c r="B372" s="445" t="s">
        <v>721</v>
      </c>
      <c r="C372" s="445" t="s">
        <v>645</v>
      </c>
      <c r="D372" s="445" t="s">
        <v>1041</v>
      </c>
      <c r="E372" s="446"/>
      <c r="F372" s="553">
        <f>F373</f>
        <v>16671400</v>
      </c>
      <c r="G372" s="447">
        <f>G373</f>
        <v>18671400</v>
      </c>
    </row>
    <row r="373" spans="1:7" ht="29.25" customHeight="1">
      <c r="A373" s="466" t="s">
        <v>816</v>
      </c>
      <c r="B373" s="445" t="s">
        <v>721</v>
      </c>
      <c r="C373" s="445" t="s">
        <v>645</v>
      </c>
      <c r="D373" s="445" t="s">
        <v>1042</v>
      </c>
      <c r="E373" s="446"/>
      <c r="F373" s="553">
        <f>F374+F375+F376</f>
        <v>16671400</v>
      </c>
      <c r="G373" s="447">
        <f>G374+G375+G376</f>
        <v>18671400</v>
      </c>
    </row>
    <row r="374" spans="1:7" ht="37.5" customHeight="1">
      <c r="A374" s="454" t="s">
        <v>642</v>
      </c>
      <c r="B374" s="445" t="s">
        <v>721</v>
      </c>
      <c r="C374" s="445" t="s">
        <v>645</v>
      </c>
      <c r="D374" s="445" t="s">
        <v>1042</v>
      </c>
      <c r="E374" s="446" t="s">
        <v>643</v>
      </c>
      <c r="F374" s="553">
        <v>15937600</v>
      </c>
      <c r="G374" s="447">
        <f>15937600+2000000</f>
        <v>17937600</v>
      </c>
    </row>
    <row r="375" spans="1:7" ht="27" customHeight="1">
      <c r="A375" s="454" t="s">
        <v>654</v>
      </c>
      <c r="B375" s="445" t="s">
        <v>721</v>
      </c>
      <c r="C375" s="445" t="s">
        <v>645</v>
      </c>
      <c r="D375" s="445" t="s">
        <v>1042</v>
      </c>
      <c r="E375" s="446" t="s">
        <v>655</v>
      </c>
      <c r="F375" s="553">
        <v>688100</v>
      </c>
      <c r="G375" s="447">
        <v>688100</v>
      </c>
    </row>
    <row r="376" spans="1:7" ht="15" customHeight="1">
      <c r="A376" s="466" t="s">
        <v>696</v>
      </c>
      <c r="B376" s="445" t="s">
        <v>721</v>
      </c>
      <c r="C376" s="445" t="s">
        <v>645</v>
      </c>
      <c r="D376" s="445" t="s">
        <v>1042</v>
      </c>
      <c r="E376" s="446" t="s">
        <v>697</v>
      </c>
      <c r="F376" s="553">
        <v>45700</v>
      </c>
      <c r="G376" s="447">
        <v>45700</v>
      </c>
    </row>
    <row r="377" spans="1:8" ht="15">
      <c r="A377" s="451" t="s">
        <v>1043</v>
      </c>
      <c r="B377" s="445" t="s">
        <v>721</v>
      </c>
      <c r="C377" s="445" t="s">
        <v>721</v>
      </c>
      <c r="D377" s="445"/>
      <c r="E377" s="446"/>
      <c r="F377" s="553">
        <f>F378</f>
        <v>3264503</v>
      </c>
      <c r="G377" s="447">
        <f>G378</f>
        <v>3237190</v>
      </c>
      <c r="H377" s="453"/>
    </row>
    <row r="378" spans="1:7" ht="54.75" customHeight="1">
      <c r="A378" s="466" t="s">
        <v>1044</v>
      </c>
      <c r="B378" s="445" t="s">
        <v>721</v>
      </c>
      <c r="C378" s="445" t="s">
        <v>721</v>
      </c>
      <c r="D378" s="474" t="s">
        <v>1045</v>
      </c>
      <c r="E378" s="446"/>
      <c r="F378" s="553">
        <f>F379+F384</f>
        <v>3264503</v>
      </c>
      <c r="G378" s="447">
        <f>G379+G384</f>
        <v>3237190</v>
      </c>
    </row>
    <row r="379" spans="1:7" s="461" customFormat="1" ht="69.75" customHeight="1">
      <c r="A379" s="466" t="s">
        <v>1046</v>
      </c>
      <c r="B379" s="445" t="s">
        <v>721</v>
      </c>
      <c r="C379" s="445" t="s">
        <v>721</v>
      </c>
      <c r="D379" s="474" t="s">
        <v>1047</v>
      </c>
      <c r="E379" s="481"/>
      <c r="F379" s="553">
        <f>F380</f>
        <v>85000</v>
      </c>
      <c r="G379" s="447">
        <f>G380</f>
        <v>85000</v>
      </c>
    </row>
    <row r="380" spans="1:7" ht="39.75" customHeight="1">
      <c r="A380" s="466" t="s">
        <v>1048</v>
      </c>
      <c r="B380" s="445" t="s">
        <v>721</v>
      </c>
      <c r="C380" s="445" t="s">
        <v>721</v>
      </c>
      <c r="D380" s="474" t="s">
        <v>1049</v>
      </c>
      <c r="E380" s="481"/>
      <c r="F380" s="553">
        <f>F381</f>
        <v>85000</v>
      </c>
      <c r="G380" s="447">
        <f>G381</f>
        <v>85000</v>
      </c>
    </row>
    <row r="381" spans="1:7" ht="19.5" customHeight="1">
      <c r="A381" s="466" t="s">
        <v>1050</v>
      </c>
      <c r="B381" s="445" t="s">
        <v>721</v>
      </c>
      <c r="C381" s="445" t="s">
        <v>721</v>
      </c>
      <c r="D381" s="474" t="s">
        <v>1051</v>
      </c>
      <c r="E381" s="481"/>
      <c r="F381" s="553">
        <f>F382+F383</f>
        <v>85000</v>
      </c>
      <c r="G381" s="447">
        <f>G382+G383</f>
        <v>85000</v>
      </c>
    </row>
    <row r="382" spans="1:7" ht="27.75" customHeight="1">
      <c r="A382" s="454" t="s">
        <v>654</v>
      </c>
      <c r="B382" s="445" t="s">
        <v>721</v>
      </c>
      <c r="C382" s="445" t="s">
        <v>721</v>
      </c>
      <c r="D382" s="474" t="s">
        <v>1051</v>
      </c>
      <c r="E382" s="481" t="s">
        <v>655</v>
      </c>
      <c r="F382" s="553">
        <f>85000-20000</f>
        <v>65000</v>
      </c>
      <c r="G382" s="447">
        <f>85000-20000</f>
        <v>65000</v>
      </c>
    </row>
    <row r="383" spans="1:7" ht="21" customHeight="1">
      <c r="A383" s="451" t="s">
        <v>827</v>
      </c>
      <c r="B383" s="445" t="s">
        <v>721</v>
      </c>
      <c r="C383" s="445" t="s">
        <v>721</v>
      </c>
      <c r="D383" s="474" t="s">
        <v>1051</v>
      </c>
      <c r="E383" s="481" t="s">
        <v>828</v>
      </c>
      <c r="F383" s="553">
        <v>20000</v>
      </c>
      <c r="G383" s="447">
        <v>20000</v>
      </c>
    </row>
    <row r="384" spans="1:7" s="461" customFormat="1" ht="53.25" customHeight="1">
      <c r="A384" s="490" t="s">
        <v>1052</v>
      </c>
      <c r="B384" s="445" t="s">
        <v>721</v>
      </c>
      <c r="C384" s="445" t="s">
        <v>721</v>
      </c>
      <c r="D384" s="474" t="s">
        <v>1053</v>
      </c>
      <c r="E384" s="481"/>
      <c r="F384" s="553">
        <f>F385+F395+F392</f>
        <v>3179503</v>
      </c>
      <c r="G384" s="447">
        <f>G385+G395+G392</f>
        <v>3152190</v>
      </c>
    </row>
    <row r="385" spans="1:7" ht="23.25" customHeight="1">
      <c r="A385" s="466" t="s">
        <v>1054</v>
      </c>
      <c r="B385" s="445" t="s">
        <v>721</v>
      </c>
      <c r="C385" s="445" t="s">
        <v>721</v>
      </c>
      <c r="D385" s="474" t="s">
        <v>1055</v>
      </c>
      <c r="E385" s="481"/>
      <c r="F385" s="553">
        <f>F386+F389</f>
        <v>1102863</v>
      </c>
      <c r="G385" s="447">
        <f>G386+G389</f>
        <v>1102863</v>
      </c>
    </row>
    <row r="386" spans="1:7" ht="48" customHeight="1" hidden="1">
      <c r="A386" s="451" t="s">
        <v>1056</v>
      </c>
      <c r="B386" s="445" t="s">
        <v>721</v>
      </c>
      <c r="C386" s="445" t="s">
        <v>721</v>
      </c>
      <c r="D386" s="474" t="s">
        <v>1057</v>
      </c>
      <c r="E386" s="446"/>
      <c r="F386" s="553">
        <f>F387+F388</f>
        <v>0</v>
      </c>
      <c r="G386" s="447">
        <f>G387+G388</f>
        <v>0</v>
      </c>
    </row>
    <row r="387" spans="1:7" ht="48" customHeight="1" hidden="1">
      <c r="A387" s="454" t="s">
        <v>654</v>
      </c>
      <c r="B387" s="445" t="s">
        <v>721</v>
      </c>
      <c r="C387" s="445" t="s">
        <v>721</v>
      </c>
      <c r="D387" s="474" t="s">
        <v>1057</v>
      </c>
      <c r="E387" s="481" t="s">
        <v>655</v>
      </c>
      <c r="F387" s="553"/>
      <c r="G387" s="447"/>
    </row>
    <row r="388" spans="1:7" ht="48" customHeight="1" hidden="1">
      <c r="A388" s="451" t="s">
        <v>827</v>
      </c>
      <c r="B388" s="445" t="s">
        <v>721</v>
      </c>
      <c r="C388" s="445" t="s">
        <v>721</v>
      </c>
      <c r="D388" s="474" t="s">
        <v>1057</v>
      </c>
      <c r="E388" s="481" t="s">
        <v>828</v>
      </c>
      <c r="F388" s="553"/>
      <c r="G388" s="447"/>
    </row>
    <row r="389" spans="1:7" ht="20.25" customHeight="1">
      <c r="A389" s="556" t="s">
        <v>1058</v>
      </c>
      <c r="B389" s="445" t="s">
        <v>721</v>
      </c>
      <c r="C389" s="445" t="s">
        <v>721</v>
      </c>
      <c r="D389" s="474" t="s">
        <v>1059</v>
      </c>
      <c r="E389" s="446"/>
      <c r="F389" s="553">
        <f>F391+F390</f>
        <v>1102863</v>
      </c>
      <c r="G389" s="447">
        <f>G391+G390</f>
        <v>1102863</v>
      </c>
    </row>
    <row r="390" spans="1:7" ht="26.25">
      <c r="A390" s="454" t="s">
        <v>654</v>
      </c>
      <c r="B390" s="445" t="s">
        <v>721</v>
      </c>
      <c r="C390" s="445" t="s">
        <v>721</v>
      </c>
      <c r="D390" s="474" t="s">
        <v>1059</v>
      </c>
      <c r="E390" s="446" t="s">
        <v>655</v>
      </c>
      <c r="F390" s="553">
        <v>520743</v>
      </c>
      <c r="G390" s="447">
        <v>520743</v>
      </c>
    </row>
    <row r="391" spans="1:7" ht="19.5" customHeight="1">
      <c r="A391" s="451" t="s">
        <v>827</v>
      </c>
      <c r="B391" s="445" t="s">
        <v>721</v>
      </c>
      <c r="C391" s="445" t="s">
        <v>721</v>
      </c>
      <c r="D391" s="474" t="s">
        <v>1059</v>
      </c>
      <c r="E391" s="481" t="s">
        <v>828</v>
      </c>
      <c r="F391" s="553">
        <v>582120</v>
      </c>
      <c r="G391" s="447">
        <v>582120</v>
      </c>
    </row>
    <row r="392" spans="1:7" ht="18" customHeight="1">
      <c r="A392" s="466" t="s">
        <v>1062</v>
      </c>
      <c r="B392" s="445" t="s">
        <v>721</v>
      </c>
      <c r="C392" s="445" t="s">
        <v>721</v>
      </c>
      <c r="D392" s="474" t="s">
        <v>1063</v>
      </c>
      <c r="E392" s="481"/>
      <c r="F392" s="553">
        <f>F393</f>
        <v>36000</v>
      </c>
      <c r="G392" s="447">
        <f>G393</f>
        <v>36000</v>
      </c>
    </row>
    <row r="393" spans="1:7" ht="17.25" customHeight="1">
      <c r="A393" s="454" t="s">
        <v>1060</v>
      </c>
      <c r="B393" s="445" t="s">
        <v>721</v>
      </c>
      <c r="C393" s="445" t="s">
        <v>721</v>
      </c>
      <c r="D393" s="474" t="s">
        <v>1064</v>
      </c>
      <c r="E393" s="481"/>
      <c r="F393" s="553">
        <f>F394</f>
        <v>36000</v>
      </c>
      <c r="G393" s="447">
        <f>G394</f>
        <v>36000</v>
      </c>
    </row>
    <row r="394" spans="1:7" ht="26.25" customHeight="1">
      <c r="A394" s="454" t="s">
        <v>654</v>
      </c>
      <c r="B394" s="445" t="s">
        <v>721</v>
      </c>
      <c r="C394" s="445" t="s">
        <v>721</v>
      </c>
      <c r="D394" s="474" t="s">
        <v>1064</v>
      </c>
      <c r="E394" s="481" t="s">
        <v>655</v>
      </c>
      <c r="F394" s="553">
        <f>36000</f>
        <v>36000</v>
      </c>
      <c r="G394" s="447">
        <f>36000</f>
        <v>36000</v>
      </c>
    </row>
    <row r="395" spans="1:7" ht="43.5" customHeight="1">
      <c r="A395" s="466" t="s">
        <v>1065</v>
      </c>
      <c r="B395" s="445" t="s">
        <v>721</v>
      </c>
      <c r="C395" s="445" t="s">
        <v>721</v>
      </c>
      <c r="D395" s="474" t="s">
        <v>1066</v>
      </c>
      <c r="E395" s="481"/>
      <c r="F395" s="553">
        <f>F396</f>
        <v>2040640</v>
      </c>
      <c r="G395" s="447">
        <f>G396</f>
        <v>2013327</v>
      </c>
    </row>
    <row r="396" spans="1:7" ht="24.75" customHeight="1">
      <c r="A396" s="452" t="s">
        <v>816</v>
      </c>
      <c r="B396" s="445" t="s">
        <v>721</v>
      </c>
      <c r="C396" s="445" t="s">
        <v>721</v>
      </c>
      <c r="D396" s="474" t="s">
        <v>1067</v>
      </c>
      <c r="E396" s="481"/>
      <c r="F396" s="553">
        <f>F397+F398+F399</f>
        <v>2040640</v>
      </c>
      <c r="G396" s="447">
        <f>G397+G398+G399</f>
        <v>2013327</v>
      </c>
    </row>
    <row r="397" spans="1:7" ht="27.75" customHeight="1">
      <c r="A397" s="451" t="s">
        <v>1068</v>
      </c>
      <c r="B397" s="445" t="s">
        <v>721</v>
      </c>
      <c r="C397" s="445" t="s">
        <v>721</v>
      </c>
      <c r="D397" s="474" t="s">
        <v>1067</v>
      </c>
      <c r="E397" s="446" t="s">
        <v>643</v>
      </c>
      <c r="F397" s="553">
        <v>616000</v>
      </c>
      <c r="G397" s="447">
        <v>588687</v>
      </c>
    </row>
    <row r="398" spans="1:7" ht="29.25" customHeight="1">
      <c r="A398" s="454" t="s">
        <v>654</v>
      </c>
      <c r="B398" s="445" t="s">
        <v>721</v>
      </c>
      <c r="C398" s="445" t="s">
        <v>721</v>
      </c>
      <c r="D398" s="474" t="s">
        <v>1067</v>
      </c>
      <c r="E398" s="481" t="s">
        <v>655</v>
      </c>
      <c r="F398" s="553">
        <v>1354640</v>
      </c>
      <c r="G398" s="447">
        <v>1354640</v>
      </c>
    </row>
    <row r="399" spans="1:7" ht="15">
      <c r="A399" s="466" t="s">
        <v>696</v>
      </c>
      <c r="B399" s="445" t="s">
        <v>721</v>
      </c>
      <c r="C399" s="445" t="s">
        <v>721</v>
      </c>
      <c r="D399" s="474" t="s">
        <v>1067</v>
      </c>
      <c r="E399" s="481" t="s">
        <v>697</v>
      </c>
      <c r="F399" s="553">
        <v>70000</v>
      </c>
      <c r="G399" s="447">
        <v>70000</v>
      </c>
    </row>
    <row r="400" spans="1:7" ht="15">
      <c r="A400" s="451" t="s">
        <v>1069</v>
      </c>
      <c r="B400" s="445" t="s">
        <v>721</v>
      </c>
      <c r="C400" s="445" t="s">
        <v>832</v>
      </c>
      <c r="D400" s="445"/>
      <c r="E400" s="446"/>
      <c r="F400" s="553">
        <f>F401+F413</f>
        <v>6348866</v>
      </c>
      <c r="G400" s="447">
        <f>G401+G413</f>
        <v>6348866</v>
      </c>
    </row>
    <row r="401" spans="1:7" ht="34.5" customHeight="1">
      <c r="A401" s="451" t="s">
        <v>982</v>
      </c>
      <c r="B401" s="445" t="s">
        <v>721</v>
      </c>
      <c r="C401" s="445" t="s">
        <v>832</v>
      </c>
      <c r="D401" s="445" t="s">
        <v>983</v>
      </c>
      <c r="E401" s="446"/>
      <c r="F401" s="553">
        <f>F402</f>
        <v>6348866</v>
      </c>
      <c r="G401" s="447">
        <f>G402</f>
        <v>6348866</v>
      </c>
    </row>
    <row r="402" spans="1:7" s="461" customFormat="1" ht="57.75" customHeight="1">
      <c r="A402" s="508" t="s">
        <v>1070</v>
      </c>
      <c r="B402" s="445" t="s">
        <v>721</v>
      </c>
      <c r="C402" s="445" t="s">
        <v>832</v>
      </c>
      <c r="D402" s="445" t="s">
        <v>1071</v>
      </c>
      <c r="E402" s="446"/>
      <c r="F402" s="553">
        <f>F403+F408</f>
        <v>6348866</v>
      </c>
      <c r="G402" s="447">
        <f>G403+G408</f>
        <v>6348866</v>
      </c>
    </row>
    <row r="403" spans="1:7" ht="34.5" customHeight="1">
      <c r="A403" s="466" t="s">
        <v>1072</v>
      </c>
      <c r="B403" s="445" t="s">
        <v>721</v>
      </c>
      <c r="C403" s="445" t="s">
        <v>832</v>
      </c>
      <c r="D403" s="445" t="s">
        <v>1073</v>
      </c>
      <c r="E403" s="446"/>
      <c r="F403" s="553">
        <f>F404</f>
        <v>6125814</v>
      </c>
      <c r="G403" s="447">
        <f>G404</f>
        <v>6125814</v>
      </c>
    </row>
    <row r="404" spans="1:7" ht="28.5" customHeight="1">
      <c r="A404" s="466" t="s">
        <v>816</v>
      </c>
      <c r="B404" s="445" t="s">
        <v>721</v>
      </c>
      <c r="C404" s="445" t="s">
        <v>832</v>
      </c>
      <c r="D404" s="445" t="s">
        <v>1074</v>
      </c>
      <c r="E404" s="446"/>
      <c r="F404" s="553">
        <f>F405+F406+F407</f>
        <v>6125814</v>
      </c>
      <c r="G404" s="447">
        <f>G405+G406+G407</f>
        <v>6125814</v>
      </c>
    </row>
    <row r="405" spans="1:7" ht="42.75" customHeight="1">
      <c r="A405" s="454" t="s">
        <v>642</v>
      </c>
      <c r="B405" s="445" t="s">
        <v>721</v>
      </c>
      <c r="C405" s="445" t="s">
        <v>832</v>
      </c>
      <c r="D405" s="445" t="s">
        <v>1074</v>
      </c>
      <c r="E405" s="446" t="s">
        <v>643</v>
      </c>
      <c r="F405" s="553">
        <v>5573300</v>
      </c>
      <c r="G405" s="447">
        <v>5573300</v>
      </c>
    </row>
    <row r="406" spans="1:7" ht="26.25">
      <c r="A406" s="454" t="s">
        <v>654</v>
      </c>
      <c r="B406" s="445" t="s">
        <v>721</v>
      </c>
      <c r="C406" s="445" t="s">
        <v>832</v>
      </c>
      <c r="D406" s="445" t="s">
        <v>1074</v>
      </c>
      <c r="E406" s="446" t="s">
        <v>655</v>
      </c>
      <c r="F406" s="553">
        <v>517200</v>
      </c>
      <c r="G406" s="447">
        <v>517200</v>
      </c>
    </row>
    <row r="407" spans="1:7" ht="15.75" customHeight="1">
      <c r="A407" s="466" t="s">
        <v>696</v>
      </c>
      <c r="B407" s="445" t="s">
        <v>721</v>
      </c>
      <c r="C407" s="445" t="s">
        <v>832</v>
      </c>
      <c r="D407" s="445" t="s">
        <v>1074</v>
      </c>
      <c r="E407" s="446" t="s">
        <v>697</v>
      </c>
      <c r="F407" s="553">
        <v>35314</v>
      </c>
      <c r="G407" s="447">
        <v>35314</v>
      </c>
    </row>
    <row r="408" spans="1:7" ht="28.5" customHeight="1">
      <c r="A408" s="466" t="s">
        <v>1075</v>
      </c>
      <c r="B408" s="445" t="s">
        <v>721</v>
      </c>
      <c r="C408" s="445" t="s">
        <v>832</v>
      </c>
      <c r="D408" s="445" t="s">
        <v>1076</v>
      </c>
      <c r="E408" s="446"/>
      <c r="F408" s="553">
        <f>F409+F411</f>
        <v>223052</v>
      </c>
      <c r="G408" s="447">
        <f>G409+G411</f>
        <v>223052</v>
      </c>
    </row>
    <row r="409" spans="1:7" ht="34.5" customHeight="1">
      <c r="A409" s="511" t="s">
        <v>1077</v>
      </c>
      <c r="B409" s="445" t="s">
        <v>721</v>
      </c>
      <c r="C409" s="445" t="s">
        <v>832</v>
      </c>
      <c r="D409" s="445" t="s">
        <v>1078</v>
      </c>
      <c r="E409" s="446"/>
      <c r="F409" s="553">
        <f>F410</f>
        <v>223052</v>
      </c>
      <c r="G409" s="447">
        <f>G410</f>
        <v>223052</v>
      </c>
    </row>
    <row r="410" spans="1:7" ht="43.5" customHeight="1">
      <c r="A410" s="454" t="s">
        <v>642</v>
      </c>
      <c r="B410" s="445" t="s">
        <v>721</v>
      </c>
      <c r="C410" s="445" t="s">
        <v>832</v>
      </c>
      <c r="D410" s="445" t="s">
        <v>1078</v>
      </c>
      <c r="E410" s="446" t="s">
        <v>643</v>
      </c>
      <c r="F410" s="553">
        <v>223052</v>
      </c>
      <c r="G410" s="447">
        <v>223052</v>
      </c>
    </row>
    <row r="411" spans="1:7" ht="48" customHeight="1" hidden="1">
      <c r="A411" s="454" t="s">
        <v>1021</v>
      </c>
      <c r="B411" s="445" t="s">
        <v>721</v>
      </c>
      <c r="C411" s="445" t="s">
        <v>832</v>
      </c>
      <c r="D411" s="445" t="s">
        <v>1079</v>
      </c>
      <c r="E411" s="446"/>
      <c r="F411" s="553">
        <f>F412</f>
        <v>0</v>
      </c>
      <c r="G411" s="447">
        <f>G412</f>
        <v>0</v>
      </c>
    </row>
    <row r="412" spans="1:7" ht="48" customHeight="1" hidden="1">
      <c r="A412" s="454" t="s">
        <v>654</v>
      </c>
      <c r="B412" s="445" t="s">
        <v>721</v>
      </c>
      <c r="C412" s="445" t="s">
        <v>832</v>
      </c>
      <c r="D412" s="445" t="s">
        <v>1079</v>
      </c>
      <c r="E412" s="446" t="s">
        <v>655</v>
      </c>
      <c r="F412" s="553"/>
      <c r="G412" s="447"/>
    </row>
    <row r="413" spans="1:7" ht="48" customHeight="1" hidden="1">
      <c r="A413" s="466" t="s">
        <v>1080</v>
      </c>
      <c r="B413" s="445" t="s">
        <v>721</v>
      </c>
      <c r="C413" s="445" t="s">
        <v>832</v>
      </c>
      <c r="D413" s="455" t="s">
        <v>1081</v>
      </c>
      <c r="E413" s="446"/>
      <c r="F413" s="553">
        <f aca="true" t="shared" si="19" ref="F413:G415">F414</f>
        <v>0</v>
      </c>
      <c r="G413" s="447">
        <f t="shared" si="19"/>
        <v>0</v>
      </c>
    </row>
    <row r="414" spans="1:7" ht="48" customHeight="1" hidden="1">
      <c r="A414" s="466" t="s">
        <v>1082</v>
      </c>
      <c r="B414" s="445" t="s">
        <v>721</v>
      </c>
      <c r="C414" s="445" t="s">
        <v>832</v>
      </c>
      <c r="D414" s="455" t="s">
        <v>1083</v>
      </c>
      <c r="E414" s="446"/>
      <c r="F414" s="553">
        <f t="shared" si="19"/>
        <v>0</v>
      </c>
      <c r="G414" s="447">
        <f t="shared" si="19"/>
        <v>0</v>
      </c>
    </row>
    <row r="415" spans="1:7" ht="48" customHeight="1" hidden="1">
      <c r="A415" s="466" t="s">
        <v>1084</v>
      </c>
      <c r="B415" s="445" t="s">
        <v>721</v>
      </c>
      <c r="C415" s="445" t="s">
        <v>832</v>
      </c>
      <c r="D415" s="512" t="s">
        <v>1085</v>
      </c>
      <c r="E415" s="446"/>
      <c r="F415" s="553">
        <f t="shared" si="19"/>
        <v>0</v>
      </c>
      <c r="G415" s="447">
        <f t="shared" si="19"/>
        <v>0</v>
      </c>
    </row>
    <row r="416" spans="1:7" ht="48" customHeight="1" hidden="1">
      <c r="A416" s="454" t="s">
        <v>654</v>
      </c>
      <c r="B416" s="445" t="s">
        <v>721</v>
      </c>
      <c r="C416" s="445" t="s">
        <v>832</v>
      </c>
      <c r="D416" s="455" t="s">
        <v>1085</v>
      </c>
      <c r="E416" s="446" t="s">
        <v>655</v>
      </c>
      <c r="F416" s="553"/>
      <c r="G416" s="447"/>
    </row>
    <row r="417" spans="1:7" ht="21" customHeight="1">
      <c r="A417" s="451" t="s">
        <v>1086</v>
      </c>
      <c r="B417" s="445" t="s">
        <v>852</v>
      </c>
      <c r="C417" s="445"/>
      <c r="D417" s="445"/>
      <c r="E417" s="481"/>
      <c r="F417" s="553">
        <f>F418+F447</f>
        <v>22659094</v>
      </c>
      <c r="G417" s="447">
        <f>G418+G447</f>
        <v>23389220</v>
      </c>
    </row>
    <row r="418" spans="1:7" ht="21" customHeight="1">
      <c r="A418" s="451" t="s">
        <v>1087</v>
      </c>
      <c r="B418" s="445" t="s">
        <v>852</v>
      </c>
      <c r="C418" s="445" t="s">
        <v>633</v>
      </c>
      <c r="D418" s="474"/>
      <c r="E418" s="481"/>
      <c r="F418" s="553">
        <f>F419+F442</f>
        <v>18962922</v>
      </c>
      <c r="G418" s="447">
        <f>G419+G442</f>
        <v>20693048</v>
      </c>
    </row>
    <row r="419" spans="1:7" ht="28.5" customHeight="1">
      <c r="A419" s="451" t="s">
        <v>1088</v>
      </c>
      <c r="B419" s="445" t="s">
        <v>852</v>
      </c>
      <c r="C419" s="445" t="s">
        <v>633</v>
      </c>
      <c r="D419" s="445" t="s">
        <v>1089</v>
      </c>
      <c r="E419" s="481"/>
      <c r="F419" s="553">
        <f>F420+F434</f>
        <v>18957922</v>
      </c>
      <c r="G419" s="447">
        <f>G420+G434</f>
        <v>20688048</v>
      </c>
    </row>
    <row r="420" spans="1:7" s="461" customFormat="1" ht="42.75" customHeight="1">
      <c r="A420" s="451" t="s">
        <v>1090</v>
      </c>
      <c r="B420" s="445" t="s">
        <v>1091</v>
      </c>
      <c r="C420" s="445" t="s">
        <v>633</v>
      </c>
      <c r="D420" s="445" t="s">
        <v>1092</v>
      </c>
      <c r="E420" s="446"/>
      <c r="F420" s="553">
        <f>F421</f>
        <v>10758622</v>
      </c>
      <c r="G420" s="447">
        <f>G421</f>
        <v>12488748</v>
      </c>
    </row>
    <row r="421" spans="1:7" ht="45.75" customHeight="1">
      <c r="A421" s="465" t="s">
        <v>1093</v>
      </c>
      <c r="B421" s="445" t="s">
        <v>1091</v>
      </c>
      <c r="C421" s="445" t="s">
        <v>633</v>
      </c>
      <c r="D421" s="445" t="s">
        <v>1094</v>
      </c>
      <c r="E421" s="446"/>
      <c r="F421" s="553">
        <f>F422+F426+F432+F430+F424</f>
        <v>10758622</v>
      </c>
      <c r="G421" s="447">
        <f>G422+G426+G432+G430+G424</f>
        <v>12488748</v>
      </c>
    </row>
    <row r="422" spans="1:7" ht="48" customHeight="1" hidden="1">
      <c r="A422" s="466" t="s">
        <v>1243</v>
      </c>
      <c r="B422" s="445" t="s">
        <v>1091</v>
      </c>
      <c r="C422" s="445" t="s">
        <v>633</v>
      </c>
      <c r="D422" s="445" t="s">
        <v>1244</v>
      </c>
      <c r="E422" s="446"/>
      <c r="F422" s="553">
        <f>F423</f>
        <v>0</v>
      </c>
      <c r="G422" s="447">
        <f>G423</f>
        <v>0</v>
      </c>
    </row>
    <row r="423" spans="1:7" ht="48" customHeight="1" hidden="1">
      <c r="A423" s="454" t="s">
        <v>654</v>
      </c>
      <c r="B423" s="445" t="s">
        <v>1091</v>
      </c>
      <c r="C423" s="445" t="s">
        <v>633</v>
      </c>
      <c r="D423" s="445" t="s">
        <v>1244</v>
      </c>
      <c r="E423" s="446" t="s">
        <v>655</v>
      </c>
      <c r="F423" s="553"/>
      <c r="G423" s="447"/>
    </row>
    <row r="424" spans="1:7" ht="48" customHeight="1" hidden="1">
      <c r="A424" s="556" t="s">
        <v>1245</v>
      </c>
      <c r="B424" s="445" t="s">
        <v>1091</v>
      </c>
      <c r="C424" s="445" t="s">
        <v>633</v>
      </c>
      <c r="D424" s="445" t="s">
        <v>1246</v>
      </c>
      <c r="E424" s="446"/>
      <c r="F424" s="553">
        <f>F425</f>
        <v>0</v>
      </c>
      <c r="G424" s="447">
        <f>G425</f>
        <v>0</v>
      </c>
    </row>
    <row r="425" spans="1:7" ht="48" customHeight="1" hidden="1">
      <c r="A425" s="454" t="s">
        <v>654</v>
      </c>
      <c r="B425" s="445" t="s">
        <v>1091</v>
      </c>
      <c r="C425" s="445" t="s">
        <v>633</v>
      </c>
      <c r="D425" s="445" t="s">
        <v>1246</v>
      </c>
      <c r="E425" s="446" t="s">
        <v>655</v>
      </c>
      <c r="F425" s="553"/>
      <c r="G425" s="447"/>
    </row>
    <row r="426" spans="1:7" ht="26.25">
      <c r="A426" s="451" t="s">
        <v>816</v>
      </c>
      <c r="B426" s="445" t="s">
        <v>1091</v>
      </c>
      <c r="C426" s="445" t="s">
        <v>633</v>
      </c>
      <c r="D426" s="445" t="s">
        <v>1095</v>
      </c>
      <c r="E426" s="446"/>
      <c r="F426" s="553">
        <f>F427+F428+F429</f>
        <v>10758622</v>
      </c>
      <c r="G426" s="447">
        <f>G427+G428+G429</f>
        <v>12488748</v>
      </c>
    </row>
    <row r="427" spans="1:7" ht="42.75" customHeight="1">
      <c r="A427" s="454" t="s">
        <v>642</v>
      </c>
      <c r="B427" s="445" t="s">
        <v>1091</v>
      </c>
      <c r="C427" s="445" t="s">
        <v>633</v>
      </c>
      <c r="D427" s="445" t="s">
        <v>1095</v>
      </c>
      <c r="E427" s="446" t="s">
        <v>643</v>
      </c>
      <c r="F427" s="553">
        <v>9049474</v>
      </c>
      <c r="G427" s="447">
        <f>8779600+2000000</f>
        <v>10779600</v>
      </c>
    </row>
    <row r="428" spans="1:7" ht="26.25" customHeight="1">
      <c r="A428" s="454" t="s">
        <v>654</v>
      </c>
      <c r="B428" s="445" t="s">
        <v>1091</v>
      </c>
      <c r="C428" s="445" t="s">
        <v>633</v>
      </c>
      <c r="D428" s="445" t="s">
        <v>1095</v>
      </c>
      <c r="E428" s="446" t="s">
        <v>655</v>
      </c>
      <c r="F428" s="553">
        <v>1641748</v>
      </c>
      <c r="G428" s="447">
        <v>1641748</v>
      </c>
    </row>
    <row r="429" spans="1:7" ht="21.75" customHeight="1">
      <c r="A429" s="486" t="s">
        <v>696</v>
      </c>
      <c r="B429" s="445" t="s">
        <v>1091</v>
      </c>
      <c r="C429" s="445" t="s">
        <v>633</v>
      </c>
      <c r="D429" s="445" t="s">
        <v>1095</v>
      </c>
      <c r="E429" s="446" t="s">
        <v>697</v>
      </c>
      <c r="F429" s="553">
        <v>67400</v>
      </c>
      <c r="G429" s="447">
        <v>67400</v>
      </c>
    </row>
    <row r="430" spans="1:7" ht="48" customHeight="1" hidden="1">
      <c r="A430" s="556" t="s">
        <v>1329</v>
      </c>
      <c r="B430" s="445" t="s">
        <v>1091</v>
      </c>
      <c r="C430" s="445" t="s">
        <v>633</v>
      </c>
      <c r="D430" s="445" t="s">
        <v>1330</v>
      </c>
      <c r="E430" s="446"/>
      <c r="F430" s="553">
        <f>F431</f>
        <v>0</v>
      </c>
      <c r="G430" s="447">
        <f>G431</f>
        <v>0</v>
      </c>
    </row>
    <row r="431" spans="1:7" ht="48" customHeight="1" hidden="1">
      <c r="A431" s="454" t="s">
        <v>654</v>
      </c>
      <c r="B431" s="445" t="s">
        <v>1091</v>
      </c>
      <c r="C431" s="445" t="s">
        <v>633</v>
      </c>
      <c r="D431" s="445" t="s">
        <v>1330</v>
      </c>
      <c r="E431" s="446" t="s">
        <v>655</v>
      </c>
      <c r="F431" s="553"/>
      <c r="G431" s="447"/>
    </row>
    <row r="432" spans="1:7" ht="48" customHeight="1" hidden="1">
      <c r="A432" s="486" t="s">
        <v>1331</v>
      </c>
      <c r="B432" s="445" t="s">
        <v>1091</v>
      </c>
      <c r="C432" s="445" t="s">
        <v>633</v>
      </c>
      <c r="D432" s="474" t="s">
        <v>1332</v>
      </c>
      <c r="E432" s="446"/>
      <c r="F432" s="553">
        <f>F433</f>
        <v>0</v>
      </c>
      <c r="G432" s="447">
        <f>G433</f>
        <v>0</v>
      </c>
    </row>
    <row r="433" spans="1:7" ht="48" customHeight="1" hidden="1">
      <c r="A433" s="454" t="s">
        <v>654</v>
      </c>
      <c r="B433" s="445" t="s">
        <v>1091</v>
      </c>
      <c r="C433" s="445" t="s">
        <v>633</v>
      </c>
      <c r="D433" s="474" t="s">
        <v>1332</v>
      </c>
      <c r="E433" s="446" t="s">
        <v>655</v>
      </c>
      <c r="F433" s="553"/>
      <c r="G433" s="447"/>
    </row>
    <row r="434" spans="1:7" s="461" customFormat="1" ht="42.75" customHeight="1">
      <c r="A434" s="451" t="s">
        <v>1098</v>
      </c>
      <c r="B434" s="445" t="s">
        <v>1091</v>
      </c>
      <c r="C434" s="445" t="s">
        <v>633</v>
      </c>
      <c r="D434" s="474" t="s">
        <v>1099</v>
      </c>
      <c r="E434" s="446"/>
      <c r="F434" s="553">
        <f>F435</f>
        <v>8199300</v>
      </c>
      <c r="G434" s="447">
        <f>G435</f>
        <v>8199300</v>
      </c>
    </row>
    <row r="435" spans="1:7" ht="28.5" customHeight="1">
      <c r="A435" s="466" t="s">
        <v>1100</v>
      </c>
      <c r="B435" s="445" t="s">
        <v>1091</v>
      </c>
      <c r="C435" s="445" t="s">
        <v>633</v>
      </c>
      <c r="D435" s="474" t="s">
        <v>1101</v>
      </c>
      <c r="E435" s="446"/>
      <c r="F435" s="553">
        <f>F436+F440</f>
        <v>8199300</v>
      </c>
      <c r="G435" s="447">
        <f>G436+G440</f>
        <v>8199300</v>
      </c>
    </row>
    <row r="436" spans="1:7" ht="26.25">
      <c r="A436" s="451" t="s">
        <v>816</v>
      </c>
      <c r="B436" s="445" t="s">
        <v>1091</v>
      </c>
      <c r="C436" s="445" t="s">
        <v>633</v>
      </c>
      <c r="D436" s="474" t="s">
        <v>1102</v>
      </c>
      <c r="E436" s="446"/>
      <c r="F436" s="553">
        <f>F437+F438+F439</f>
        <v>8199300</v>
      </c>
      <c r="G436" s="447">
        <f>G437+G438+G439</f>
        <v>8199300</v>
      </c>
    </row>
    <row r="437" spans="1:7" ht="40.5" customHeight="1">
      <c r="A437" s="454" t="s">
        <v>642</v>
      </c>
      <c r="B437" s="445" t="s">
        <v>1091</v>
      </c>
      <c r="C437" s="445" t="s">
        <v>633</v>
      </c>
      <c r="D437" s="474" t="s">
        <v>1102</v>
      </c>
      <c r="E437" s="446" t="s">
        <v>643</v>
      </c>
      <c r="F437" s="553">
        <v>7967000</v>
      </c>
      <c r="G437" s="447">
        <v>7967000</v>
      </c>
    </row>
    <row r="438" spans="1:7" ht="27" customHeight="1">
      <c r="A438" s="454" t="s">
        <v>654</v>
      </c>
      <c r="B438" s="445" t="s">
        <v>1091</v>
      </c>
      <c r="C438" s="445" t="s">
        <v>633</v>
      </c>
      <c r="D438" s="474" t="s">
        <v>1102</v>
      </c>
      <c r="E438" s="446" t="s">
        <v>655</v>
      </c>
      <c r="F438" s="553">
        <v>230200</v>
      </c>
      <c r="G438" s="447">
        <v>230200</v>
      </c>
    </row>
    <row r="439" spans="1:7" ht="12.75" customHeight="1">
      <c r="A439" s="486" t="s">
        <v>696</v>
      </c>
      <c r="B439" s="445" t="s">
        <v>1091</v>
      </c>
      <c r="C439" s="445" t="s">
        <v>633</v>
      </c>
      <c r="D439" s="474" t="s">
        <v>1102</v>
      </c>
      <c r="E439" s="446" t="s">
        <v>697</v>
      </c>
      <c r="F439" s="553">
        <v>2100</v>
      </c>
      <c r="G439" s="447">
        <v>2100</v>
      </c>
    </row>
    <row r="440" spans="1:7" ht="48" customHeight="1" hidden="1">
      <c r="A440" s="486" t="s">
        <v>1247</v>
      </c>
      <c r="B440" s="445" t="s">
        <v>1091</v>
      </c>
      <c r="C440" s="445" t="s">
        <v>633</v>
      </c>
      <c r="D440" s="474" t="s">
        <v>1248</v>
      </c>
      <c r="E440" s="446"/>
      <c r="F440" s="553">
        <f>F441</f>
        <v>0</v>
      </c>
      <c r="G440" s="447">
        <f>G441</f>
        <v>0</v>
      </c>
    </row>
    <row r="441" spans="1:7" ht="48" customHeight="1" hidden="1">
      <c r="A441" s="454" t="s">
        <v>704</v>
      </c>
      <c r="B441" s="445" t="s">
        <v>1091</v>
      </c>
      <c r="C441" s="445" t="s">
        <v>633</v>
      </c>
      <c r="D441" s="474" t="s">
        <v>1248</v>
      </c>
      <c r="E441" s="446" t="s">
        <v>655</v>
      </c>
      <c r="F441" s="553">
        <f>20000-20000</f>
        <v>0</v>
      </c>
      <c r="G441" s="447">
        <f>20000-20000</f>
        <v>0</v>
      </c>
    </row>
    <row r="442" spans="1:7" ht="25.5">
      <c r="A442" s="508" t="s">
        <v>1103</v>
      </c>
      <c r="B442" s="445" t="s">
        <v>1091</v>
      </c>
      <c r="C442" s="445" t="s">
        <v>633</v>
      </c>
      <c r="D442" s="445" t="s">
        <v>1027</v>
      </c>
      <c r="E442" s="456"/>
      <c r="F442" s="553">
        <f aca="true" t="shared" si="20" ref="F442:G445">F443</f>
        <v>5000</v>
      </c>
      <c r="G442" s="447">
        <f t="shared" si="20"/>
        <v>5000</v>
      </c>
    </row>
    <row r="443" spans="1:7" ht="51">
      <c r="A443" s="465" t="s">
        <v>1028</v>
      </c>
      <c r="B443" s="445" t="s">
        <v>1091</v>
      </c>
      <c r="C443" s="445" t="s">
        <v>633</v>
      </c>
      <c r="D443" s="445" t="s">
        <v>1029</v>
      </c>
      <c r="E443" s="456"/>
      <c r="F443" s="553">
        <f t="shared" si="20"/>
        <v>5000</v>
      </c>
      <c r="G443" s="447">
        <f t="shared" si="20"/>
        <v>5000</v>
      </c>
    </row>
    <row r="444" spans="1:7" ht="25.5">
      <c r="A444" s="496" t="s">
        <v>1030</v>
      </c>
      <c r="B444" s="445" t="s">
        <v>1091</v>
      </c>
      <c r="C444" s="445" t="s">
        <v>633</v>
      </c>
      <c r="D444" s="445" t="s">
        <v>1031</v>
      </c>
      <c r="E444" s="456"/>
      <c r="F444" s="553">
        <f t="shared" si="20"/>
        <v>5000</v>
      </c>
      <c r="G444" s="447">
        <f t="shared" si="20"/>
        <v>5000</v>
      </c>
    </row>
    <row r="445" spans="1:7" ht="15">
      <c r="A445" s="496" t="s">
        <v>1032</v>
      </c>
      <c r="B445" s="445" t="s">
        <v>1091</v>
      </c>
      <c r="C445" s="445" t="s">
        <v>633</v>
      </c>
      <c r="D445" s="445" t="s">
        <v>1033</v>
      </c>
      <c r="E445" s="456"/>
      <c r="F445" s="553">
        <f t="shared" si="20"/>
        <v>5000</v>
      </c>
      <c r="G445" s="447">
        <f t="shared" si="20"/>
        <v>5000</v>
      </c>
    </row>
    <row r="446" spans="1:7" ht="26.25">
      <c r="A446" s="454" t="s">
        <v>654</v>
      </c>
      <c r="B446" s="445" t="s">
        <v>1091</v>
      </c>
      <c r="C446" s="445" t="s">
        <v>633</v>
      </c>
      <c r="D446" s="445" t="s">
        <v>1033</v>
      </c>
      <c r="E446" s="446" t="s">
        <v>655</v>
      </c>
      <c r="F446" s="553">
        <v>5000</v>
      </c>
      <c r="G446" s="447">
        <v>5000</v>
      </c>
    </row>
    <row r="447" spans="1:7" ht="15">
      <c r="A447" s="451" t="s">
        <v>1104</v>
      </c>
      <c r="B447" s="445" t="s">
        <v>852</v>
      </c>
      <c r="C447" s="445" t="s">
        <v>658</v>
      </c>
      <c r="D447" s="445"/>
      <c r="E447" s="446"/>
      <c r="F447" s="553">
        <f>F448</f>
        <v>3696172</v>
      </c>
      <c r="G447" s="447">
        <f>G448</f>
        <v>2696172</v>
      </c>
    </row>
    <row r="448" spans="1:7" ht="32.25" customHeight="1">
      <c r="A448" s="451" t="s">
        <v>1088</v>
      </c>
      <c r="B448" s="445" t="s">
        <v>852</v>
      </c>
      <c r="C448" s="445" t="s">
        <v>658</v>
      </c>
      <c r="D448" s="445" t="s">
        <v>1089</v>
      </c>
      <c r="E448" s="446"/>
      <c r="F448" s="553">
        <f>F449</f>
        <v>3696172</v>
      </c>
      <c r="G448" s="447">
        <f>G449</f>
        <v>2696172</v>
      </c>
    </row>
    <row r="449" spans="1:7" ht="56.25" customHeight="1">
      <c r="A449" s="451" t="s">
        <v>1105</v>
      </c>
      <c r="B449" s="445" t="s">
        <v>852</v>
      </c>
      <c r="C449" s="445" t="s">
        <v>658</v>
      </c>
      <c r="D449" s="445" t="s">
        <v>1106</v>
      </c>
      <c r="E449" s="446"/>
      <c r="F449" s="553">
        <f>F450+F455</f>
        <v>3696172</v>
      </c>
      <c r="G449" s="447">
        <f>G450+G455</f>
        <v>2696172</v>
      </c>
    </row>
    <row r="450" spans="1:7" ht="28.5" customHeight="1">
      <c r="A450" s="513" t="s">
        <v>1107</v>
      </c>
      <c r="B450" s="445" t="s">
        <v>852</v>
      </c>
      <c r="C450" s="445" t="s">
        <v>658</v>
      </c>
      <c r="D450" s="445" t="s">
        <v>1108</v>
      </c>
      <c r="E450" s="446"/>
      <c r="F450" s="553">
        <f>F451</f>
        <v>3643300</v>
      </c>
      <c r="G450" s="447">
        <f>G451</f>
        <v>2643300</v>
      </c>
    </row>
    <row r="451" spans="1:7" ht="32.25" customHeight="1">
      <c r="A451" s="451" t="s">
        <v>816</v>
      </c>
      <c r="B451" s="445" t="s">
        <v>852</v>
      </c>
      <c r="C451" s="445" t="s">
        <v>658</v>
      </c>
      <c r="D451" s="445" t="s">
        <v>1109</v>
      </c>
      <c r="E451" s="446"/>
      <c r="F451" s="553">
        <f>F452+F453+F454</f>
        <v>3643300</v>
      </c>
      <c r="G451" s="447">
        <f>G452+G453+G454</f>
        <v>2643300</v>
      </c>
    </row>
    <row r="452" spans="1:7" ht="42.75" customHeight="1">
      <c r="A452" s="454" t="s">
        <v>642</v>
      </c>
      <c r="B452" s="445" t="s">
        <v>852</v>
      </c>
      <c r="C452" s="445" t="s">
        <v>658</v>
      </c>
      <c r="D452" s="445" t="s">
        <v>1109</v>
      </c>
      <c r="E452" s="446" t="s">
        <v>643</v>
      </c>
      <c r="F452" s="553">
        <v>3411200</v>
      </c>
      <c r="G452" s="447">
        <v>2411200</v>
      </c>
    </row>
    <row r="453" spans="1:7" ht="26.25" customHeight="1">
      <c r="A453" s="454" t="s">
        <v>654</v>
      </c>
      <c r="B453" s="445" t="s">
        <v>852</v>
      </c>
      <c r="C453" s="445" t="s">
        <v>658</v>
      </c>
      <c r="D453" s="445" t="s">
        <v>1109</v>
      </c>
      <c r="E453" s="446" t="s">
        <v>655</v>
      </c>
      <c r="F453" s="553">
        <v>230100</v>
      </c>
      <c r="G453" s="447">
        <v>230100</v>
      </c>
    </row>
    <row r="454" spans="1:7" ht="15.75" customHeight="1">
      <c r="A454" s="486" t="s">
        <v>696</v>
      </c>
      <c r="B454" s="445" t="s">
        <v>852</v>
      </c>
      <c r="C454" s="445" t="s">
        <v>658</v>
      </c>
      <c r="D454" s="445" t="s">
        <v>1109</v>
      </c>
      <c r="E454" s="446" t="s">
        <v>697</v>
      </c>
      <c r="F454" s="553">
        <v>2000</v>
      </c>
      <c r="G454" s="447">
        <v>2000</v>
      </c>
    </row>
    <row r="455" spans="1:7" ht="38.25" customHeight="1">
      <c r="A455" s="514" t="s">
        <v>1110</v>
      </c>
      <c r="B455" s="445" t="s">
        <v>852</v>
      </c>
      <c r="C455" s="445" t="s">
        <v>658</v>
      </c>
      <c r="D455" s="445" t="s">
        <v>1111</v>
      </c>
      <c r="E455" s="446"/>
      <c r="F455" s="553">
        <f>F456</f>
        <v>52872</v>
      </c>
      <c r="G455" s="447">
        <f>G456</f>
        <v>52872</v>
      </c>
    </row>
    <row r="456" spans="1:7" ht="42.75" customHeight="1">
      <c r="A456" s="452" t="s">
        <v>1112</v>
      </c>
      <c r="B456" s="445" t="s">
        <v>852</v>
      </c>
      <c r="C456" s="445" t="s">
        <v>658</v>
      </c>
      <c r="D456" s="445" t="s">
        <v>1113</v>
      </c>
      <c r="E456" s="446"/>
      <c r="F456" s="553">
        <f>F457</f>
        <v>52872</v>
      </c>
      <c r="G456" s="447">
        <f>G457</f>
        <v>52872</v>
      </c>
    </row>
    <row r="457" spans="1:7" ht="42" customHeight="1">
      <c r="A457" s="454" t="s">
        <v>642</v>
      </c>
      <c r="B457" s="445" t="s">
        <v>852</v>
      </c>
      <c r="C457" s="445" t="s">
        <v>658</v>
      </c>
      <c r="D457" s="445" t="s">
        <v>1113</v>
      </c>
      <c r="E457" s="446" t="s">
        <v>643</v>
      </c>
      <c r="F457" s="553">
        <v>52872</v>
      </c>
      <c r="G457" s="447">
        <v>52872</v>
      </c>
    </row>
    <row r="458" spans="1:7" ht="17.25" customHeight="1">
      <c r="A458" s="451" t="s">
        <v>1114</v>
      </c>
      <c r="B458" s="445" t="s">
        <v>832</v>
      </c>
      <c r="C458" s="445"/>
      <c r="D458" s="474"/>
      <c r="E458" s="481"/>
      <c r="F458" s="553">
        <f aca="true" t="shared" si="21" ref="F458:G460">F459</f>
        <v>280884</v>
      </c>
      <c r="G458" s="447">
        <f t="shared" si="21"/>
        <v>280884</v>
      </c>
    </row>
    <row r="459" spans="1:7" ht="22.5" customHeight="1">
      <c r="A459" s="515" t="s">
        <v>1115</v>
      </c>
      <c r="B459" s="445" t="s">
        <v>832</v>
      </c>
      <c r="C459" s="445" t="s">
        <v>721</v>
      </c>
      <c r="D459" s="445"/>
      <c r="E459" s="446"/>
      <c r="F459" s="553">
        <f t="shared" si="21"/>
        <v>280884</v>
      </c>
      <c r="G459" s="447">
        <f t="shared" si="21"/>
        <v>280884</v>
      </c>
    </row>
    <row r="460" spans="1:7" ht="18" customHeight="1">
      <c r="A460" s="451" t="s">
        <v>698</v>
      </c>
      <c r="B460" s="445" t="s">
        <v>832</v>
      </c>
      <c r="C460" s="445" t="s">
        <v>721</v>
      </c>
      <c r="D460" s="470" t="s">
        <v>699</v>
      </c>
      <c r="E460" s="456"/>
      <c r="F460" s="553">
        <f t="shared" si="21"/>
        <v>280884</v>
      </c>
      <c r="G460" s="447">
        <f t="shared" si="21"/>
        <v>280884</v>
      </c>
    </row>
    <row r="461" spans="1:7" ht="17.25" customHeight="1">
      <c r="A461" s="451" t="s">
        <v>705</v>
      </c>
      <c r="B461" s="445" t="s">
        <v>832</v>
      </c>
      <c r="C461" s="445" t="s">
        <v>721</v>
      </c>
      <c r="D461" s="445" t="s">
        <v>706</v>
      </c>
      <c r="E461" s="446"/>
      <c r="F461" s="553">
        <f>F462+F464</f>
        <v>280884</v>
      </c>
      <c r="G461" s="447">
        <f>G462+G464</f>
        <v>280884</v>
      </c>
    </row>
    <row r="462" spans="1:7" ht="31.5" customHeight="1">
      <c r="A462" s="468" t="s">
        <v>1116</v>
      </c>
      <c r="B462" s="445" t="s">
        <v>832</v>
      </c>
      <c r="C462" s="445" t="s">
        <v>721</v>
      </c>
      <c r="D462" s="445" t="s">
        <v>1117</v>
      </c>
      <c r="E462" s="446"/>
      <c r="F462" s="553">
        <f>F463</f>
        <v>280884</v>
      </c>
      <c r="G462" s="447">
        <f>G463</f>
        <v>280884</v>
      </c>
    </row>
    <row r="463" spans="1:7" ht="29.25" customHeight="1">
      <c r="A463" s="454" t="s">
        <v>654</v>
      </c>
      <c r="B463" s="445" t="s">
        <v>832</v>
      </c>
      <c r="C463" s="445" t="s">
        <v>721</v>
      </c>
      <c r="D463" s="445" t="s">
        <v>1117</v>
      </c>
      <c r="E463" s="456" t="s">
        <v>655</v>
      </c>
      <c r="F463" s="553">
        <f>5758+275126</f>
        <v>280884</v>
      </c>
      <c r="G463" s="447">
        <f>5758+275126</f>
        <v>280884</v>
      </c>
    </row>
    <row r="464" spans="1:7" ht="48" customHeight="1" hidden="1">
      <c r="A464" s="466" t="s">
        <v>1215</v>
      </c>
      <c r="B464" s="445" t="s">
        <v>832</v>
      </c>
      <c r="C464" s="445" t="s">
        <v>721</v>
      </c>
      <c r="D464" s="445" t="s">
        <v>708</v>
      </c>
      <c r="E464" s="446"/>
      <c r="F464" s="553">
        <f>F465</f>
        <v>0</v>
      </c>
      <c r="G464" s="447">
        <f>G465</f>
        <v>0</v>
      </c>
    </row>
    <row r="465" spans="1:7" ht="48" customHeight="1" hidden="1">
      <c r="A465" s="454" t="s">
        <v>654</v>
      </c>
      <c r="B465" s="445" t="s">
        <v>832</v>
      </c>
      <c r="C465" s="445" t="s">
        <v>721</v>
      </c>
      <c r="D465" s="445" t="s">
        <v>708</v>
      </c>
      <c r="E465" s="456" t="s">
        <v>643</v>
      </c>
      <c r="F465" s="553"/>
      <c r="G465" s="447"/>
    </row>
    <row r="466" spans="1:7" ht="17.25" customHeight="1">
      <c r="A466" s="451" t="s">
        <v>1118</v>
      </c>
      <c r="B466" s="445" t="s">
        <v>1119</v>
      </c>
      <c r="C466" s="445"/>
      <c r="D466" s="474"/>
      <c r="E466" s="481"/>
      <c r="F466" s="553">
        <f>F467+F473+F514</f>
        <v>45620221</v>
      </c>
      <c r="G466" s="447">
        <f>G467+G473+G514</f>
        <v>45620221</v>
      </c>
    </row>
    <row r="467" spans="1:7" ht="15">
      <c r="A467" s="451" t="s">
        <v>1120</v>
      </c>
      <c r="B467" s="445" t="s">
        <v>1119</v>
      </c>
      <c r="C467" s="445" t="s">
        <v>633</v>
      </c>
      <c r="D467" s="445"/>
      <c r="E467" s="446"/>
      <c r="F467" s="553">
        <f>F468</f>
        <v>148731</v>
      </c>
      <c r="G467" s="447">
        <f>G468</f>
        <v>148731</v>
      </c>
    </row>
    <row r="468" spans="1:7" ht="41.25" customHeight="1">
      <c r="A468" s="451" t="s">
        <v>1121</v>
      </c>
      <c r="B468" s="445" t="s">
        <v>1119</v>
      </c>
      <c r="C468" s="445" t="s">
        <v>633</v>
      </c>
      <c r="D468" s="445" t="s">
        <v>660</v>
      </c>
      <c r="E468" s="446"/>
      <c r="F468" s="553">
        <f>F469</f>
        <v>148731</v>
      </c>
      <c r="G468" s="447">
        <f>G469</f>
        <v>148731</v>
      </c>
    </row>
    <row r="469" spans="1:7" s="461" customFormat="1" ht="55.5" customHeight="1">
      <c r="A469" s="576" t="s">
        <v>1122</v>
      </c>
      <c r="B469" s="445" t="s">
        <v>1119</v>
      </c>
      <c r="C469" s="445" t="s">
        <v>633</v>
      </c>
      <c r="D469" s="445" t="s">
        <v>738</v>
      </c>
      <c r="E469" s="446"/>
      <c r="F469" s="553">
        <f>F471</f>
        <v>148731</v>
      </c>
      <c r="G469" s="447">
        <f>G471</f>
        <v>148731</v>
      </c>
    </row>
    <row r="470" spans="1:7" ht="30.75" customHeight="1">
      <c r="A470" s="480" t="s">
        <v>1123</v>
      </c>
      <c r="B470" s="445" t="s">
        <v>1119</v>
      </c>
      <c r="C470" s="445" t="s">
        <v>633</v>
      </c>
      <c r="D470" s="445" t="s">
        <v>1124</v>
      </c>
      <c r="E470" s="446"/>
      <c r="F470" s="553">
        <f>F471</f>
        <v>148731</v>
      </c>
      <c r="G470" s="447">
        <f>G471</f>
        <v>148731</v>
      </c>
    </row>
    <row r="471" spans="1:7" ht="21.75" customHeight="1">
      <c r="A471" s="576" t="s">
        <v>1125</v>
      </c>
      <c r="B471" s="445" t="s">
        <v>1126</v>
      </c>
      <c r="C471" s="445" t="s">
        <v>633</v>
      </c>
      <c r="D471" s="445" t="s">
        <v>1127</v>
      </c>
      <c r="E471" s="446"/>
      <c r="F471" s="553">
        <f>F472</f>
        <v>148731</v>
      </c>
      <c r="G471" s="447">
        <f>G472</f>
        <v>148731</v>
      </c>
    </row>
    <row r="472" spans="1:7" ht="15">
      <c r="A472" s="486" t="s">
        <v>827</v>
      </c>
      <c r="B472" s="445" t="s">
        <v>1126</v>
      </c>
      <c r="C472" s="445" t="s">
        <v>633</v>
      </c>
      <c r="D472" s="445" t="s">
        <v>1127</v>
      </c>
      <c r="E472" s="446" t="s">
        <v>828</v>
      </c>
      <c r="F472" s="553">
        <v>148731</v>
      </c>
      <c r="G472" s="447">
        <v>148731</v>
      </c>
    </row>
    <row r="473" spans="1:7" ht="15">
      <c r="A473" s="451" t="s">
        <v>1128</v>
      </c>
      <c r="B473" s="445">
        <v>10</v>
      </c>
      <c r="C473" s="445" t="s">
        <v>645</v>
      </c>
      <c r="D473" s="445"/>
      <c r="E473" s="446"/>
      <c r="F473" s="553">
        <f>F479+F505+F494+F474</f>
        <v>32779629</v>
      </c>
      <c r="G473" s="447">
        <f>G479+G505+G494+G474</f>
        <v>32779629</v>
      </c>
    </row>
    <row r="474" spans="1:7" ht="26.25">
      <c r="A474" s="451" t="s">
        <v>1088</v>
      </c>
      <c r="B474" s="445">
        <v>10</v>
      </c>
      <c r="C474" s="445" t="s">
        <v>645</v>
      </c>
      <c r="D474" s="445" t="s">
        <v>1089</v>
      </c>
      <c r="E474" s="446"/>
      <c r="F474" s="553">
        <f aca="true" t="shared" si="22" ref="F474:G477">F475</f>
        <v>1416480</v>
      </c>
      <c r="G474" s="447">
        <f t="shared" si="22"/>
        <v>1416480</v>
      </c>
    </row>
    <row r="475" spans="1:7" s="461" customFormat="1" ht="57.75" customHeight="1">
      <c r="A475" s="451" t="s">
        <v>1105</v>
      </c>
      <c r="B475" s="445">
        <v>10</v>
      </c>
      <c r="C475" s="445" t="s">
        <v>645</v>
      </c>
      <c r="D475" s="445" t="s">
        <v>1106</v>
      </c>
      <c r="E475" s="446"/>
      <c r="F475" s="553">
        <f t="shared" si="22"/>
        <v>1416480</v>
      </c>
      <c r="G475" s="447">
        <f t="shared" si="22"/>
        <v>1416480</v>
      </c>
    </row>
    <row r="476" spans="1:7" ht="32.25" customHeight="1">
      <c r="A476" s="480" t="s">
        <v>1129</v>
      </c>
      <c r="B476" s="445">
        <v>10</v>
      </c>
      <c r="C476" s="445" t="s">
        <v>645</v>
      </c>
      <c r="D476" s="445" t="s">
        <v>1130</v>
      </c>
      <c r="E476" s="446"/>
      <c r="F476" s="553">
        <f t="shared" si="22"/>
        <v>1416480</v>
      </c>
      <c r="G476" s="447">
        <f t="shared" si="22"/>
        <v>1416480</v>
      </c>
    </row>
    <row r="477" spans="1:7" ht="36" customHeight="1">
      <c r="A477" s="556" t="s">
        <v>1131</v>
      </c>
      <c r="B477" s="445">
        <v>10</v>
      </c>
      <c r="C477" s="445" t="s">
        <v>645</v>
      </c>
      <c r="D477" s="470" t="s">
        <v>1132</v>
      </c>
      <c r="E477" s="446"/>
      <c r="F477" s="553">
        <f t="shared" si="22"/>
        <v>1416480</v>
      </c>
      <c r="G477" s="447">
        <f t="shared" si="22"/>
        <v>1416480</v>
      </c>
    </row>
    <row r="478" spans="1:7" ht="18" customHeight="1">
      <c r="A478" s="486" t="s">
        <v>827</v>
      </c>
      <c r="B478" s="445">
        <v>10</v>
      </c>
      <c r="C478" s="445" t="s">
        <v>645</v>
      </c>
      <c r="D478" s="470" t="s">
        <v>1132</v>
      </c>
      <c r="E478" s="446" t="s">
        <v>828</v>
      </c>
      <c r="F478" s="553">
        <v>1416480</v>
      </c>
      <c r="G478" s="447">
        <v>1416480</v>
      </c>
    </row>
    <row r="479" spans="1:7" ht="46.5" customHeight="1">
      <c r="A479" s="451" t="s">
        <v>1333</v>
      </c>
      <c r="B479" s="445">
        <v>10</v>
      </c>
      <c r="C479" s="445" t="s">
        <v>645</v>
      </c>
      <c r="D479" s="445" t="s">
        <v>660</v>
      </c>
      <c r="E479" s="446"/>
      <c r="F479" s="553">
        <f>F480</f>
        <v>10897141</v>
      </c>
      <c r="G479" s="447">
        <f>G480</f>
        <v>10897141</v>
      </c>
    </row>
    <row r="480" spans="1:8" s="461" customFormat="1" ht="58.5" customHeight="1">
      <c r="A480" s="473" t="s">
        <v>1134</v>
      </c>
      <c r="B480" s="445">
        <v>10</v>
      </c>
      <c r="C480" s="445" t="s">
        <v>645</v>
      </c>
      <c r="D480" s="445" t="s">
        <v>738</v>
      </c>
      <c r="E480" s="446"/>
      <c r="F480" s="553">
        <f>F481</f>
        <v>10897141</v>
      </c>
      <c r="G480" s="447">
        <f>G481</f>
        <v>10897141</v>
      </c>
      <c r="H480" s="498"/>
    </row>
    <row r="481" spans="1:7" ht="28.5" customHeight="1">
      <c r="A481" s="473" t="s">
        <v>1135</v>
      </c>
      <c r="B481" s="445">
        <v>10</v>
      </c>
      <c r="C481" s="445" t="s">
        <v>645</v>
      </c>
      <c r="D481" s="445" t="s">
        <v>1136</v>
      </c>
      <c r="E481" s="446"/>
      <c r="F481" s="553">
        <f>F482+F485+F488+F491</f>
        <v>10897141</v>
      </c>
      <c r="G481" s="447">
        <f>G482+G485+G488+G491</f>
        <v>10897141</v>
      </c>
    </row>
    <row r="482" spans="1:7" ht="26.25">
      <c r="A482" s="452" t="s">
        <v>1137</v>
      </c>
      <c r="B482" s="445">
        <v>10</v>
      </c>
      <c r="C482" s="445" t="s">
        <v>645</v>
      </c>
      <c r="D482" s="445" t="s">
        <v>1138</v>
      </c>
      <c r="E482" s="446"/>
      <c r="F482" s="553">
        <f>F484+F483</f>
        <v>63415</v>
      </c>
      <c r="G482" s="447">
        <f>G484+G483</f>
        <v>63415</v>
      </c>
    </row>
    <row r="483" spans="1:7" ht="27" customHeight="1">
      <c r="A483" s="454" t="s">
        <v>654</v>
      </c>
      <c r="B483" s="445">
        <v>10</v>
      </c>
      <c r="C483" s="445" t="s">
        <v>645</v>
      </c>
      <c r="D483" s="445" t="s">
        <v>1138</v>
      </c>
      <c r="E483" s="446" t="s">
        <v>655</v>
      </c>
      <c r="F483" s="553">
        <v>980</v>
      </c>
      <c r="G483" s="447">
        <v>980</v>
      </c>
    </row>
    <row r="484" spans="1:7" ht="15">
      <c r="A484" s="517" t="s">
        <v>827</v>
      </c>
      <c r="B484" s="445">
        <v>10</v>
      </c>
      <c r="C484" s="445" t="s">
        <v>645</v>
      </c>
      <c r="D484" s="445" t="s">
        <v>1138</v>
      </c>
      <c r="E484" s="446" t="s">
        <v>828</v>
      </c>
      <c r="F484" s="553">
        <v>62435</v>
      </c>
      <c r="G484" s="447">
        <v>62435</v>
      </c>
    </row>
    <row r="485" spans="1:7" ht="26.25" customHeight="1">
      <c r="A485" s="452" t="s">
        <v>1139</v>
      </c>
      <c r="B485" s="445">
        <v>10</v>
      </c>
      <c r="C485" s="445" t="s">
        <v>645</v>
      </c>
      <c r="D485" s="445" t="s">
        <v>1140</v>
      </c>
      <c r="E485" s="446"/>
      <c r="F485" s="553">
        <f>F487+F486</f>
        <v>295849</v>
      </c>
      <c r="G485" s="447">
        <f>G487+G486</f>
        <v>295849</v>
      </c>
    </row>
    <row r="486" spans="1:7" ht="24.75" customHeight="1">
      <c r="A486" s="454" t="s">
        <v>654</v>
      </c>
      <c r="B486" s="445">
        <v>10</v>
      </c>
      <c r="C486" s="445" t="s">
        <v>645</v>
      </c>
      <c r="D486" s="445" t="s">
        <v>1140</v>
      </c>
      <c r="E486" s="446" t="s">
        <v>655</v>
      </c>
      <c r="F486" s="553">
        <v>5240</v>
      </c>
      <c r="G486" s="447">
        <v>5240</v>
      </c>
    </row>
    <row r="487" spans="1:7" ht="15">
      <c r="A487" s="517" t="s">
        <v>827</v>
      </c>
      <c r="B487" s="445">
        <v>10</v>
      </c>
      <c r="C487" s="445" t="s">
        <v>645</v>
      </c>
      <c r="D487" s="445" t="s">
        <v>1140</v>
      </c>
      <c r="E487" s="446" t="s">
        <v>828</v>
      </c>
      <c r="F487" s="553">
        <v>290609</v>
      </c>
      <c r="G487" s="447">
        <v>290609</v>
      </c>
    </row>
    <row r="488" spans="1:7" ht="15" customHeight="1">
      <c r="A488" s="451" t="s">
        <v>1141</v>
      </c>
      <c r="B488" s="445">
        <v>10</v>
      </c>
      <c r="C488" s="445" t="s">
        <v>645</v>
      </c>
      <c r="D488" s="445" t="s">
        <v>1142</v>
      </c>
      <c r="E488" s="446"/>
      <c r="F488" s="553">
        <f>F490+F489</f>
        <v>9062577</v>
      </c>
      <c r="G488" s="447">
        <f>G490+G489</f>
        <v>9062577</v>
      </c>
    </row>
    <row r="489" spans="1:7" ht="27" customHeight="1">
      <c r="A489" s="454" t="s">
        <v>654</v>
      </c>
      <c r="B489" s="445">
        <v>10</v>
      </c>
      <c r="C489" s="445" t="s">
        <v>645</v>
      </c>
      <c r="D489" s="445" t="s">
        <v>1142</v>
      </c>
      <c r="E489" s="446" t="s">
        <v>655</v>
      </c>
      <c r="F489" s="553">
        <f>90140+58300</f>
        <v>148440</v>
      </c>
      <c r="G489" s="447">
        <f>90140+58300</f>
        <v>148440</v>
      </c>
    </row>
    <row r="490" spans="1:7" ht="16.5" customHeight="1">
      <c r="A490" s="517" t="s">
        <v>827</v>
      </c>
      <c r="B490" s="445">
        <v>10</v>
      </c>
      <c r="C490" s="445" t="s">
        <v>645</v>
      </c>
      <c r="D490" s="445" t="s">
        <v>1142</v>
      </c>
      <c r="E490" s="446" t="s">
        <v>828</v>
      </c>
      <c r="F490" s="553">
        <v>8914137</v>
      </c>
      <c r="G490" s="447">
        <v>8914137</v>
      </c>
    </row>
    <row r="491" spans="1:7" ht="15.75" customHeight="1">
      <c r="A491" s="451" t="s">
        <v>1143</v>
      </c>
      <c r="B491" s="445">
        <v>10</v>
      </c>
      <c r="C491" s="445" t="s">
        <v>645</v>
      </c>
      <c r="D491" s="445" t="s">
        <v>1144</v>
      </c>
      <c r="E491" s="446"/>
      <c r="F491" s="553">
        <f>F493+F492</f>
        <v>1475300</v>
      </c>
      <c r="G491" s="447">
        <f>G493+G492</f>
        <v>1475300</v>
      </c>
    </row>
    <row r="492" spans="1:7" ht="24.75" customHeight="1">
      <c r="A492" s="454" t="s">
        <v>654</v>
      </c>
      <c r="B492" s="445">
        <v>10</v>
      </c>
      <c r="C492" s="445" t="s">
        <v>645</v>
      </c>
      <c r="D492" s="445" t="s">
        <v>1144</v>
      </c>
      <c r="E492" s="446" t="s">
        <v>655</v>
      </c>
      <c r="F492" s="553">
        <f>19920+4570</f>
        <v>24490</v>
      </c>
      <c r="G492" s="447">
        <f>19920+4570</f>
        <v>24490</v>
      </c>
    </row>
    <row r="493" spans="1:7" ht="18" customHeight="1">
      <c r="A493" s="517" t="s">
        <v>827</v>
      </c>
      <c r="B493" s="445">
        <v>10</v>
      </c>
      <c r="C493" s="445" t="s">
        <v>645</v>
      </c>
      <c r="D493" s="445" t="s">
        <v>1144</v>
      </c>
      <c r="E493" s="446" t="s">
        <v>828</v>
      </c>
      <c r="F493" s="553">
        <v>1450810</v>
      </c>
      <c r="G493" s="447">
        <v>1450810</v>
      </c>
    </row>
    <row r="494" spans="1:7" ht="26.25" customHeight="1">
      <c r="A494" s="451" t="s">
        <v>982</v>
      </c>
      <c r="B494" s="445">
        <v>10</v>
      </c>
      <c r="C494" s="445" t="s">
        <v>645</v>
      </c>
      <c r="D494" s="445" t="s">
        <v>983</v>
      </c>
      <c r="E494" s="446"/>
      <c r="F494" s="553">
        <f>F495+F500</f>
        <v>20466008</v>
      </c>
      <c r="G494" s="447">
        <f>G495+G500</f>
        <v>20466008</v>
      </c>
    </row>
    <row r="495" spans="1:7" s="461" customFormat="1" ht="43.5" customHeight="1">
      <c r="A495" s="509" t="s">
        <v>984</v>
      </c>
      <c r="B495" s="445">
        <v>10</v>
      </c>
      <c r="C495" s="445" t="s">
        <v>645</v>
      </c>
      <c r="D495" s="445" t="s">
        <v>985</v>
      </c>
      <c r="E495" s="446"/>
      <c r="F495" s="553">
        <f>F496</f>
        <v>18966008</v>
      </c>
      <c r="G495" s="447">
        <f>G496</f>
        <v>18966008</v>
      </c>
    </row>
    <row r="496" spans="1:7" ht="29.25" customHeight="1">
      <c r="A496" s="466" t="s">
        <v>1145</v>
      </c>
      <c r="B496" s="445">
        <v>10</v>
      </c>
      <c r="C496" s="445" t="s">
        <v>645</v>
      </c>
      <c r="D496" s="445" t="s">
        <v>1146</v>
      </c>
      <c r="E496" s="446"/>
      <c r="F496" s="553">
        <f>F497</f>
        <v>18966008</v>
      </c>
      <c r="G496" s="447">
        <f>G497</f>
        <v>18966008</v>
      </c>
    </row>
    <row r="497" spans="1:7" ht="55.5" customHeight="1">
      <c r="A497" s="556" t="s">
        <v>1147</v>
      </c>
      <c r="B497" s="445">
        <v>10</v>
      </c>
      <c r="C497" s="445" t="s">
        <v>645</v>
      </c>
      <c r="D497" s="445" t="s">
        <v>1148</v>
      </c>
      <c r="E497" s="446"/>
      <c r="F497" s="553">
        <f>F498+F499</f>
        <v>18966008</v>
      </c>
      <c r="G497" s="447">
        <f>G498+G499</f>
        <v>18966008</v>
      </c>
    </row>
    <row r="498" spans="1:7" ht="48" customHeight="1" hidden="1">
      <c r="A498" s="454" t="s">
        <v>654</v>
      </c>
      <c r="B498" s="445">
        <v>10</v>
      </c>
      <c r="C498" s="445" t="s">
        <v>645</v>
      </c>
      <c r="D498" s="445" t="s">
        <v>1148</v>
      </c>
      <c r="E498" s="446" t="s">
        <v>655</v>
      </c>
      <c r="F498" s="553"/>
      <c r="G498" s="447"/>
    </row>
    <row r="499" spans="1:7" ht="21" customHeight="1">
      <c r="A499" s="517" t="s">
        <v>827</v>
      </c>
      <c r="B499" s="445">
        <v>10</v>
      </c>
      <c r="C499" s="445" t="s">
        <v>645</v>
      </c>
      <c r="D499" s="445" t="s">
        <v>1148</v>
      </c>
      <c r="E499" s="446" t="s">
        <v>828</v>
      </c>
      <c r="F499" s="553">
        <v>18966008</v>
      </c>
      <c r="G499" s="447">
        <v>18966008</v>
      </c>
    </row>
    <row r="500" spans="1:7" s="461" customFormat="1" ht="53.25" customHeight="1">
      <c r="A500" s="454" t="s">
        <v>1035</v>
      </c>
      <c r="B500" s="445">
        <v>10</v>
      </c>
      <c r="C500" s="445" t="s">
        <v>645</v>
      </c>
      <c r="D500" s="445" t="s">
        <v>1036</v>
      </c>
      <c r="E500" s="446"/>
      <c r="F500" s="553">
        <f>F501</f>
        <v>1500000</v>
      </c>
      <c r="G500" s="447">
        <f>G501</f>
        <v>1500000</v>
      </c>
    </row>
    <row r="501" spans="1:7" ht="29.25" customHeight="1">
      <c r="A501" s="518" t="s">
        <v>1149</v>
      </c>
      <c r="B501" s="445">
        <v>10</v>
      </c>
      <c r="C501" s="445" t="s">
        <v>645</v>
      </c>
      <c r="D501" s="445" t="s">
        <v>1150</v>
      </c>
      <c r="E501" s="446"/>
      <c r="F501" s="553">
        <f>F502</f>
        <v>1500000</v>
      </c>
      <c r="G501" s="447">
        <f>G502</f>
        <v>1500000</v>
      </c>
    </row>
    <row r="502" spans="1:7" ht="54.75" customHeight="1">
      <c r="A502" s="502" t="s">
        <v>1151</v>
      </c>
      <c r="B502" s="445">
        <v>10</v>
      </c>
      <c r="C502" s="445" t="s">
        <v>645</v>
      </c>
      <c r="D502" s="445" t="s">
        <v>1152</v>
      </c>
      <c r="E502" s="446"/>
      <c r="F502" s="553">
        <f>F504</f>
        <v>1500000</v>
      </c>
      <c r="G502" s="447">
        <f>G504</f>
        <v>1500000</v>
      </c>
    </row>
    <row r="503" spans="1:7" ht="48" customHeight="1" hidden="1">
      <c r="A503" s="454" t="s">
        <v>654</v>
      </c>
      <c r="B503" s="445">
        <v>10</v>
      </c>
      <c r="C503" s="445" t="s">
        <v>645</v>
      </c>
      <c r="D503" s="445" t="s">
        <v>1152</v>
      </c>
      <c r="E503" s="446" t="s">
        <v>655</v>
      </c>
      <c r="F503" s="553"/>
      <c r="G503" s="447"/>
    </row>
    <row r="504" spans="1:7" ht="19.5" customHeight="1">
      <c r="A504" s="517" t="s">
        <v>827</v>
      </c>
      <c r="B504" s="445">
        <v>10</v>
      </c>
      <c r="C504" s="445" t="s">
        <v>645</v>
      </c>
      <c r="D504" s="445" t="s">
        <v>1152</v>
      </c>
      <c r="E504" s="446" t="s">
        <v>828</v>
      </c>
      <c r="F504" s="584">
        <f>400000+1100000</f>
        <v>1500000</v>
      </c>
      <c r="G504" s="692">
        <f>400000+1100000</f>
        <v>1500000</v>
      </c>
    </row>
    <row r="505" spans="1:7" ht="48" customHeight="1" hidden="1">
      <c r="A505" s="572" t="s">
        <v>1236</v>
      </c>
      <c r="B505" s="445">
        <v>10</v>
      </c>
      <c r="C505" s="445" t="s">
        <v>645</v>
      </c>
      <c r="D505" s="474" t="s">
        <v>912</v>
      </c>
      <c r="E505" s="456"/>
      <c r="F505" s="553">
        <f>F506</f>
        <v>0</v>
      </c>
      <c r="G505" s="447">
        <f>G506</f>
        <v>0</v>
      </c>
    </row>
    <row r="506" spans="1:7" s="461" customFormat="1" ht="48" customHeight="1" hidden="1">
      <c r="A506" s="582" t="s">
        <v>1237</v>
      </c>
      <c r="B506" s="445">
        <v>10</v>
      </c>
      <c r="C506" s="445" t="s">
        <v>645</v>
      </c>
      <c r="D506" s="474" t="s">
        <v>959</v>
      </c>
      <c r="E506" s="456"/>
      <c r="F506" s="553">
        <f>F507</f>
        <v>0</v>
      </c>
      <c r="G506" s="447">
        <f>G507</f>
        <v>0</v>
      </c>
    </row>
    <row r="507" spans="1:7" s="420" customFormat="1" ht="48" customHeight="1" hidden="1">
      <c r="A507" s="693" t="s">
        <v>1334</v>
      </c>
      <c r="B507" s="445">
        <v>10</v>
      </c>
      <c r="C507" s="445" t="s">
        <v>645</v>
      </c>
      <c r="D507" s="470" t="s">
        <v>1335</v>
      </c>
      <c r="E507" s="456"/>
      <c r="F507" s="553">
        <f>F508+F510+F512</f>
        <v>0</v>
      </c>
      <c r="G507" s="447">
        <f>G508+G510+G512</f>
        <v>0</v>
      </c>
    </row>
    <row r="508" spans="1:7" ht="48" customHeight="1" hidden="1">
      <c r="A508" s="452" t="s">
        <v>1336</v>
      </c>
      <c r="B508" s="445">
        <v>10</v>
      </c>
      <c r="C508" s="445" t="s">
        <v>645</v>
      </c>
      <c r="D508" s="470" t="s">
        <v>1337</v>
      </c>
      <c r="E508" s="456"/>
      <c r="F508" s="553">
        <f>F509</f>
        <v>0</v>
      </c>
      <c r="G508" s="447">
        <f>G509</f>
        <v>0</v>
      </c>
    </row>
    <row r="509" spans="1:7" ht="48" customHeight="1" hidden="1">
      <c r="A509" s="502" t="s">
        <v>814</v>
      </c>
      <c r="B509" s="445">
        <v>10</v>
      </c>
      <c r="C509" s="445" t="s">
        <v>645</v>
      </c>
      <c r="D509" s="470" t="s">
        <v>1337</v>
      </c>
      <c r="E509" s="456" t="s">
        <v>815</v>
      </c>
      <c r="F509" s="553"/>
      <c r="G509" s="447"/>
    </row>
    <row r="510" spans="1:7" ht="48" customHeight="1" hidden="1">
      <c r="A510" s="452" t="s">
        <v>1338</v>
      </c>
      <c r="B510" s="445">
        <v>10</v>
      </c>
      <c r="C510" s="445" t="s">
        <v>645</v>
      </c>
      <c r="D510" s="470" t="s">
        <v>1339</v>
      </c>
      <c r="E510" s="456"/>
      <c r="F510" s="553">
        <f>F511</f>
        <v>0</v>
      </c>
      <c r="G510" s="447">
        <f>G511</f>
        <v>0</v>
      </c>
    </row>
    <row r="511" spans="1:7" ht="48" customHeight="1" hidden="1">
      <c r="A511" s="502" t="s">
        <v>814</v>
      </c>
      <c r="B511" s="445">
        <v>10</v>
      </c>
      <c r="C511" s="445" t="s">
        <v>645</v>
      </c>
      <c r="D511" s="470" t="s">
        <v>1339</v>
      </c>
      <c r="E511" s="456" t="s">
        <v>815</v>
      </c>
      <c r="F511" s="553"/>
      <c r="G511" s="447"/>
    </row>
    <row r="512" spans="1:7" ht="48" customHeight="1" hidden="1">
      <c r="A512" s="452" t="s">
        <v>1338</v>
      </c>
      <c r="B512" s="445">
        <v>10</v>
      </c>
      <c r="C512" s="445" t="s">
        <v>645</v>
      </c>
      <c r="D512" s="470" t="s">
        <v>1340</v>
      </c>
      <c r="E512" s="456"/>
      <c r="F512" s="553">
        <f>F513</f>
        <v>0</v>
      </c>
      <c r="G512" s="447">
        <f>G513</f>
        <v>0</v>
      </c>
    </row>
    <row r="513" spans="1:7" ht="48" customHeight="1" hidden="1">
      <c r="A513" s="502" t="s">
        <v>814</v>
      </c>
      <c r="B513" s="445">
        <v>10</v>
      </c>
      <c r="C513" s="445" t="s">
        <v>645</v>
      </c>
      <c r="D513" s="470" t="s">
        <v>1340</v>
      </c>
      <c r="E513" s="456" t="s">
        <v>815</v>
      </c>
      <c r="F513" s="553"/>
      <c r="G513" s="447"/>
    </row>
    <row r="514" spans="1:7" ht="15" customHeight="1">
      <c r="A514" s="451" t="s">
        <v>1153</v>
      </c>
      <c r="B514" s="445">
        <v>10</v>
      </c>
      <c r="C514" s="445" t="s">
        <v>658</v>
      </c>
      <c r="D514" s="445"/>
      <c r="E514" s="446"/>
      <c r="F514" s="553">
        <f>F525+F515</f>
        <v>12691861</v>
      </c>
      <c r="G514" s="447">
        <f>G525+G515</f>
        <v>12691861</v>
      </c>
    </row>
    <row r="515" spans="1:7" ht="44.25" customHeight="1">
      <c r="A515" s="451" t="s">
        <v>1206</v>
      </c>
      <c r="B515" s="445">
        <v>10</v>
      </c>
      <c r="C515" s="445" t="s">
        <v>658</v>
      </c>
      <c r="D515" s="520" t="s">
        <v>660</v>
      </c>
      <c r="E515" s="446"/>
      <c r="F515" s="553">
        <f>F521+F516</f>
        <v>10611051</v>
      </c>
      <c r="G515" s="447">
        <f>G521+G516</f>
        <v>10611051</v>
      </c>
    </row>
    <row r="516" spans="1:7" ht="52.5" customHeight="1">
      <c r="A516" s="473" t="s">
        <v>1134</v>
      </c>
      <c r="B516" s="445">
        <v>10</v>
      </c>
      <c r="C516" s="445" t="s">
        <v>658</v>
      </c>
      <c r="D516" s="445" t="s">
        <v>738</v>
      </c>
      <c r="E516" s="446"/>
      <c r="F516" s="553">
        <f>F517</f>
        <v>1556884</v>
      </c>
      <c r="G516" s="447">
        <f>G517</f>
        <v>1556884</v>
      </c>
    </row>
    <row r="517" spans="1:7" ht="33" customHeight="1">
      <c r="A517" s="473" t="s">
        <v>1135</v>
      </c>
      <c r="B517" s="445">
        <v>10</v>
      </c>
      <c r="C517" s="445" t="s">
        <v>658</v>
      </c>
      <c r="D517" s="445" t="s">
        <v>1136</v>
      </c>
      <c r="E517" s="446"/>
      <c r="F517" s="553">
        <f>F518</f>
        <v>1556884</v>
      </c>
      <c r="G517" s="447">
        <f>G518</f>
        <v>1556884</v>
      </c>
    </row>
    <row r="518" spans="1:7" ht="17.25" customHeight="1">
      <c r="A518" s="451" t="s">
        <v>1154</v>
      </c>
      <c r="B518" s="445">
        <v>10</v>
      </c>
      <c r="C518" s="445" t="s">
        <v>658</v>
      </c>
      <c r="D518" s="445" t="s">
        <v>1155</v>
      </c>
      <c r="E518" s="446"/>
      <c r="F518" s="553">
        <f>F520+F519</f>
        <v>1556884</v>
      </c>
      <c r="G518" s="447">
        <f>G520+G519</f>
        <v>1556884</v>
      </c>
    </row>
    <row r="519" spans="1:7" ht="32.25" customHeight="1">
      <c r="A519" s="454" t="s">
        <v>654</v>
      </c>
      <c r="B519" s="445">
        <v>10</v>
      </c>
      <c r="C519" s="445" t="s">
        <v>658</v>
      </c>
      <c r="D519" s="445" t="s">
        <v>1155</v>
      </c>
      <c r="E519" s="446" t="s">
        <v>655</v>
      </c>
      <c r="F519" s="553">
        <v>280</v>
      </c>
      <c r="G519" s="447">
        <v>280</v>
      </c>
    </row>
    <row r="520" spans="1:7" ht="20.25" customHeight="1">
      <c r="A520" s="517" t="s">
        <v>827</v>
      </c>
      <c r="B520" s="445">
        <v>10</v>
      </c>
      <c r="C520" s="445" t="s">
        <v>658</v>
      </c>
      <c r="D520" s="445" t="s">
        <v>1155</v>
      </c>
      <c r="E520" s="446" t="s">
        <v>828</v>
      </c>
      <c r="F520" s="553">
        <v>1556604</v>
      </c>
      <c r="G520" s="447">
        <v>1556604</v>
      </c>
    </row>
    <row r="521" spans="1:7" ht="58.5" customHeight="1">
      <c r="A521" s="490" t="s">
        <v>1156</v>
      </c>
      <c r="B521" s="445">
        <v>10</v>
      </c>
      <c r="C521" s="445" t="s">
        <v>658</v>
      </c>
      <c r="D521" s="445" t="s">
        <v>662</v>
      </c>
      <c r="E521" s="446"/>
      <c r="F521" s="553">
        <f>F523</f>
        <v>9054167</v>
      </c>
      <c r="G521" s="447">
        <f>G523</f>
        <v>9054167</v>
      </c>
    </row>
    <row r="522" spans="1:7" ht="43.5" customHeight="1">
      <c r="A522" s="466" t="s">
        <v>1157</v>
      </c>
      <c r="B522" s="445">
        <v>10</v>
      </c>
      <c r="C522" s="445" t="s">
        <v>658</v>
      </c>
      <c r="D522" s="445" t="s">
        <v>1158</v>
      </c>
      <c r="E522" s="446"/>
      <c r="F522" s="553">
        <f>F523</f>
        <v>9054167</v>
      </c>
      <c r="G522" s="447">
        <f>G523</f>
        <v>9054167</v>
      </c>
    </row>
    <row r="523" spans="1:7" ht="30.75" customHeight="1">
      <c r="A523" s="452" t="s">
        <v>1159</v>
      </c>
      <c r="B523" s="445">
        <v>10</v>
      </c>
      <c r="C523" s="445" t="s">
        <v>658</v>
      </c>
      <c r="D523" s="445" t="s">
        <v>1160</v>
      </c>
      <c r="E523" s="446"/>
      <c r="F523" s="553">
        <f>F524</f>
        <v>9054167</v>
      </c>
      <c r="G523" s="447">
        <f>G524</f>
        <v>9054167</v>
      </c>
    </row>
    <row r="524" spans="1:7" ht="19.5" customHeight="1">
      <c r="A524" s="517" t="s">
        <v>827</v>
      </c>
      <c r="B524" s="445">
        <v>10</v>
      </c>
      <c r="C524" s="445" t="s">
        <v>658</v>
      </c>
      <c r="D524" s="445" t="s">
        <v>1160</v>
      </c>
      <c r="E524" s="446" t="s">
        <v>828</v>
      </c>
      <c r="F524" s="553">
        <v>9054167</v>
      </c>
      <c r="G524" s="447">
        <v>9054167</v>
      </c>
    </row>
    <row r="525" spans="1:7" ht="28.5" customHeight="1">
      <c r="A525" s="451" t="s">
        <v>1161</v>
      </c>
      <c r="B525" s="445">
        <v>10</v>
      </c>
      <c r="C525" s="445" t="s">
        <v>658</v>
      </c>
      <c r="D525" s="520" t="s">
        <v>983</v>
      </c>
      <c r="E525" s="446"/>
      <c r="F525" s="553">
        <f>F526</f>
        <v>2080810</v>
      </c>
      <c r="G525" s="447">
        <f>G526</f>
        <v>2080810</v>
      </c>
    </row>
    <row r="526" spans="1:7" s="461" customFormat="1" ht="45" customHeight="1">
      <c r="A526" s="509" t="s">
        <v>984</v>
      </c>
      <c r="B526" s="445">
        <v>10</v>
      </c>
      <c r="C526" s="445" t="s">
        <v>658</v>
      </c>
      <c r="D526" s="520" t="s">
        <v>985</v>
      </c>
      <c r="E526" s="446"/>
      <c r="F526" s="553">
        <f>F528</f>
        <v>2080810</v>
      </c>
      <c r="G526" s="447">
        <f>G528</f>
        <v>2080810</v>
      </c>
    </row>
    <row r="527" spans="1:7" ht="30" customHeight="1">
      <c r="A527" s="466" t="s">
        <v>986</v>
      </c>
      <c r="B527" s="445">
        <v>10</v>
      </c>
      <c r="C527" s="445" t="s">
        <v>658</v>
      </c>
      <c r="D527" s="520" t="s">
        <v>987</v>
      </c>
      <c r="E527" s="446"/>
      <c r="F527" s="553">
        <f>F528</f>
        <v>2080810</v>
      </c>
      <c r="G527" s="447">
        <f>G528</f>
        <v>2080810</v>
      </c>
    </row>
    <row r="528" spans="1:7" ht="14.25" customHeight="1">
      <c r="A528" s="522" t="s">
        <v>1162</v>
      </c>
      <c r="B528" s="445">
        <v>10</v>
      </c>
      <c r="C528" s="445" t="s">
        <v>658</v>
      </c>
      <c r="D528" s="520" t="s">
        <v>1163</v>
      </c>
      <c r="E528" s="446"/>
      <c r="F528" s="553">
        <f>F530+F529</f>
        <v>2080810</v>
      </c>
      <c r="G528" s="447">
        <f>G530+G529</f>
        <v>2080810</v>
      </c>
    </row>
    <row r="529" spans="1:7" ht="48" customHeight="1" hidden="1">
      <c r="A529" s="454" t="s">
        <v>654</v>
      </c>
      <c r="B529" s="445">
        <v>10</v>
      </c>
      <c r="C529" s="445" t="s">
        <v>658</v>
      </c>
      <c r="D529" s="520" t="s">
        <v>1163</v>
      </c>
      <c r="E529" s="446" t="s">
        <v>655</v>
      </c>
      <c r="F529" s="553"/>
      <c r="G529" s="447"/>
    </row>
    <row r="530" spans="1:7" ht="16.5" customHeight="1">
      <c r="A530" s="517" t="s">
        <v>827</v>
      </c>
      <c r="B530" s="445">
        <v>10</v>
      </c>
      <c r="C530" s="445" t="s">
        <v>658</v>
      </c>
      <c r="D530" s="520" t="s">
        <v>1163</v>
      </c>
      <c r="E530" s="446" t="s">
        <v>828</v>
      </c>
      <c r="F530" s="553">
        <v>2080810</v>
      </c>
      <c r="G530" s="447">
        <v>2080810</v>
      </c>
    </row>
    <row r="531" spans="1:7" ht="15">
      <c r="A531" s="451" t="s">
        <v>1164</v>
      </c>
      <c r="B531" s="445" t="s">
        <v>727</v>
      </c>
      <c r="C531" s="445"/>
      <c r="D531" s="445"/>
      <c r="E531" s="446"/>
      <c r="F531" s="553">
        <f aca="true" t="shared" si="23" ref="F531:G535">F532</f>
        <v>100000</v>
      </c>
      <c r="G531" s="447">
        <f t="shared" si="23"/>
        <v>100000</v>
      </c>
    </row>
    <row r="532" spans="1:7" ht="15">
      <c r="A532" s="451" t="s">
        <v>1165</v>
      </c>
      <c r="B532" s="445" t="s">
        <v>727</v>
      </c>
      <c r="C532" s="445" t="s">
        <v>633</v>
      </c>
      <c r="D532" s="445"/>
      <c r="E532" s="446"/>
      <c r="F532" s="553">
        <f t="shared" si="23"/>
        <v>100000</v>
      </c>
      <c r="G532" s="447">
        <f t="shared" si="23"/>
        <v>100000</v>
      </c>
    </row>
    <row r="533" spans="1:7" ht="55.5" customHeight="1">
      <c r="A533" s="466" t="s">
        <v>1044</v>
      </c>
      <c r="B533" s="445" t="s">
        <v>727</v>
      </c>
      <c r="C533" s="445" t="s">
        <v>633</v>
      </c>
      <c r="D533" s="474" t="s">
        <v>1045</v>
      </c>
      <c r="E533" s="446"/>
      <c r="F533" s="553">
        <f t="shared" si="23"/>
        <v>100000</v>
      </c>
      <c r="G533" s="447">
        <f t="shared" si="23"/>
        <v>100000</v>
      </c>
    </row>
    <row r="534" spans="1:7" s="461" customFormat="1" ht="72.75" customHeight="1">
      <c r="A534" s="490" t="s">
        <v>1166</v>
      </c>
      <c r="B534" s="445" t="s">
        <v>727</v>
      </c>
      <c r="C534" s="445" t="s">
        <v>633</v>
      </c>
      <c r="D534" s="474" t="s">
        <v>1167</v>
      </c>
      <c r="E534" s="446"/>
      <c r="F534" s="553">
        <f t="shared" si="23"/>
        <v>100000</v>
      </c>
      <c r="G534" s="447">
        <f t="shared" si="23"/>
        <v>100000</v>
      </c>
    </row>
    <row r="535" spans="1:7" ht="42" customHeight="1">
      <c r="A535" s="490" t="s">
        <v>1168</v>
      </c>
      <c r="B535" s="445" t="s">
        <v>727</v>
      </c>
      <c r="C535" s="445" t="s">
        <v>633</v>
      </c>
      <c r="D535" s="474" t="s">
        <v>1169</v>
      </c>
      <c r="E535" s="446"/>
      <c r="F535" s="553">
        <f t="shared" si="23"/>
        <v>100000</v>
      </c>
      <c r="G535" s="447">
        <f t="shared" si="23"/>
        <v>100000</v>
      </c>
    </row>
    <row r="536" spans="1:7" ht="45.75" customHeight="1">
      <c r="A536" s="451" t="s">
        <v>1170</v>
      </c>
      <c r="B536" s="445" t="s">
        <v>727</v>
      </c>
      <c r="C536" s="445" t="s">
        <v>633</v>
      </c>
      <c r="D536" s="474" t="s">
        <v>1171</v>
      </c>
      <c r="E536" s="446"/>
      <c r="F536" s="553">
        <f>F538+F537</f>
        <v>100000</v>
      </c>
      <c r="G536" s="447">
        <f>G538+G537</f>
        <v>100000</v>
      </c>
    </row>
    <row r="537" spans="1:7" ht="48" customHeight="1" hidden="1">
      <c r="A537" s="454" t="s">
        <v>642</v>
      </c>
      <c r="B537" s="445" t="s">
        <v>727</v>
      </c>
      <c r="C537" s="445" t="s">
        <v>633</v>
      </c>
      <c r="D537" s="474" t="s">
        <v>1171</v>
      </c>
      <c r="E537" s="446" t="s">
        <v>643</v>
      </c>
      <c r="F537" s="553">
        <f>3195-3195</f>
        <v>0</v>
      </c>
      <c r="G537" s="447">
        <f>3195-3195</f>
        <v>0</v>
      </c>
    </row>
    <row r="538" spans="1:7" ht="25.5" customHeight="1">
      <c r="A538" s="454" t="s">
        <v>654</v>
      </c>
      <c r="B538" s="445" t="s">
        <v>727</v>
      </c>
      <c r="C538" s="445" t="s">
        <v>633</v>
      </c>
      <c r="D538" s="474" t="s">
        <v>1171</v>
      </c>
      <c r="E538" s="446" t="s">
        <v>655</v>
      </c>
      <c r="F538" s="553">
        <v>100000</v>
      </c>
      <c r="G538" s="447">
        <v>100000</v>
      </c>
    </row>
    <row r="539" spans="1:7" ht="48" customHeight="1" hidden="1">
      <c r="A539" s="490" t="s">
        <v>1216</v>
      </c>
      <c r="B539" s="445" t="s">
        <v>727</v>
      </c>
      <c r="C539" s="445" t="s">
        <v>633</v>
      </c>
      <c r="D539" s="474" t="s">
        <v>1217</v>
      </c>
      <c r="E539" s="446"/>
      <c r="F539" s="553"/>
      <c r="G539" s="447"/>
    </row>
    <row r="540" spans="1:7" ht="48" customHeight="1" hidden="1">
      <c r="A540" s="451" t="s">
        <v>1170</v>
      </c>
      <c r="B540" s="445" t="s">
        <v>727</v>
      </c>
      <c r="C540" s="445" t="s">
        <v>633</v>
      </c>
      <c r="D540" s="474" t="s">
        <v>1218</v>
      </c>
      <c r="E540" s="446"/>
      <c r="F540" s="553">
        <f>F541</f>
        <v>0</v>
      </c>
      <c r="G540" s="447">
        <f>G541</f>
        <v>0</v>
      </c>
    </row>
    <row r="541" spans="1:7" ht="48" customHeight="1" hidden="1">
      <c r="A541" s="454" t="s">
        <v>654</v>
      </c>
      <c r="B541" s="445" t="s">
        <v>727</v>
      </c>
      <c r="C541" s="445" t="s">
        <v>633</v>
      </c>
      <c r="D541" s="474" t="s">
        <v>1218</v>
      </c>
      <c r="E541" s="446" t="s">
        <v>655</v>
      </c>
      <c r="F541" s="553"/>
      <c r="G541" s="447"/>
    </row>
    <row r="542" spans="1:7" ht="21" customHeight="1">
      <c r="A542" s="451" t="s">
        <v>1172</v>
      </c>
      <c r="B542" s="445" t="s">
        <v>735</v>
      </c>
      <c r="C542" s="445"/>
      <c r="D542" s="445"/>
      <c r="E542" s="446"/>
      <c r="F542" s="553">
        <f aca="true" t="shared" si="24" ref="F542:G544">F543</f>
        <v>1868.22</v>
      </c>
      <c r="G542" s="447">
        <f t="shared" si="24"/>
        <v>0</v>
      </c>
    </row>
    <row r="543" spans="1:7" ht="20.25" customHeight="1">
      <c r="A543" s="451" t="s">
        <v>1173</v>
      </c>
      <c r="B543" s="445" t="s">
        <v>735</v>
      </c>
      <c r="C543" s="445" t="s">
        <v>633</v>
      </c>
      <c r="D543" s="445"/>
      <c r="E543" s="446"/>
      <c r="F543" s="553">
        <f t="shared" si="24"/>
        <v>1868.22</v>
      </c>
      <c r="G543" s="447">
        <f t="shared" si="24"/>
        <v>0</v>
      </c>
    </row>
    <row r="544" spans="1:7" ht="48.75" customHeight="1">
      <c r="A544" s="465" t="s">
        <v>1174</v>
      </c>
      <c r="B544" s="445" t="s">
        <v>735</v>
      </c>
      <c r="C544" s="445" t="s">
        <v>633</v>
      </c>
      <c r="D544" s="470" t="s">
        <v>1175</v>
      </c>
      <c r="E544" s="446"/>
      <c r="F544" s="553">
        <f t="shared" si="24"/>
        <v>1868.22</v>
      </c>
      <c r="G544" s="447">
        <f t="shared" si="24"/>
        <v>0</v>
      </c>
    </row>
    <row r="545" spans="1:7" s="461" customFormat="1" ht="56.25" customHeight="1">
      <c r="A545" s="444" t="s">
        <v>1176</v>
      </c>
      <c r="B545" s="445" t="s">
        <v>735</v>
      </c>
      <c r="C545" s="445" t="s">
        <v>633</v>
      </c>
      <c r="D545" s="470" t="s">
        <v>1177</v>
      </c>
      <c r="E545" s="446"/>
      <c r="F545" s="553">
        <f>F547</f>
        <v>1868.22</v>
      </c>
      <c r="G545" s="447">
        <f>G547</f>
        <v>0</v>
      </c>
    </row>
    <row r="546" spans="1:7" s="461" customFormat="1" ht="41.25" customHeight="1">
      <c r="A546" s="444" t="s">
        <v>1178</v>
      </c>
      <c r="B546" s="445" t="s">
        <v>735</v>
      </c>
      <c r="C546" s="445" t="s">
        <v>633</v>
      </c>
      <c r="D546" s="470" t="s">
        <v>1179</v>
      </c>
      <c r="E546" s="446"/>
      <c r="F546" s="553">
        <f>F547</f>
        <v>1868.22</v>
      </c>
      <c r="G546" s="447">
        <f>G547</f>
        <v>0</v>
      </c>
    </row>
    <row r="547" spans="1:7" ht="15">
      <c r="A547" s="451" t="s">
        <v>1180</v>
      </c>
      <c r="B547" s="445" t="s">
        <v>735</v>
      </c>
      <c r="C547" s="445" t="s">
        <v>633</v>
      </c>
      <c r="D547" s="470" t="s">
        <v>1181</v>
      </c>
      <c r="E547" s="446"/>
      <c r="F547" s="553">
        <f>F548</f>
        <v>1868.22</v>
      </c>
      <c r="G547" s="447">
        <f>G548</f>
        <v>0</v>
      </c>
    </row>
    <row r="548" spans="1:7" ht="15">
      <c r="A548" s="444" t="s">
        <v>1182</v>
      </c>
      <c r="B548" s="445" t="s">
        <v>735</v>
      </c>
      <c r="C548" s="445" t="s">
        <v>633</v>
      </c>
      <c r="D548" s="470" t="s">
        <v>1181</v>
      </c>
      <c r="E548" s="446" t="s">
        <v>1183</v>
      </c>
      <c r="F548" s="553">
        <v>1868.22</v>
      </c>
      <c r="G548" s="447"/>
    </row>
    <row r="549" spans="1:7" ht="29.25" customHeight="1">
      <c r="A549" s="451" t="s">
        <v>1184</v>
      </c>
      <c r="B549" s="445" t="s">
        <v>1185</v>
      </c>
      <c r="C549" s="445"/>
      <c r="D549" s="445"/>
      <c r="E549" s="446"/>
      <c r="F549" s="553">
        <f aca="true" t="shared" si="25" ref="F549:G554">F550</f>
        <v>6680765</v>
      </c>
      <c r="G549" s="447">
        <f t="shared" si="25"/>
        <v>6214665</v>
      </c>
    </row>
    <row r="550" spans="1:7" ht="32.25" customHeight="1">
      <c r="A550" s="451" t="s">
        <v>1186</v>
      </c>
      <c r="B550" s="445" t="s">
        <v>1185</v>
      </c>
      <c r="C550" s="445" t="s">
        <v>633</v>
      </c>
      <c r="D550" s="445"/>
      <c r="E550" s="446"/>
      <c r="F550" s="553">
        <f t="shared" si="25"/>
        <v>6680765</v>
      </c>
      <c r="G550" s="447">
        <f t="shared" si="25"/>
        <v>6214665</v>
      </c>
    </row>
    <row r="551" spans="1:7" ht="41.25" customHeight="1">
      <c r="A551" s="465" t="s">
        <v>1187</v>
      </c>
      <c r="B551" s="445" t="s">
        <v>1185</v>
      </c>
      <c r="C551" s="445" t="s">
        <v>633</v>
      </c>
      <c r="D551" s="445" t="s">
        <v>1175</v>
      </c>
      <c r="E551" s="446"/>
      <c r="F551" s="553">
        <f t="shared" si="25"/>
        <v>6680765</v>
      </c>
      <c r="G551" s="447">
        <f t="shared" si="25"/>
        <v>6214665</v>
      </c>
    </row>
    <row r="552" spans="1:7" s="461" customFormat="1" ht="53.25" customHeight="1">
      <c r="A552" s="444" t="s">
        <v>1188</v>
      </c>
      <c r="B552" s="445" t="s">
        <v>1185</v>
      </c>
      <c r="C552" s="445" t="s">
        <v>633</v>
      </c>
      <c r="D552" s="445" t="s">
        <v>1189</v>
      </c>
      <c r="E552" s="446"/>
      <c r="F552" s="553">
        <f t="shared" si="25"/>
        <v>6680765</v>
      </c>
      <c r="G552" s="447">
        <f t="shared" si="25"/>
        <v>6214665</v>
      </c>
    </row>
    <row r="553" spans="1:7" ht="36" customHeight="1">
      <c r="A553" s="465" t="s">
        <v>1190</v>
      </c>
      <c r="B553" s="445" t="s">
        <v>1185</v>
      </c>
      <c r="C553" s="445" t="s">
        <v>633</v>
      </c>
      <c r="D553" s="445" t="s">
        <v>1191</v>
      </c>
      <c r="E553" s="446"/>
      <c r="F553" s="553">
        <f t="shared" si="25"/>
        <v>6680765</v>
      </c>
      <c r="G553" s="447">
        <f t="shared" si="25"/>
        <v>6214665</v>
      </c>
    </row>
    <row r="554" spans="1:7" ht="39">
      <c r="A554" s="556" t="s">
        <v>1192</v>
      </c>
      <c r="B554" s="445" t="s">
        <v>1185</v>
      </c>
      <c r="C554" s="445" t="s">
        <v>633</v>
      </c>
      <c r="D554" s="445" t="s">
        <v>1193</v>
      </c>
      <c r="E554" s="446"/>
      <c r="F554" s="553">
        <f t="shared" si="25"/>
        <v>6680765</v>
      </c>
      <c r="G554" s="447">
        <f t="shared" si="25"/>
        <v>6214665</v>
      </c>
    </row>
    <row r="555" spans="1:7" ht="15.75" thickBot="1">
      <c r="A555" s="523" t="s">
        <v>814</v>
      </c>
      <c r="B555" s="524" t="s">
        <v>1185</v>
      </c>
      <c r="C555" s="524" t="s">
        <v>633</v>
      </c>
      <c r="D555" s="524" t="s">
        <v>1193</v>
      </c>
      <c r="E555" s="525" t="s">
        <v>815</v>
      </c>
      <c r="F555" s="592">
        <v>6680765</v>
      </c>
      <c r="G555" s="526">
        <v>6214665</v>
      </c>
    </row>
    <row r="556" spans="2:7" ht="15">
      <c r="B556" s="527"/>
      <c r="C556" s="527"/>
      <c r="D556" s="527"/>
      <c r="E556" s="528"/>
      <c r="F556" s="529"/>
      <c r="G556" s="529"/>
    </row>
  </sheetData>
  <sheetProtection/>
  <mergeCells count="11">
    <mergeCell ref="G8:G9"/>
    <mergeCell ref="D2:G2"/>
    <mergeCell ref="D3:G3"/>
    <mergeCell ref="D4:G4"/>
    <mergeCell ref="A5:G5"/>
    <mergeCell ref="A8:A9"/>
    <mergeCell ref="B8:B9"/>
    <mergeCell ref="C8:C9"/>
    <mergeCell ref="D8:D9"/>
    <mergeCell ref="E8:E9"/>
    <mergeCell ref="F8:F9"/>
  </mergeCells>
  <hyperlinks>
    <hyperlink ref="A247" r:id="rId1" display="consultantplus://offline/ref=C6EF3AE28B6C46D1117CBBA251A07B11C6C7C5768D606C8B0E322DA1BBA42282C9440EEF08E6CC43400230U6VFM"/>
  </hyperlinks>
  <printOptions/>
  <pageMargins left="0.47" right="0.2" top="0.39" bottom="0.4" header="0.31496062992125984" footer="0.31496062992125984"/>
  <pageSetup horizontalDpi="600" verticalDpi="600" orientation="portrait" paperSize="9" scale="75" r:id="rId2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636"/>
  <sheetViews>
    <sheetView view="pageBreakPreview" zoomScale="60" zoomScalePageLayoutView="0" workbookViewId="0" topLeftCell="A16">
      <selection activeCell="L6" sqref="L6"/>
    </sheetView>
  </sheetViews>
  <sheetFormatPr defaultColWidth="9.00390625" defaultRowHeight="12.75"/>
  <cols>
    <col min="1" max="1" width="64.875" style="417" customWidth="1"/>
    <col min="2" max="2" width="5.125" style="427" customWidth="1"/>
    <col min="3" max="3" width="4.875" style="427" customWidth="1"/>
    <col min="4" max="4" width="5.00390625" style="427" customWidth="1"/>
    <col min="5" max="5" width="17.125" style="427" customWidth="1"/>
    <col min="6" max="6" width="4.875" style="530" customWidth="1"/>
    <col min="7" max="7" width="18.75390625" style="529" hidden="1" customWidth="1"/>
    <col min="8" max="8" width="15.125" style="541" hidden="1" customWidth="1"/>
    <col min="9" max="9" width="18.75390625" style="529" customWidth="1"/>
    <col min="10" max="10" width="15.375" style="413" bestFit="1" customWidth="1"/>
    <col min="11" max="11" width="20.00390625" style="413" customWidth="1"/>
    <col min="12" max="12" width="13.875" style="413" bestFit="1" customWidth="1"/>
    <col min="13" max="16384" width="9.125" style="413" customWidth="1"/>
  </cols>
  <sheetData>
    <row r="1" spans="2:8" ht="15">
      <c r="B1" s="414" t="s">
        <v>1194</v>
      </c>
      <c r="D1" s="414"/>
      <c r="E1" s="414"/>
      <c r="F1" s="415"/>
      <c r="H1" s="532"/>
    </row>
    <row r="2" spans="2:8" ht="15.75" customHeight="1">
      <c r="B2" s="414" t="s">
        <v>614</v>
      </c>
      <c r="C2" s="414"/>
      <c r="D2" s="414"/>
      <c r="E2" s="414"/>
      <c r="F2" s="415"/>
      <c r="H2" s="533"/>
    </row>
    <row r="3" spans="2:8" ht="15.75">
      <c r="B3" s="420" t="s">
        <v>615</v>
      </c>
      <c r="C3" s="420"/>
      <c r="D3" s="420"/>
      <c r="E3" s="534"/>
      <c r="F3" s="421"/>
      <c r="H3" s="533"/>
    </row>
    <row r="4" spans="1:8" ht="14.25" customHeight="1">
      <c r="A4" s="535"/>
      <c r="B4" s="420" t="s">
        <v>1195</v>
      </c>
      <c r="C4" s="420"/>
      <c r="D4" s="420"/>
      <c r="E4" s="534"/>
      <c r="F4" s="421"/>
      <c r="H4" s="533"/>
    </row>
    <row r="5" spans="1:9" ht="30" customHeight="1">
      <c r="A5" s="536"/>
      <c r="B5" s="537" t="s">
        <v>1196</v>
      </c>
      <c r="C5" s="537"/>
      <c r="D5" s="537"/>
      <c r="E5" s="537"/>
      <c r="F5" s="537"/>
      <c r="G5" s="537"/>
      <c r="H5" s="537"/>
      <c r="I5" s="537"/>
    </row>
    <row r="6" spans="1:9" ht="27" customHeight="1">
      <c r="A6" s="536"/>
      <c r="B6" s="424" t="s">
        <v>1197</v>
      </c>
      <c r="C6" s="424"/>
      <c r="D6" s="424"/>
      <c r="E6" s="424"/>
      <c r="F6" s="424"/>
      <c r="G6" s="424"/>
      <c r="H6" s="424"/>
      <c r="I6" s="424"/>
    </row>
    <row r="7" spans="1:9" ht="12.75">
      <c r="A7" s="536"/>
      <c r="B7" s="425"/>
      <c r="C7" s="425"/>
      <c r="D7" s="425"/>
      <c r="E7" s="425"/>
      <c r="F7" s="425"/>
      <c r="G7" s="538"/>
      <c r="H7" s="425"/>
      <c r="I7" s="425"/>
    </row>
    <row r="8" spans="1:9" ht="41.25" customHeight="1">
      <c r="A8" s="539" t="s">
        <v>1198</v>
      </c>
      <c r="B8" s="539"/>
      <c r="C8" s="539"/>
      <c r="D8" s="539"/>
      <c r="E8" s="539"/>
      <c r="F8" s="539"/>
      <c r="G8" s="539"/>
      <c r="H8" s="539"/>
      <c r="I8" s="539"/>
    </row>
    <row r="9" spans="6:9" ht="18.75" customHeight="1" thickBot="1">
      <c r="F9" s="428"/>
      <c r="G9" s="540"/>
      <c r="I9" s="429" t="s">
        <v>620</v>
      </c>
    </row>
    <row r="10" spans="1:11" ht="27.75" customHeight="1">
      <c r="A10" s="430" t="s">
        <v>621</v>
      </c>
      <c r="B10" s="431" t="s">
        <v>1199</v>
      </c>
      <c r="C10" s="431" t="s">
        <v>622</v>
      </c>
      <c r="D10" s="431" t="s">
        <v>623</v>
      </c>
      <c r="E10" s="432" t="s">
        <v>624</v>
      </c>
      <c r="F10" s="432" t="s">
        <v>625</v>
      </c>
      <c r="G10" s="542" t="s">
        <v>1200</v>
      </c>
      <c r="H10" s="543" t="s">
        <v>1201</v>
      </c>
      <c r="I10" s="544" t="s">
        <v>626</v>
      </c>
      <c r="K10" s="449"/>
    </row>
    <row r="11" spans="1:9" ht="3.75" customHeight="1" thickBot="1">
      <c r="A11" s="435"/>
      <c r="B11" s="436"/>
      <c r="C11" s="436"/>
      <c r="D11" s="436"/>
      <c r="E11" s="437"/>
      <c r="F11" s="437"/>
      <c r="G11" s="545"/>
      <c r="H11" s="546"/>
      <c r="I11" s="547"/>
    </row>
    <row r="12" spans="1:9" s="443" customFormat="1" ht="12.75" customHeight="1">
      <c r="A12" s="548">
        <v>1</v>
      </c>
      <c r="B12" s="440">
        <v>2</v>
      </c>
      <c r="C12" s="440" t="s">
        <v>628</v>
      </c>
      <c r="D12" s="440" t="s">
        <v>629</v>
      </c>
      <c r="E12" s="441" t="s">
        <v>630</v>
      </c>
      <c r="F12" s="441" t="s">
        <v>1202</v>
      </c>
      <c r="G12" s="549"/>
      <c r="H12" s="550"/>
      <c r="I12" s="551" t="s">
        <v>1203</v>
      </c>
    </row>
    <row r="13" spans="1:12" s="448" customFormat="1" ht="20.25">
      <c r="A13" s="552" t="s">
        <v>631</v>
      </c>
      <c r="B13" s="445"/>
      <c r="C13" s="445"/>
      <c r="D13" s="445"/>
      <c r="E13" s="445"/>
      <c r="F13" s="446"/>
      <c r="G13" s="553">
        <f>G14+G388+G549</f>
        <v>555544923.89</v>
      </c>
      <c r="H13" s="553">
        <f>H14+H388+H549</f>
        <v>17187130.47</v>
      </c>
      <c r="I13" s="447">
        <f>G13+H13</f>
        <v>572732054.36</v>
      </c>
      <c r="J13" s="413"/>
      <c r="L13" s="450"/>
    </row>
    <row r="14" spans="1:10" ht="16.5" customHeight="1">
      <c r="A14" s="552" t="s">
        <v>1204</v>
      </c>
      <c r="B14" s="445" t="s">
        <v>1205</v>
      </c>
      <c r="C14" s="445"/>
      <c r="D14" s="445"/>
      <c r="E14" s="445"/>
      <c r="F14" s="446"/>
      <c r="G14" s="553">
        <f>G15+G177+G193+G263+G310+G326+G334+G363+G374+G381+G304</f>
        <v>120427398.45</v>
      </c>
      <c r="H14" s="553">
        <f>H15+H177+H193+H263+H310+H326+H334+H363+H374+H381+H304</f>
        <v>150000</v>
      </c>
      <c r="I14" s="447">
        <f>G14+H14</f>
        <v>120577398.45</v>
      </c>
      <c r="J14" s="453"/>
    </row>
    <row r="15" spans="1:11" ht="15">
      <c r="A15" s="451" t="s">
        <v>632</v>
      </c>
      <c r="B15" s="445" t="s">
        <v>1205</v>
      </c>
      <c r="C15" s="445" t="s">
        <v>633</v>
      </c>
      <c r="D15" s="445"/>
      <c r="E15" s="445"/>
      <c r="F15" s="446"/>
      <c r="G15" s="553">
        <f>G16+G21+G30+G88+G93+G76+G71+G83</f>
        <v>54709327.56</v>
      </c>
      <c r="H15" s="554"/>
      <c r="I15" s="447">
        <f aca="true" t="shared" si="0" ref="I15:I90">G15+H15</f>
        <v>54709327.56</v>
      </c>
      <c r="K15" s="453"/>
    </row>
    <row r="16" spans="1:9" ht="28.5" customHeight="1">
      <c r="A16" s="452" t="s">
        <v>634</v>
      </c>
      <c r="B16" s="445" t="s">
        <v>1205</v>
      </c>
      <c r="C16" s="445" t="s">
        <v>633</v>
      </c>
      <c r="D16" s="445" t="s">
        <v>635</v>
      </c>
      <c r="E16" s="445"/>
      <c r="F16" s="446"/>
      <c r="G16" s="553">
        <f>G18</f>
        <v>1537000</v>
      </c>
      <c r="H16" s="554"/>
      <c r="I16" s="447">
        <f t="shared" si="0"/>
        <v>1537000</v>
      </c>
    </row>
    <row r="17" spans="1:9" ht="19.5" customHeight="1">
      <c r="A17" s="454" t="s">
        <v>636</v>
      </c>
      <c r="B17" s="445" t="s">
        <v>1205</v>
      </c>
      <c r="C17" s="445" t="s">
        <v>633</v>
      </c>
      <c r="D17" s="445" t="s">
        <v>635</v>
      </c>
      <c r="E17" s="455" t="s">
        <v>637</v>
      </c>
      <c r="F17" s="446"/>
      <c r="G17" s="553">
        <f>G18</f>
        <v>1537000</v>
      </c>
      <c r="H17" s="554"/>
      <c r="I17" s="447">
        <f t="shared" si="0"/>
        <v>1537000</v>
      </c>
    </row>
    <row r="18" spans="1:9" ht="17.25" customHeight="1">
      <c r="A18" s="451" t="s">
        <v>638</v>
      </c>
      <c r="B18" s="445" t="s">
        <v>1205</v>
      </c>
      <c r="C18" s="445" t="s">
        <v>633</v>
      </c>
      <c r="D18" s="445" t="s">
        <v>635</v>
      </c>
      <c r="E18" s="455" t="s">
        <v>639</v>
      </c>
      <c r="F18" s="446"/>
      <c r="G18" s="553">
        <f>G20</f>
        <v>1537000</v>
      </c>
      <c r="H18" s="554"/>
      <c r="I18" s="447">
        <f t="shared" si="0"/>
        <v>1537000</v>
      </c>
    </row>
    <row r="19" spans="1:9" ht="30" customHeight="1">
      <c r="A19" s="452" t="s">
        <v>640</v>
      </c>
      <c r="B19" s="445" t="s">
        <v>1205</v>
      </c>
      <c r="C19" s="445" t="s">
        <v>633</v>
      </c>
      <c r="D19" s="445" t="s">
        <v>635</v>
      </c>
      <c r="E19" s="455" t="s">
        <v>641</v>
      </c>
      <c r="F19" s="446"/>
      <c r="G19" s="553">
        <f>G20</f>
        <v>1537000</v>
      </c>
      <c r="H19" s="554"/>
      <c r="I19" s="447">
        <f t="shared" si="0"/>
        <v>1537000</v>
      </c>
    </row>
    <row r="20" spans="1:9" ht="41.25" customHeight="1">
      <c r="A20" s="454" t="s">
        <v>642</v>
      </c>
      <c r="B20" s="445" t="s">
        <v>1205</v>
      </c>
      <c r="C20" s="445" t="s">
        <v>633</v>
      </c>
      <c r="D20" s="445" t="s">
        <v>635</v>
      </c>
      <c r="E20" s="455" t="s">
        <v>641</v>
      </c>
      <c r="F20" s="456" t="s">
        <v>643</v>
      </c>
      <c r="G20" s="553">
        <v>1537000</v>
      </c>
      <c r="H20" s="554"/>
      <c r="I20" s="447">
        <f t="shared" si="0"/>
        <v>1537000</v>
      </c>
    </row>
    <row r="21" spans="1:9" ht="42" customHeight="1">
      <c r="A21" s="452" t="s">
        <v>644</v>
      </c>
      <c r="B21" s="445" t="s">
        <v>1205</v>
      </c>
      <c r="C21" s="445" t="s">
        <v>633</v>
      </c>
      <c r="D21" s="445" t="s">
        <v>645</v>
      </c>
      <c r="E21" s="445"/>
      <c r="F21" s="446"/>
      <c r="G21" s="553">
        <f>G22</f>
        <v>1967800</v>
      </c>
      <c r="H21" s="554"/>
      <c r="I21" s="447">
        <f t="shared" si="0"/>
        <v>1967800</v>
      </c>
    </row>
    <row r="22" spans="1:9" ht="30.75" customHeight="1">
      <c r="A22" s="454" t="s">
        <v>646</v>
      </c>
      <c r="B22" s="445" t="s">
        <v>1205</v>
      </c>
      <c r="C22" s="445" t="s">
        <v>633</v>
      </c>
      <c r="D22" s="445" t="s">
        <v>645</v>
      </c>
      <c r="E22" s="455" t="s">
        <v>647</v>
      </c>
      <c r="F22" s="446"/>
      <c r="G22" s="553">
        <f>G23+G26</f>
        <v>1967800</v>
      </c>
      <c r="H22" s="554"/>
      <c r="I22" s="447">
        <f t="shared" si="0"/>
        <v>1967800</v>
      </c>
    </row>
    <row r="23" spans="1:9" ht="18.75" customHeight="1">
      <c r="A23" s="451" t="s">
        <v>648</v>
      </c>
      <c r="B23" s="445" t="s">
        <v>1205</v>
      </c>
      <c r="C23" s="445" t="s">
        <v>633</v>
      </c>
      <c r="D23" s="445" t="s">
        <v>645</v>
      </c>
      <c r="E23" s="455" t="s">
        <v>649</v>
      </c>
      <c r="F23" s="446"/>
      <c r="G23" s="553">
        <f>G24</f>
        <v>880000</v>
      </c>
      <c r="H23" s="554"/>
      <c r="I23" s="447">
        <f t="shared" si="0"/>
        <v>880000</v>
      </c>
    </row>
    <row r="24" spans="1:9" ht="26.25">
      <c r="A24" s="452" t="s">
        <v>640</v>
      </c>
      <c r="B24" s="445" t="s">
        <v>1205</v>
      </c>
      <c r="C24" s="445" t="s">
        <v>633</v>
      </c>
      <c r="D24" s="445" t="s">
        <v>645</v>
      </c>
      <c r="E24" s="455" t="s">
        <v>650</v>
      </c>
      <c r="F24" s="456"/>
      <c r="G24" s="553">
        <f>G25</f>
        <v>880000</v>
      </c>
      <c r="H24" s="554"/>
      <c r="I24" s="447">
        <f t="shared" si="0"/>
        <v>880000</v>
      </c>
    </row>
    <row r="25" spans="1:9" ht="44.25" customHeight="1">
      <c r="A25" s="454" t="s">
        <v>642</v>
      </c>
      <c r="B25" s="445" t="s">
        <v>1205</v>
      </c>
      <c r="C25" s="445" t="s">
        <v>633</v>
      </c>
      <c r="D25" s="445" t="s">
        <v>645</v>
      </c>
      <c r="E25" s="455" t="s">
        <v>650</v>
      </c>
      <c r="F25" s="456" t="s">
        <v>643</v>
      </c>
      <c r="G25" s="553">
        <v>880000</v>
      </c>
      <c r="H25" s="554"/>
      <c r="I25" s="447">
        <f t="shared" si="0"/>
        <v>880000</v>
      </c>
    </row>
    <row r="26" spans="1:9" ht="18" customHeight="1">
      <c r="A26" s="451" t="s">
        <v>651</v>
      </c>
      <c r="B26" s="445" t="s">
        <v>1205</v>
      </c>
      <c r="C26" s="445" t="s">
        <v>633</v>
      </c>
      <c r="D26" s="445" t="s">
        <v>645</v>
      </c>
      <c r="E26" s="455" t="s">
        <v>652</v>
      </c>
      <c r="F26" s="456"/>
      <c r="G26" s="553">
        <f>G27</f>
        <v>1087800</v>
      </c>
      <c r="H26" s="554"/>
      <c r="I26" s="447">
        <f t="shared" si="0"/>
        <v>1087800</v>
      </c>
    </row>
    <row r="27" spans="1:9" ht="27.75" customHeight="1">
      <c r="A27" s="452" t="s">
        <v>640</v>
      </c>
      <c r="B27" s="445" t="s">
        <v>1205</v>
      </c>
      <c r="C27" s="445" t="s">
        <v>633</v>
      </c>
      <c r="D27" s="445" t="s">
        <v>645</v>
      </c>
      <c r="E27" s="455" t="s">
        <v>653</v>
      </c>
      <c r="F27" s="456"/>
      <c r="G27" s="553">
        <f>G28+G29</f>
        <v>1087800</v>
      </c>
      <c r="H27" s="554"/>
      <c r="I27" s="447">
        <f t="shared" si="0"/>
        <v>1087800</v>
      </c>
    </row>
    <row r="28" spans="1:9" ht="39">
      <c r="A28" s="454" t="s">
        <v>642</v>
      </c>
      <c r="B28" s="445" t="s">
        <v>1205</v>
      </c>
      <c r="C28" s="445" t="s">
        <v>633</v>
      </c>
      <c r="D28" s="445" t="s">
        <v>645</v>
      </c>
      <c r="E28" s="455" t="s">
        <v>653</v>
      </c>
      <c r="F28" s="456" t="s">
        <v>643</v>
      </c>
      <c r="G28" s="553">
        <v>1062800</v>
      </c>
      <c r="H28" s="554"/>
      <c r="I28" s="447">
        <f t="shared" si="0"/>
        <v>1062800</v>
      </c>
    </row>
    <row r="29" spans="1:9" ht="26.25">
      <c r="A29" s="454" t="s">
        <v>654</v>
      </c>
      <c r="B29" s="445" t="s">
        <v>1205</v>
      </c>
      <c r="C29" s="445" t="s">
        <v>633</v>
      </c>
      <c r="D29" s="445" t="s">
        <v>645</v>
      </c>
      <c r="E29" s="455" t="s">
        <v>653</v>
      </c>
      <c r="F29" s="456" t="s">
        <v>655</v>
      </c>
      <c r="G29" s="553">
        <f>10000+15000</f>
        <v>25000</v>
      </c>
      <c r="H29" s="554"/>
      <c r="I29" s="447">
        <f t="shared" si="0"/>
        <v>25000</v>
      </c>
    </row>
    <row r="30" spans="1:9" ht="39">
      <c r="A30" s="452" t="s">
        <v>656</v>
      </c>
      <c r="B30" s="445" t="s">
        <v>1205</v>
      </c>
      <c r="C30" s="445" t="s">
        <v>657</v>
      </c>
      <c r="D30" s="445" t="s">
        <v>658</v>
      </c>
      <c r="E30" s="445"/>
      <c r="F30" s="446"/>
      <c r="G30" s="553">
        <f>G31+G48+G63+G57+G42</f>
        <v>20220434</v>
      </c>
      <c r="H30" s="554"/>
      <c r="I30" s="447">
        <f t="shared" si="0"/>
        <v>20220434</v>
      </c>
    </row>
    <row r="31" spans="1:9" ht="42" customHeight="1">
      <c r="A31" s="451" t="s">
        <v>659</v>
      </c>
      <c r="B31" s="445" t="s">
        <v>1205</v>
      </c>
      <c r="C31" s="445" t="s">
        <v>657</v>
      </c>
      <c r="D31" s="445" t="s">
        <v>658</v>
      </c>
      <c r="E31" s="455" t="s">
        <v>660</v>
      </c>
      <c r="F31" s="456"/>
      <c r="G31" s="553">
        <f>G37+G32</f>
        <v>2922000</v>
      </c>
      <c r="H31" s="554"/>
      <c r="I31" s="447">
        <f t="shared" si="0"/>
        <v>2922000</v>
      </c>
    </row>
    <row r="32" spans="1:9" ht="59.25" customHeight="1">
      <c r="A32" s="454" t="s">
        <v>661</v>
      </c>
      <c r="B32" s="445" t="s">
        <v>1205</v>
      </c>
      <c r="C32" s="457" t="s">
        <v>633</v>
      </c>
      <c r="D32" s="457" t="s">
        <v>658</v>
      </c>
      <c r="E32" s="458" t="s">
        <v>662</v>
      </c>
      <c r="F32" s="459"/>
      <c r="G32" s="555">
        <f>G34</f>
        <v>876600</v>
      </c>
      <c r="H32" s="554"/>
      <c r="I32" s="447">
        <f t="shared" si="0"/>
        <v>876600</v>
      </c>
    </row>
    <row r="33" spans="1:9" ht="48" customHeight="1">
      <c r="A33" s="462" t="s">
        <v>663</v>
      </c>
      <c r="B33" s="445" t="s">
        <v>1205</v>
      </c>
      <c r="C33" s="445" t="s">
        <v>633</v>
      </c>
      <c r="D33" s="445" t="s">
        <v>658</v>
      </c>
      <c r="E33" s="455" t="s">
        <v>664</v>
      </c>
      <c r="F33" s="456"/>
      <c r="G33" s="553">
        <f>G34</f>
        <v>876600</v>
      </c>
      <c r="H33" s="554"/>
      <c r="I33" s="447">
        <f t="shared" si="0"/>
        <v>876600</v>
      </c>
    </row>
    <row r="34" spans="1:9" ht="42" customHeight="1">
      <c r="A34" s="556" t="s">
        <v>665</v>
      </c>
      <c r="B34" s="445" t="s">
        <v>1205</v>
      </c>
      <c r="C34" s="445" t="s">
        <v>633</v>
      </c>
      <c r="D34" s="445" t="s">
        <v>658</v>
      </c>
      <c r="E34" s="455" t="s">
        <v>666</v>
      </c>
      <c r="F34" s="456"/>
      <c r="G34" s="553">
        <f>G35+G36</f>
        <v>876600</v>
      </c>
      <c r="H34" s="554"/>
      <c r="I34" s="447">
        <f t="shared" si="0"/>
        <v>876600</v>
      </c>
    </row>
    <row r="35" spans="1:9" ht="42.75" customHeight="1">
      <c r="A35" s="454" t="s">
        <v>642</v>
      </c>
      <c r="B35" s="445" t="s">
        <v>1205</v>
      </c>
      <c r="C35" s="445" t="s">
        <v>633</v>
      </c>
      <c r="D35" s="445" t="s">
        <v>658</v>
      </c>
      <c r="E35" s="455" t="s">
        <v>666</v>
      </c>
      <c r="F35" s="456" t="s">
        <v>643</v>
      </c>
      <c r="G35" s="553">
        <v>864600</v>
      </c>
      <c r="H35" s="554"/>
      <c r="I35" s="447">
        <f t="shared" si="0"/>
        <v>864600</v>
      </c>
    </row>
    <row r="36" spans="1:9" ht="26.25">
      <c r="A36" s="454" t="s">
        <v>654</v>
      </c>
      <c r="B36" s="445" t="s">
        <v>1205</v>
      </c>
      <c r="C36" s="445" t="s">
        <v>633</v>
      </c>
      <c r="D36" s="445" t="s">
        <v>658</v>
      </c>
      <c r="E36" s="455" t="s">
        <v>666</v>
      </c>
      <c r="F36" s="456" t="s">
        <v>655</v>
      </c>
      <c r="G36" s="553">
        <v>12000</v>
      </c>
      <c r="H36" s="554"/>
      <c r="I36" s="447">
        <f t="shared" si="0"/>
        <v>12000</v>
      </c>
    </row>
    <row r="37" spans="1:9" ht="57.75" customHeight="1">
      <c r="A37" s="452" t="s">
        <v>667</v>
      </c>
      <c r="B37" s="445" t="s">
        <v>1205</v>
      </c>
      <c r="C37" s="457" t="s">
        <v>633</v>
      </c>
      <c r="D37" s="457" t="s">
        <v>658</v>
      </c>
      <c r="E37" s="458" t="s">
        <v>668</v>
      </c>
      <c r="F37" s="464"/>
      <c r="G37" s="555">
        <f>G38</f>
        <v>2045400</v>
      </c>
      <c r="H37" s="554"/>
      <c r="I37" s="447">
        <f t="shared" si="0"/>
        <v>2045400</v>
      </c>
    </row>
    <row r="38" spans="1:9" ht="30" customHeight="1">
      <c r="A38" s="465" t="s">
        <v>669</v>
      </c>
      <c r="B38" s="445" t="s">
        <v>1205</v>
      </c>
      <c r="C38" s="445" t="s">
        <v>633</v>
      </c>
      <c r="D38" s="445" t="s">
        <v>658</v>
      </c>
      <c r="E38" s="455" t="s">
        <v>670</v>
      </c>
      <c r="F38" s="446"/>
      <c r="G38" s="553">
        <f>G39</f>
        <v>2045400</v>
      </c>
      <c r="H38" s="554"/>
      <c r="I38" s="447">
        <f t="shared" si="0"/>
        <v>2045400</v>
      </c>
    </row>
    <row r="39" spans="1:9" ht="33" customHeight="1">
      <c r="A39" s="452" t="s">
        <v>671</v>
      </c>
      <c r="B39" s="445" t="s">
        <v>1205</v>
      </c>
      <c r="C39" s="445" t="s">
        <v>633</v>
      </c>
      <c r="D39" s="445" t="s">
        <v>658</v>
      </c>
      <c r="E39" s="455" t="s">
        <v>672</v>
      </c>
      <c r="F39" s="446"/>
      <c r="G39" s="553">
        <f>G40+G41</f>
        <v>2045400</v>
      </c>
      <c r="H39" s="554"/>
      <c r="I39" s="447">
        <f t="shared" si="0"/>
        <v>2045400</v>
      </c>
    </row>
    <row r="40" spans="1:9" ht="43.5" customHeight="1">
      <c r="A40" s="454" t="s">
        <v>642</v>
      </c>
      <c r="B40" s="445" t="s">
        <v>1205</v>
      </c>
      <c r="C40" s="445" t="s">
        <v>633</v>
      </c>
      <c r="D40" s="445" t="s">
        <v>658</v>
      </c>
      <c r="E40" s="455" t="s">
        <v>672</v>
      </c>
      <c r="F40" s="456" t="s">
        <v>643</v>
      </c>
      <c r="G40" s="553">
        <f>1524168+460299+300+60633</f>
        <v>2045400</v>
      </c>
      <c r="H40" s="554"/>
      <c r="I40" s="447">
        <f t="shared" si="0"/>
        <v>2045400</v>
      </c>
    </row>
    <row r="41" spans="1:9" ht="26.25" hidden="1">
      <c r="A41" s="454" t="s">
        <v>654</v>
      </c>
      <c r="B41" s="445" t="s">
        <v>1205</v>
      </c>
      <c r="C41" s="445" t="s">
        <v>633</v>
      </c>
      <c r="D41" s="445" t="s">
        <v>658</v>
      </c>
      <c r="E41" s="455" t="s">
        <v>672</v>
      </c>
      <c r="F41" s="456" t="s">
        <v>655</v>
      </c>
      <c r="G41" s="553">
        <f>60633-60633</f>
        <v>0</v>
      </c>
      <c r="H41" s="554"/>
      <c r="I41" s="447">
        <f t="shared" si="0"/>
        <v>0</v>
      </c>
    </row>
    <row r="42" spans="1:9" ht="45.75" customHeight="1">
      <c r="A42" s="444" t="s">
        <v>673</v>
      </c>
      <c r="B42" s="445" t="s">
        <v>1205</v>
      </c>
      <c r="C42" s="445" t="s">
        <v>633</v>
      </c>
      <c r="D42" s="445" t="s">
        <v>658</v>
      </c>
      <c r="E42" s="455" t="s">
        <v>674</v>
      </c>
      <c r="F42" s="446"/>
      <c r="G42" s="553">
        <f>G43</f>
        <v>329014</v>
      </c>
      <c r="H42" s="554"/>
      <c r="I42" s="447">
        <f t="shared" si="0"/>
        <v>329014</v>
      </c>
    </row>
    <row r="43" spans="1:9" s="461" customFormat="1" ht="72" customHeight="1">
      <c r="A43" s="465" t="s">
        <v>675</v>
      </c>
      <c r="B43" s="457" t="s">
        <v>1205</v>
      </c>
      <c r="C43" s="457" t="s">
        <v>633</v>
      </c>
      <c r="D43" s="457" t="s">
        <v>658</v>
      </c>
      <c r="E43" s="458" t="s">
        <v>676</v>
      </c>
      <c r="F43" s="464"/>
      <c r="G43" s="555">
        <f>G45</f>
        <v>329014</v>
      </c>
      <c r="H43" s="557"/>
      <c r="I43" s="460">
        <f t="shared" si="0"/>
        <v>329014</v>
      </c>
    </row>
    <row r="44" spans="1:9" ht="30.75" customHeight="1">
      <c r="A44" s="466" t="s">
        <v>677</v>
      </c>
      <c r="B44" s="445" t="s">
        <v>1205</v>
      </c>
      <c r="C44" s="445" t="s">
        <v>633</v>
      </c>
      <c r="D44" s="445" t="s">
        <v>658</v>
      </c>
      <c r="E44" s="455" t="s">
        <v>678</v>
      </c>
      <c r="F44" s="446"/>
      <c r="G44" s="553">
        <f>G45</f>
        <v>329014</v>
      </c>
      <c r="H44" s="554"/>
      <c r="I44" s="447">
        <f t="shared" si="0"/>
        <v>329014</v>
      </c>
    </row>
    <row r="45" spans="1:9" ht="31.5" customHeight="1">
      <c r="A45" s="556" t="s">
        <v>679</v>
      </c>
      <c r="B45" s="445" t="s">
        <v>1205</v>
      </c>
      <c r="C45" s="445" t="s">
        <v>633</v>
      </c>
      <c r="D45" s="445" t="s">
        <v>658</v>
      </c>
      <c r="E45" s="455" t="s">
        <v>680</v>
      </c>
      <c r="F45" s="446"/>
      <c r="G45" s="553">
        <f>G46+G47</f>
        <v>329014</v>
      </c>
      <c r="H45" s="554"/>
      <c r="I45" s="447">
        <f t="shared" si="0"/>
        <v>329014</v>
      </c>
    </row>
    <row r="46" spans="1:9" ht="39">
      <c r="A46" s="454" t="s">
        <v>642</v>
      </c>
      <c r="B46" s="445" t="s">
        <v>1205</v>
      </c>
      <c r="C46" s="445" t="s">
        <v>633</v>
      </c>
      <c r="D46" s="445" t="s">
        <v>658</v>
      </c>
      <c r="E46" s="455" t="s">
        <v>680</v>
      </c>
      <c r="F46" s="456" t="s">
        <v>643</v>
      </c>
      <c r="G46" s="553">
        <v>295773</v>
      </c>
      <c r="H46" s="554"/>
      <c r="I46" s="447">
        <f t="shared" si="0"/>
        <v>295773</v>
      </c>
    </row>
    <row r="47" spans="1:9" ht="31.5" customHeight="1">
      <c r="A47" s="454" t="s">
        <v>654</v>
      </c>
      <c r="B47" s="445" t="s">
        <v>1205</v>
      </c>
      <c r="C47" s="445" t="s">
        <v>633</v>
      </c>
      <c r="D47" s="445" t="s">
        <v>658</v>
      </c>
      <c r="E47" s="455" t="s">
        <v>680</v>
      </c>
      <c r="F47" s="456" t="s">
        <v>655</v>
      </c>
      <c r="G47" s="553">
        <v>33241</v>
      </c>
      <c r="H47" s="554"/>
      <c r="I47" s="447">
        <f t="shared" si="0"/>
        <v>33241</v>
      </c>
    </row>
    <row r="48" spans="1:9" ht="54.75" customHeight="1">
      <c r="A48" s="451" t="s">
        <v>681</v>
      </c>
      <c r="B48" s="445" t="s">
        <v>1205</v>
      </c>
      <c r="C48" s="445" t="s">
        <v>633</v>
      </c>
      <c r="D48" s="445" t="s">
        <v>658</v>
      </c>
      <c r="E48" s="455" t="s">
        <v>682</v>
      </c>
      <c r="F48" s="456"/>
      <c r="G48" s="553">
        <f>G49</f>
        <v>584400</v>
      </c>
      <c r="H48" s="554"/>
      <c r="I48" s="447">
        <f t="shared" si="0"/>
        <v>584400</v>
      </c>
    </row>
    <row r="49" spans="1:9" s="461" customFormat="1" ht="72.75" customHeight="1">
      <c r="A49" s="451" t="s">
        <v>683</v>
      </c>
      <c r="B49" s="457" t="s">
        <v>1205</v>
      </c>
      <c r="C49" s="457" t="s">
        <v>633</v>
      </c>
      <c r="D49" s="457" t="s">
        <v>658</v>
      </c>
      <c r="E49" s="458" t="s">
        <v>684</v>
      </c>
      <c r="F49" s="459"/>
      <c r="G49" s="555">
        <f>G51+G54</f>
        <v>584400</v>
      </c>
      <c r="H49" s="557"/>
      <c r="I49" s="460">
        <f t="shared" si="0"/>
        <v>584400</v>
      </c>
    </row>
    <row r="50" spans="1:9" ht="42" customHeight="1">
      <c r="A50" s="465" t="s">
        <v>685</v>
      </c>
      <c r="B50" s="445" t="s">
        <v>1205</v>
      </c>
      <c r="C50" s="445" t="s">
        <v>633</v>
      </c>
      <c r="D50" s="445" t="s">
        <v>658</v>
      </c>
      <c r="E50" s="455" t="s">
        <v>686</v>
      </c>
      <c r="F50" s="456"/>
      <c r="G50" s="553">
        <f>G51+G54</f>
        <v>584400</v>
      </c>
      <c r="H50" s="554"/>
      <c r="I50" s="447">
        <f t="shared" si="0"/>
        <v>584400</v>
      </c>
    </row>
    <row r="51" spans="1:9" ht="44.25" customHeight="1">
      <c r="A51" s="556" t="s">
        <v>687</v>
      </c>
      <c r="B51" s="445" t="s">
        <v>1205</v>
      </c>
      <c r="C51" s="445" t="s">
        <v>633</v>
      </c>
      <c r="D51" s="445" t="s">
        <v>658</v>
      </c>
      <c r="E51" s="445" t="s">
        <v>688</v>
      </c>
      <c r="F51" s="446"/>
      <c r="G51" s="553">
        <f>G52+G53</f>
        <v>292200</v>
      </c>
      <c r="H51" s="554"/>
      <c r="I51" s="447">
        <f t="shared" si="0"/>
        <v>292200</v>
      </c>
    </row>
    <row r="52" spans="1:9" ht="46.5" customHeight="1">
      <c r="A52" s="454" t="s">
        <v>642</v>
      </c>
      <c r="B52" s="445" t="s">
        <v>1205</v>
      </c>
      <c r="C52" s="445" t="s">
        <v>633</v>
      </c>
      <c r="D52" s="445" t="s">
        <v>658</v>
      </c>
      <c r="E52" s="445" t="s">
        <v>688</v>
      </c>
      <c r="F52" s="456" t="s">
        <v>643</v>
      </c>
      <c r="G52" s="553">
        <v>289200</v>
      </c>
      <c r="H52" s="554"/>
      <c r="I52" s="447">
        <f t="shared" si="0"/>
        <v>289200</v>
      </c>
    </row>
    <row r="53" spans="1:9" ht="26.25">
      <c r="A53" s="454" t="s">
        <v>654</v>
      </c>
      <c r="B53" s="445" t="s">
        <v>1205</v>
      </c>
      <c r="C53" s="445" t="s">
        <v>633</v>
      </c>
      <c r="D53" s="445" t="s">
        <v>658</v>
      </c>
      <c r="E53" s="445" t="s">
        <v>688</v>
      </c>
      <c r="F53" s="456" t="s">
        <v>655</v>
      </c>
      <c r="G53" s="553">
        <v>3000</v>
      </c>
      <c r="H53" s="554"/>
      <c r="I53" s="447">
        <f t="shared" si="0"/>
        <v>3000</v>
      </c>
    </row>
    <row r="54" spans="1:9" ht="35.25" customHeight="1">
      <c r="A54" s="556" t="s">
        <v>689</v>
      </c>
      <c r="B54" s="445" t="s">
        <v>1205</v>
      </c>
      <c r="C54" s="445" t="s">
        <v>633</v>
      </c>
      <c r="D54" s="445" t="s">
        <v>658</v>
      </c>
      <c r="E54" s="445" t="s">
        <v>690</v>
      </c>
      <c r="F54" s="446"/>
      <c r="G54" s="553">
        <f>G55+G56</f>
        <v>292200</v>
      </c>
      <c r="H54" s="554"/>
      <c r="I54" s="447">
        <f t="shared" si="0"/>
        <v>292200</v>
      </c>
    </row>
    <row r="55" spans="1:9" ht="40.5" customHeight="1">
      <c r="A55" s="454" t="s">
        <v>642</v>
      </c>
      <c r="B55" s="445" t="s">
        <v>1205</v>
      </c>
      <c r="C55" s="445" t="s">
        <v>633</v>
      </c>
      <c r="D55" s="445" t="s">
        <v>658</v>
      </c>
      <c r="E55" s="445" t="s">
        <v>690</v>
      </c>
      <c r="F55" s="456" t="s">
        <v>643</v>
      </c>
      <c r="G55" s="553">
        <f>193920+58564+39716</f>
        <v>292200</v>
      </c>
      <c r="H55" s="554"/>
      <c r="I55" s="447">
        <f t="shared" si="0"/>
        <v>292200</v>
      </c>
    </row>
    <row r="56" spans="1:9" ht="26.25" hidden="1">
      <c r="A56" s="454" t="s">
        <v>654</v>
      </c>
      <c r="B56" s="445" t="s">
        <v>1205</v>
      </c>
      <c r="C56" s="445" t="s">
        <v>633</v>
      </c>
      <c r="D56" s="445" t="s">
        <v>658</v>
      </c>
      <c r="E56" s="445" t="s">
        <v>690</v>
      </c>
      <c r="F56" s="456" t="s">
        <v>655</v>
      </c>
      <c r="G56" s="553">
        <f>39716-39716</f>
        <v>0</v>
      </c>
      <c r="H56" s="554"/>
      <c r="I56" s="447">
        <f t="shared" si="0"/>
        <v>0</v>
      </c>
    </row>
    <row r="57" spans="1:9" ht="18" customHeight="1">
      <c r="A57" s="454" t="s">
        <v>691</v>
      </c>
      <c r="B57" s="445" t="s">
        <v>1205</v>
      </c>
      <c r="C57" s="445" t="s">
        <v>633</v>
      </c>
      <c r="D57" s="445" t="s">
        <v>658</v>
      </c>
      <c r="E57" s="445" t="s">
        <v>692</v>
      </c>
      <c r="F57" s="446"/>
      <c r="G57" s="553">
        <f>G58</f>
        <v>16063600</v>
      </c>
      <c r="H57" s="554"/>
      <c r="I57" s="447">
        <f t="shared" si="0"/>
        <v>16063600</v>
      </c>
    </row>
    <row r="58" spans="1:9" ht="21" customHeight="1">
      <c r="A58" s="452" t="s">
        <v>693</v>
      </c>
      <c r="B58" s="445" t="s">
        <v>1205</v>
      </c>
      <c r="C58" s="445" t="s">
        <v>633</v>
      </c>
      <c r="D58" s="445" t="s">
        <v>658</v>
      </c>
      <c r="E58" s="445" t="s">
        <v>694</v>
      </c>
      <c r="F58" s="446"/>
      <c r="G58" s="553">
        <f>G59</f>
        <v>16063600</v>
      </c>
      <c r="H58" s="554"/>
      <c r="I58" s="447">
        <f t="shared" si="0"/>
        <v>16063600</v>
      </c>
    </row>
    <row r="59" spans="1:9" ht="32.25" customHeight="1">
      <c r="A59" s="452" t="s">
        <v>640</v>
      </c>
      <c r="B59" s="445" t="s">
        <v>1205</v>
      </c>
      <c r="C59" s="445" t="s">
        <v>633</v>
      </c>
      <c r="D59" s="445" t="s">
        <v>658</v>
      </c>
      <c r="E59" s="445" t="s">
        <v>695</v>
      </c>
      <c r="F59" s="446"/>
      <c r="G59" s="553">
        <f>G60+G61+G62</f>
        <v>16063600</v>
      </c>
      <c r="H59" s="554"/>
      <c r="I59" s="447">
        <f t="shared" si="0"/>
        <v>16063600</v>
      </c>
    </row>
    <row r="60" spans="1:9" ht="48.75" customHeight="1">
      <c r="A60" s="454" t="s">
        <v>642</v>
      </c>
      <c r="B60" s="445" t="s">
        <v>1205</v>
      </c>
      <c r="C60" s="445" t="s">
        <v>633</v>
      </c>
      <c r="D60" s="445" t="s">
        <v>658</v>
      </c>
      <c r="E60" s="445" t="s">
        <v>695</v>
      </c>
      <c r="F60" s="456" t="s">
        <v>643</v>
      </c>
      <c r="G60" s="553">
        <v>15918200</v>
      </c>
      <c r="H60" s="554"/>
      <c r="I60" s="447">
        <f t="shared" si="0"/>
        <v>15918200</v>
      </c>
    </row>
    <row r="61" spans="1:9" ht="30" customHeight="1">
      <c r="A61" s="454" t="s">
        <v>654</v>
      </c>
      <c r="B61" s="445" t="s">
        <v>1205</v>
      </c>
      <c r="C61" s="445" t="s">
        <v>633</v>
      </c>
      <c r="D61" s="445" t="s">
        <v>658</v>
      </c>
      <c r="E61" s="445" t="s">
        <v>695</v>
      </c>
      <c r="F61" s="456" t="s">
        <v>655</v>
      </c>
      <c r="G61" s="558">
        <v>58500</v>
      </c>
      <c r="H61" s="554"/>
      <c r="I61" s="447">
        <f t="shared" si="0"/>
        <v>58500</v>
      </c>
    </row>
    <row r="62" spans="1:9" ht="18.75" customHeight="1">
      <c r="A62" s="466" t="s">
        <v>696</v>
      </c>
      <c r="B62" s="445" t="s">
        <v>1205</v>
      </c>
      <c r="C62" s="445" t="s">
        <v>633</v>
      </c>
      <c r="D62" s="445" t="s">
        <v>658</v>
      </c>
      <c r="E62" s="445" t="s">
        <v>695</v>
      </c>
      <c r="F62" s="456" t="s">
        <v>697</v>
      </c>
      <c r="G62" s="553">
        <f>80900+6000</f>
        <v>86900</v>
      </c>
      <c r="H62" s="554"/>
      <c r="I62" s="447">
        <f t="shared" si="0"/>
        <v>86900</v>
      </c>
    </row>
    <row r="63" spans="1:9" ht="15">
      <c r="A63" s="451" t="s">
        <v>698</v>
      </c>
      <c r="B63" s="445" t="s">
        <v>1205</v>
      </c>
      <c r="C63" s="445" t="s">
        <v>633</v>
      </c>
      <c r="D63" s="445" t="s">
        <v>658</v>
      </c>
      <c r="E63" s="445" t="s">
        <v>699</v>
      </c>
      <c r="F63" s="446"/>
      <c r="G63" s="553">
        <f>G64+G68</f>
        <v>321420</v>
      </c>
      <c r="H63" s="554"/>
      <c r="I63" s="447">
        <f>G63+H63</f>
        <v>321420</v>
      </c>
    </row>
    <row r="64" spans="1:9" ht="17.25" customHeight="1">
      <c r="A64" s="465" t="s">
        <v>700</v>
      </c>
      <c r="B64" s="445" t="s">
        <v>1205</v>
      </c>
      <c r="C64" s="445" t="s">
        <v>633</v>
      </c>
      <c r="D64" s="445" t="s">
        <v>658</v>
      </c>
      <c r="E64" s="445" t="s">
        <v>701</v>
      </c>
      <c r="F64" s="446"/>
      <c r="G64" s="553">
        <f>G65</f>
        <v>292200</v>
      </c>
      <c r="H64" s="554"/>
      <c r="I64" s="447">
        <f t="shared" si="0"/>
        <v>292200</v>
      </c>
    </row>
    <row r="65" spans="1:9" ht="27.75" customHeight="1">
      <c r="A65" s="452" t="s">
        <v>702</v>
      </c>
      <c r="B65" s="445" t="s">
        <v>1205</v>
      </c>
      <c r="C65" s="445" t="s">
        <v>633</v>
      </c>
      <c r="D65" s="445" t="s">
        <v>658</v>
      </c>
      <c r="E65" s="445" t="s">
        <v>703</v>
      </c>
      <c r="F65" s="446"/>
      <c r="G65" s="553">
        <f>G66+G67</f>
        <v>292200</v>
      </c>
      <c r="H65" s="554"/>
      <c r="I65" s="447">
        <f t="shared" si="0"/>
        <v>292200</v>
      </c>
    </row>
    <row r="66" spans="1:9" ht="39">
      <c r="A66" s="454" t="s">
        <v>642</v>
      </c>
      <c r="B66" s="445" t="s">
        <v>1205</v>
      </c>
      <c r="C66" s="445" t="s">
        <v>633</v>
      </c>
      <c r="D66" s="445" t="s">
        <v>658</v>
      </c>
      <c r="E66" s="445" t="s">
        <v>703</v>
      </c>
      <c r="F66" s="456" t="s">
        <v>643</v>
      </c>
      <c r="G66" s="553">
        <f>208320+62913+20967</f>
        <v>292200</v>
      </c>
      <c r="H66" s="554"/>
      <c r="I66" s="447">
        <f t="shared" si="0"/>
        <v>292200</v>
      </c>
    </row>
    <row r="67" spans="1:9" ht="15" hidden="1">
      <c r="A67" s="454" t="s">
        <v>704</v>
      </c>
      <c r="B67" s="445" t="s">
        <v>1205</v>
      </c>
      <c r="C67" s="445" t="s">
        <v>633</v>
      </c>
      <c r="D67" s="445" t="s">
        <v>658</v>
      </c>
      <c r="E67" s="445" t="s">
        <v>703</v>
      </c>
      <c r="F67" s="456" t="s">
        <v>655</v>
      </c>
      <c r="G67" s="553">
        <f>20967-20967</f>
        <v>0</v>
      </c>
      <c r="H67" s="554"/>
      <c r="I67" s="447">
        <f t="shared" si="0"/>
        <v>0</v>
      </c>
    </row>
    <row r="68" spans="1:9" ht="15">
      <c r="A68" s="451" t="s">
        <v>705</v>
      </c>
      <c r="B68" s="445" t="s">
        <v>1205</v>
      </c>
      <c r="C68" s="445" t="s">
        <v>633</v>
      </c>
      <c r="D68" s="445" t="s">
        <v>658</v>
      </c>
      <c r="E68" s="445" t="s">
        <v>706</v>
      </c>
      <c r="F68" s="446"/>
      <c r="G68" s="553">
        <f>G69</f>
        <v>29220</v>
      </c>
      <c r="H68" s="554"/>
      <c r="I68" s="447">
        <f t="shared" si="0"/>
        <v>29220</v>
      </c>
    </row>
    <row r="69" spans="1:9" ht="38.25">
      <c r="A69" s="559" t="s">
        <v>707</v>
      </c>
      <c r="B69" s="445" t="s">
        <v>1205</v>
      </c>
      <c r="C69" s="445" t="s">
        <v>633</v>
      </c>
      <c r="D69" s="445" t="s">
        <v>658</v>
      </c>
      <c r="E69" s="445" t="s">
        <v>708</v>
      </c>
      <c r="F69" s="446"/>
      <c r="G69" s="553">
        <f>G70</f>
        <v>29220</v>
      </c>
      <c r="H69" s="554"/>
      <c r="I69" s="447">
        <f t="shared" si="0"/>
        <v>29220</v>
      </c>
    </row>
    <row r="70" spans="1:9" ht="49.5" customHeight="1">
      <c r="A70" s="454" t="s">
        <v>642</v>
      </c>
      <c r="B70" s="445" t="s">
        <v>1205</v>
      </c>
      <c r="C70" s="445" t="s">
        <v>633</v>
      </c>
      <c r="D70" s="445" t="s">
        <v>658</v>
      </c>
      <c r="E70" s="445" t="s">
        <v>708</v>
      </c>
      <c r="F70" s="456" t="s">
        <v>643</v>
      </c>
      <c r="G70" s="553">
        <f>22442+6778</f>
        <v>29220</v>
      </c>
      <c r="H70" s="554"/>
      <c r="I70" s="447">
        <f t="shared" si="0"/>
        <v>29220</v>
      </c>
    </row>
    <row r="71" spans="1:9" ht="15" hidden="1">
      <c r="A71" s="560" t="s">
        <v>709</v>
      </c>
      <c r="B71" s="445" t="s">
        <v>1205</v>
      </c>
      <c r="C71" s="445" t="s">
        <v>633</v>
      </c>
      <c r="D71" s="445" t="s">
        <v>710</v>
      </c>
      <c r="E71" s="445"/>
      <c r="F71" s="456"/>
      <c r="G71" s="553">
        <f>G72</f>
        <v>0</v>
      </c>
      <c r="H71" s="554"/>
      <c r="I71" s="447">
        <f t="shared" si="0"/>
        <v>0</v>
      </c>
    </row>
    <row r="72" spans="1:9" ht="15" hidden="1">
      <c r="A72" s="451" t="s">
        <v>698</v>
      </c>
      <c r="B72" s="445" t="s">
        <v>1205</v>
      </c>
      <c r="C72" s="445" t="s">
        <v>633</v>
      </c>
      <c r="D72" s="445" t="s">
        <v>710</v>
      </c>
      <c r="E72" s="445" t="s">
        <v>699</v>
      </c>
      <c r="F72" s="456"/>
      <c r="G72" s="553">
        <f>G73</f>
        <v>0</v>
      </c>
      <c r="H72" s="554"/>
      <c r="I72" s="447">
        <f t="shared" si="0"/>
        <v>0</v>
      </c>
    </row>
    <row r="73" spans="1:9" ht="15" hidden="1">
      <c r="A73" s="451" t="s">
        <v>705</v>
      </c>
      <c r="B73" s="445" t="s">
        <v>1205</v>
      </c>
      <c r="C73" s="445" t="s">
        <v>633</v>
      </c>
      <c r="D73" s="445" t="s">
        <v>710</v>
      </c>
      <c r="E73" s="445" t="s">
        <v>706</v>
      </c>
      <c r="F73" s="456"/>
      <c r="G73" s="553">
        <f>G74</f>
        <v>0</v>
      </c>
      <c r="H73" s="554"/>
      <c r="I73" s="447">
        <f t="shared" si="0"/>
        <v>0</v>
      </c>
    </row>
    <row r="74" spans="1:9" ht="39" hidden="1">
      <c r="A74" s="556" t="s">
        <v>711</v>
      </c>
      <c r="B74" s="445" t="s">
        <v>1205</v>
      </c>
      <c r="C74" s="445" t="s">
        <v>633</v>
      </c>
      <c r="D74" s="445" t="s">
        <v>710</v>
      </c>
      <c r="E74" s="445" t="s">
        <v>712</v>
      </c>
      <c r="F74" s="456"/>
      <c r="G74" s="553">
        <f>G75</f>
        <v>0</v>
      </c>
      <c r="H74" s="554"/>
      <c r="I74" s="447">
        <f t="shared" si="0"/>
        <v>0</v>
      </c>
    </row>
    <row r="75" spans="1:9" ht="14.25" customHeight="1" hidden="1">
      <c r="A75" s="454" t="s">
        <v>704</v>
      </c>
      <c r="B75" s="445" t="s">
        <v>1205</v>
      </c>
      <c r="C75" s="445" t="s">
        <v>633</v>
      </c>
      <c r="D75" s="445" t="s">
        <v>710</v>
      </c>
      <c r="E75" s="445" t="s">
        <v>712</v>
      </c>
      <c r="F75" s="456" t="s">
        <v>655</v>
      </c>
      <c r="G75" s="553"/>
      <c r="H75" s="554"/>
      <c r="I75" s="447">
        <f t="shared" si="0"/>
        <v>0</v>
      </c>
    </row>
    <row r="76" spans="1:9" ht="26.25" hidden="1">
      <c r="A76" s="451" t="s">
        <v>713</v>
      </c>
      <c r="B76" s="445" t="s">
        <v>1205</v>
      </c>
      <c r="C76" s="445" t="s">
        <v>633</v>
      </c>
      <c r="D76" s="445" t="s">
        <v>714</v>
      </c>
      <c r="E76" s="445"/>
      <c r="F76" s="446"/>
      <c r="G76" s="553">
        <f>G77</f>
        <v>559000</v>
      </c>
      <c r="H76" s="554"/>
      <c r="I76" s="447">
        <f t="shared" si="0"/>
        <v>559000</v>
      </c>
    </row>
    <row r="77" spans="1:9" ht="33.75" customHeight="1">
      <c r="A77" s="469" t="s">
        <v>715</v>
      </c>
      <c r="B77" s="445" t="s">
        <v>1205</v>
      </c>
      <c r="C77" s="445" t="s">
        <v>633</v>
      </c>
      <c r="D77" s="445" t="s">
        <v>714</v>
      </c>
      <c r="E77" s="470" t="s">
        <v>716</v>
      </c>
      <c r="F77" s="456"/>
      <c r="G77" s="553">
        <f>G78</f>
        <v>559000</v>
      </c>
      <c r="H77" s="554"/>
      <c r="I77" s="447">
        <f t="shared" si="0"/>
        <v>559000</v>
      </c>
    </row>
    <row r="78" spans="1:9" ht="15">
      <c r="A78" s="469" t="s">
        <v>717</v>
      </c>
      <c r="B78" s="445" t="s">
        <v>1205</v>
      </c>
      <c r="C78" s="445" t="s">
        <v>633</v>
      </c>
      <c r="D78" s="445" t="s">
        <v>714</v>
      </c>
      <c r="E78" s="470" t="s">
        <v>718</v>
      </c>
      <c r="F78" s="456"/>
      <c r="G78" s="553">
        <f>G79</f>
        <v>559000</v>
      </c>
      <c r="H78" s="554"/>
      <c r="I78" s="447">
        <f t="shared" si="0"/>
        <v>559000</v>
      </c>
    </row>
    <row r="79" spans="1:9" ht="26.25">
      <c r="A79" s="452" t="s">
        <v>640</v>
      </c>
      <c r="B79" s="445" t="s">
        <v>1205</v>
      </c>
      <c r="C79" s="445" t="s">
        <v>633</v>
      </c>
      <c r="D79" s="445" t="s">
        <v>714</v>
      </c>
      <c r="E79" s="470" t="s">
        <v>719</v>
      </c>
      <c r="F79" s="446"/>
      <c r="G79" s="553">
        <f>G80+G81+G82</f>
        <v>559000</v>
      </c>
      <c r="H79" s="554"/>
      <c r="I79" s="447">
        <f t="shared" si="0"/>
        <v>559000</v>
      </c>
    </row>
    <row r="80" spans="1:9" ht="37.5" customHeight="1">
      <c r="A80" s="454" t="s">
        <v>642</v>
      </c>
      <c r="B80" s="445" t="s">
        <v>1205</v>
      </c>
      <c r="C80" s="445" t="s">
        <v>633</v>
      </c>
      <c r="D80" s="445" t="s">
        <v>714</v>
      </c>
      <c r="E80" s="470" t="s">
        <v>719</v>
      </c>
      <c r="F80" s="456" t="s">
        <v>643</v>
      </c>
      <c r="G80" s="553">
        <v>559000</v>
      </c>
      <c r="H80" s="554"/>
      <c r="I80" s="447">
        <f t="shared" si="0"/>
        <v>559000</v>
      </c>
    </row>
    <row r="81" spans="1:9" ht="14.25" customHeight="1" hidden="1">
      <c r="A81" s="454" t="s">
        <v>704</v>
      </c>
      <c r="B81" s="445" t="s">
        <v>1205</v>
      </c>
      <c r="C81" s="445" t="s">
        <v>633</v>
      </c>
      <c r="D81" s="445" t="s">
        <v>714</v>
      </c>
      <c r="E81" s="470" t="s">
        <v>719</v>
      </c>
      <c r="F81" s="456" t="s">
        <v>655</v>
      </c>
      <c r="G81" s="553"/>
      <c r="H81" s="554"/>
      <c r="I81" s="447">
        <f t="shared" si="0"/>
        <v>0</v>
      </c>
    </row>
    <row r="82" spans="1:9" ht="15" hidden="1">
      <c r="A82" s="466" t="s">
        <v>696</v>
      </c>
      <c r="B82" s="445" t="s">
        <v>1205</v>
      </c>
      <c r="C82" s="445" t="s">
        <v>633</v>
      </c>
      <c r="D82" s="445" t="s">
        <v>714</v>
      </c>
      <c r="E82" s="470" t="s">
        <v>719</v>
      </c>
      <c r="F82" s="456" t="s">
        <v>697</v>
      </c>
      <c r="G82" s="553"/>
      <c r="H82" s="554"/>
      <c r="I82" s="447">
        <f t="shared" si="0"/>
        <v>0</v>
      </c>
    </row>
    <row r="83" spans="1:9" ht="15" hidden="1">
      <c r="A83" s="561" t="s">
        <v>720</v>
      </c>
      <c r="B83" s="445" t="s">
        <v>1205</v>
      </c>
      <c r="C83" s="445" t="s">
        <v>633</v>
      </c>
      <c r="D83" s="445" t="s">
        <v>721</v>
      </c>
      <c r="E83" s="470"/>
      <c r="F83" s="456"/>
      <c r="G83" s="553">
        <f>G84</f>
        <v>0</v>
      </c>
      <c r="H83" s="554"/>
      <c r="I83" s="447">
        <f t="shared" si="0"/>
        <v>0</v>
      </c>
    </row>
    <row r="84" spans="1:9" ht="15" hidden="1">
      <c r="A84" s="451" t="s">
        <v>698</v>
      </c>
      <c r="B84" s="445" t="s">
        <v>1205</v>
      </c>
      <c r="C84" s="445" t="s">
        <v>633</v>
      </c>
      <c r="D84" s="445" t="s">
        <v>721</v>
      </c>
      <c r="E84" s="470" t="s">
        <v>699</v>
      </c>
      <c r="F84" s="456"/>
      <c r="G84" s="553">
        <f>G85</f>
        <v>0</v>
      </c>
      <c r="H84" s="554"/>
      <c r="I84" s="447">
        <f t="shared" si="0"/>
        <v>0</v>
      </c>
    </row>
    <row r="85" spans="1:9" ht="15" hidden="1">
      <c r="A85" s="466" t="s">
        <v>722</v>
      </c>
      <c r="B85" s="445" t="s">
        <v>1205</v>
      </c>
      <c r="C85" s="445" t="s">
        <v>633</v>
      </c>
      <c r="D85" s="445" t="s">
        <v>721</v>
      </c>
      <c r="E85" s="470" t="s">
        <v>723</v>
      </c>
      <c r="F85" s="456"/>
      <c r="G85" s="553">
        <f>G86</f>
        <v>0</v>
      </c>
      <c r="H85" s="554"/>
      <c r="I85" s="447">
        <f t="shared" si="0"/>
        <v>0</v>
      </c>
    </row>
    <row r="86" spans="1:9" ht="15" hidden="1">
      <c r="A86" s="466" t="s">
        <v>724</v>
      </c>
      <c r="B86" s="445" t="s">
        <v>1205</v>
      </c>
      <c r="C86" s="445" t="s">
        <v>633</v>
      </c>
      <c r="D86" s="445" t="s">
        <v>721</v>
      </c>
      <c r="E86" s="470" t="s">
        <v>725</v>
      </c>
      <c r="F86" s="456"/>
      <c r="G86" s="553">
        <f>G87</f>
        <v>0</v>
      </c>
      <c r="H86" s="554"/>
      <c r="I86" s="447">
        <f t="shared" si="0"/>
        <v>0</v>
      </c>
    </row>
    <row r="87" spans="1:9" ht="15" hidden="1">
      <c r="A87" s="466" t="s">
        <v>696</v>
      </c>
      <c r="B87" s="445" t="s">
        <v>1205</v>
      </c>
      <c r="C87" s="445" t="s">
        <v>633</v>
      </c>
      <c r="D87" s="445" t="s">
        <v>721</v>
      </c>
      <c r="E87" s="470" t="s">
        <v>725</v>
      </c>
      <c r="F87" s="456" t="s">
        <v>697</v>
      </c>
      <c r="G87" s="553"/>
      <c r="H87" s="554"/>
      <c r="I87" s="447">
        <f t="shared" si="0"/>
        <v>0</v>
      </c>
    </row>
    <row r="88" spans="1:9" ht="15">
      <c r="A88" s="451" t="s">
        <v>726</v>
      </c>
      <c r="B88" s="445" t="s">
        <v>1205</v>
      </c>
      <c r="C88" s="445" t="s">
        <v>633</v>
      </c>
      <c r="D88" s="445" t="s">
        <v>727</v>
      </c>
      <c r="E88" s="445"/>
      <c r="F88" s="446"/>
      <c r="G88" s="553">
        <f>G90</f>
        <v>50000</v>
      </c>
      <c r="H88" s="554"/>
      <c r="I88" s="447">
        <f t="shared" si="0"/>
        <v>50000</v>
      </c>
    </row>
    <row r="89" spans="1:9" ht="15">
      <c r="A89" s="454" t="s">
        <v>728</v>
      </c>
      <c r="B89" s="445" t="s">
        <v>1205</v>
      </c>
      <c r="C89" s="445" t="s">
        <v>633</v>
      </c>
      <c r="D89" s="445" t="s">
        <v>727</v>
      </c>
      <c r="E89" s="455" t="s">
        <v>729</v>
      </c>
      <c r="F89" s="472" t="s">
        <v>730</v>
      </c>
      <c r="G89" s="553">
        <f>G90</f>
        <v>50000</v>
      </c>
      <c r="H89" s="554"/>
      <c r="I89" s="447">
        <f t="shared" si="0"/>
        <v>50000</v>
      </c>
    </row>
    <row r="90" spans="1:9" ht="15">
      <c r="A90" s="454" t="s">
        <v>726</v>
      </c>
      <c r="B90" s="445" t="s">
        <v>1205</v>
      </c>
      <c r="C90" s="445" t="s">
        <v>633</v>
      </c>
      <c r="D90" s="445" t="s">
        <v>727</v>
      </c>
      <c r="E90" s="455" t="s">
        <v>731</v>
      </c>
      <c r="F90" s="472" t="s">
        <v>730</v>
      </c>
      <c r="G90" s="553">
        <f>G91</f>
        <v>50000</v>
      </c>
      <c r="H90" s="562"/>
      <c r="I90" s="447">
        <f t="shared" si="0"/>
        <v>50000</v>
      </c>
    </row>
    <row r="91" spans="1:9" ht="15">
      <c r="A91" s="452" t="s">
        <v>732</v>
      </c>
      <c r="B91" s="445" t="s">
        <v>1205</v>
      </c>
      <c r="C91" s="445" t="s">
        <v>633</v>
      </c>
      <c r="D91" s="445" t="s">
        <v>727</v>
      </c>
      <c r="E91" s="455" t="s">
        <v>733</v>
      </c>
      <c r="F91" s="472" t="s">
        <v>730</v>
      </c>
      <c r="G91" s="553">
        <f>G92</f>
        <v>50000</v>
      </c>
      <c r="H91" s="562"/>
      <c r="I91" s="447">
        <f aca="true" t="shared" si="1" ref="I91:I242">G91+H91</f>
        <v>50000</v>
      </c>
    </row>
    <row r="92" spans="1:9" ht="15">
      <c r="A92" s="454" t="s">
        <v>696</v>
      </c>
      <c r="B92" s="445" t="s">
        <v>1205</v>
      </c>
      <c r="C92" s="445" t="s">
        <v>633</v>
      </c>
      <c r="D92" s="445" t="s">
        <v>727</v>
      </c>
      <c r="E92" s="455" t="s">
        <v>733</v>
      </c>
      <c r="F92" s="472" t="s">
        <v>697</v>
      </c>
      <c r="G92" s="553">
        <f>50000</f>
        <v>50000</v>
      </c>
      <c r="H92" s="562"/>
      <c r="I92" s="447">
        <f t="shared" si="1"/>
        <v>50000</v>
      </c>
    </row>
    <row r="93" spans="1:9" ht="15">
      <c r="A93" s="451" t="s">
        <v>734</v>
      </c>
      <c r="B93" s="445" t="s">
        <v>1205</v>
      </c>
      <c r="C93" s="445" t="s">
        <v>633</v>
      </c>
      <c r="D93" s="445" t="s">
        <v>735</v>
      </c>
      <c r="E93" s="445"/>
      <c r="F93" s="446"/>
      <c r="G93" s="553">
        <f>G94+G115+G146+G157+G163+G173+G125+G137+G130+G120+G152</f>
        <v>30375093.560000002</v>
      </c>
      <c r="H93" s="562"/>
      <c r="I93" s="447">
        <f t="shared" si="1"/>
        <v>30375093.560000002</v>
      </c>
    </row>
    <row r="94" spans="1:9" ht="42" customHeight="1">
      <c r="A94" s="451" t="s">
        <v>1206</v>
      </c>
      <c r="B94" s="445" t="s">
        <v>1205</v>
      </c>
      <c r="C94" s="445" t="s">
        <v>633</v>
      </c>
      <c r="D94" s="445" t="s">
        <v>735</v>
      </c>
      <c r="E94" s="445" t="s">
        <v>660</v>
      </c>
      <c r="F94" s="446"/>
      <c r="G94" s="553">
        <f>G106+G99+G95</f>
        <v>164900</v>
      </c>
      <c r="H94" s="562"/>
      <c r="I94" s="447">
        <f t="shared" si="1"/>
        <v>164900</v>
      </c>
    </row>
    <row r="95" spans="1:9" ht="57" customHeight="1">
      <c r="A95" s="473" t="s">
        <v>737</v>
      </c>
      <c r="B95" s="445" t="s">
        <v>1205</v>
      </c>
      <c r="C95" s="445" t="s">
        <v>633</v>
      </c>
      <c r="D95" s="445" t="s">
        <v>735</v>
      </c>
      <c r="E95" s="445" t="s">
        <v>738</v>
      </c>
      <c r="F95" s="446"/>
      <c r="G95" s="553">
        <f>G96</f>
        <v>14000</v>
      </c>
      <c r="H95" s="554"/>
      <c r="I95" s="447">
        <f t="shared" si="1"/>
        <v>14000</v>
      </c>
    </row>
    <row r="96" spans="1:9" ht="32.25" customHeight="1">
      <c r="A96" s="473" t="s">
        <v>739</v>
      </c>
      <c r="B96" s="445" t="s">
        <v>1205</v>
      </c>
      <c r="C96" s="445" t="s">
        <v>633</v>
      </c>
      <c r="D96" s="445" t="s">
        <v>735</v>
      </c>
      <c r="E96" s="445" t="s">
        <v>740</v>
      </c>
      <c r="F96" s="446"/>
      <c r="G96" s="553">
        <f>G97</f>
        <v>14000</v>
      </c>
      <c r="H96" s="554"/>
      <c r="I96" s="447">
        <f t="shared" si="1"/>
        <v>14000</v>
      </c>
    </row>
    <row r="97" spans="1:9" ht="15.75" customHeight="1">
      <c r="A97" s="454" t="s">
        <v>741</v>
      </c>
      <c r="B97" s="445" t="s">
        <v>1205</v>
      </c>
      <c r="C97" s="445" t="s">
        <v>633</v>
      </c>
      <c r="D97" s="445" t="s">
        <v>735</v>
      </c>
      <c r="E97" s="474" t="s">
        <v>742</v>
      </c>
      <c r="F97" s="446"/>
      <c r="G97" s="553">
        <f>G98</f>
        <v>14000</v>
      </c>
      <c r="H97" s="554"/>
      <c r="I97" s="447">
        <f t="shared" si="1"/>
        <v>14000</v>
      </c>
    </row>
    <row r="98" spans="1:9" ht="28.5" customHeight="1">
      <c r="A98" s="454" t="s">
        <v>654</v>
      </c>
      <c r="B98" s="445" t="s">
        <v>1205</v>
      </c>
      <c r="C98" s="445" t="s">
        <v>633</v>
      </c>
      <c r="D98" s="445" t="s">
        <v>735</v>
      </c>
      <c r="E98" s="474" t="s">
        <v>742</v>
      </c>
      <c r="F98" s="446" t="s">
        <v>655</v>
      </c>
      <c r="G98" s="553">
        <v>14000</v>
      </c>
      <c r="H98" s="554"/>
      <c r="I98" s="447">
        <f t="shared" si="1"/>
        <v>14000</v>
      </c>
    </row>
    <row r="99" spans="1:9" ht="65.25" customHeight="1">
      <c r="A99" s="454" t="s">
        <v>661</v>
      </c>
      <c r="B99" s="445" t="s">
        <v>1205</v>
      </c>
      <c r="C99" s="457" t="s">
        <v>633</v>
      </c>
      <c r="D99" s="457" t="s">
        <v>735</v>
      </c>
      <c r="E99" s="457" t="s">
        <v>662</v>
      </c>
      <c r="F99" s="464"/>
      <c r="G99" s="555">
        <f>G100+G103</f>
        <v>15000</v>
      </c>
      <c r="H99" s="554"/>
      <c r="I99" s="447">
        <f t="shared" si="1"/>
        <v>15000</v>
      </c>
    </row>
    <row r="100" spans="1:9" ht="38.25" hidden="1">
      <c r="A100" s="462" t="s">
        <v>663</v>
      </c>
      <c r="B100" s="445" t="s">
        <v>1205</v>
      </c>
      <c r="C100" s="445" t="s">
        <v>633</v>
      </c>
      <c r="D100" s="445" t="s">
        <v>735</v>
      </c>
      <c r="E100" s="445" t="s">
        <v>664</v>
      </c>
      <c r="F100" s="446"/>
      <c r="G100" s="553">
        <f>G102</f>
        <v>0</v>
      </c>
      <c r="H100" s="554"/>
      <c r="I100" s="447">
        <f t="shared" si="1"/>
        <v>0</v>
      </c>
    </row>
    <row r="101" spans="1:9" ht="76.5" hidden="1">
      <c r="A101" s="496" t="s">
        <v>1207</v>
      </c>
      <c r="B101" s="445" t="s">
        <v>1205</v>
      </c>
      <c r="C101" s="445" t="s">
        <v>633</v>
      </c>
      <c r="D101" s="445" t="s">
        <v>735</v>
      </c>
      <c r="E101" s="563" t="s">
        <v>1208</v>
      </c>
      <c r="F101" s="446"/>
      <c r="G101" s="553">
        <f>G102</f>
        <v>0</v>
      </c>
      <c r="H101" s="554"/>
      <c r="I101" s="447">
        <f t="shared" si="1"/>
        <v>0</v>
      </c>
    </row>
    <row r="102" spans="1:9" ht="26.25" hidden="1">
      <c r="A102" s="454" t="s">
        <v>654</v>
      </c>
      <c r="B102" s="445" t="s">
        <v>1205</v>
      </c>
      <c r="C102" s="445" t="s">
        <v>633</v>
      </c>
      <c r="D102" s="445" t="s">
        <v>735</v>
      </c>
      <c r="E102" s="563" t="s">
        <v>1208</v>
      </c>
      <c r="F102" s="446" t="s">
        <v>655</v>
      </c>
      <c r="G102" s="553"/>
      <c r="H102" s="554"/>
      <c r="I102" s="447">
        <f t="shared" si="1"/>
        <v>0</v>
      </c>
    </row>
    <row r="103" spans="1:9" ht="28.5" customHeight="1">
      <c r="A103" s="496" t="s">
        <v>743</v>
      </c>
      <c r="B103" s="445" t="s">
        <v>1205</v>
      </c>
      <c r="C103" s="445" t="s">
        <v>633</v>
      </c>
      <c r="D103" s="445" t="s">
        <v>735</v>
      </c>
      <c r="E103" s="445" t="s">
        <v>744</v>
      </c>
      <c r="F103" s="446"/>
      <c r="G103" s="553">
        <f>G104</f>
        <v>15000</v>
      </c>
      <c r="H103" s="554"/>
      <c r="I103" s="447">
        <f t="shared" si="1"/>
        <v>15000</v>
      </c>
    </row>
    <row r="104" spans="1:9" ht="33.75" customHeight="1">
      <c r="A104" s="473" t="s">
        <v>745</v>
      </c>
      <c r="B104" s="445" t="s">
        <v>1205</v>
      </c>
      <c r="C104" s="445" t="s">
        <v>633</v>
      </c>
      <c r="D104" s="445" t="s">
        <v>735</v>
      </c>
      <c r="E104" s="474" t="s">
        <v>746</v>
      </c>
      <c r="F104" s="446"/>
      <c r="G104" s="553">
        <f>G105</f>
        <v>15000</v>
      </c>
      <c r="H104" s="554"/>
      <c r="I104" s="447">
        <f t="shared" si="1"/>
        <v>15000</v>
      </c>
    </row>
    <row r="105" spans="1:9" ht="27" customHeight="1">
      <c r="A105" s="454" t="s">
        <v>654</v>
      </c>
      <c r="B105" s="445" t="s">
        <v>1205</v>
      </c>
      <c r="C105" s="445" t="s">
        <v>633</v>
      </c>
      <c r="D105" s="445" t="s">
        <v>735</v>
      </c>
      <c r="E105" s="474" t="s">
        <v>746</v>
      </c>
      <c r="F105" s="446" t="s">
        <v>655</v>
      </c>
      <c r="G105" s="553">
        <v>15000</v>
      </c>
      <c r="H105" s="554"/>
      <c r="I105" s="447">
        <f t="shared" si="1"/>
        <v>15000</v>
      </c>
    </row>
    <row r="106" spans="1:9" ht="57.75" customHeight="1">
      <c r="A106" s="452" t="s">
        <v>747</v>
      </c>
      <c r="B106" s="445" t="s">
        <v>1205</v>
      </c>
      <c r="C106" s="457" t="s">
        <v>633</v>
      </c>
      <c r="D106" s="457" t="s">
        <v>735</v>
      </c>
      <c r="E106" s="457" t="s">
        <v>668</v>
      </c>
      <c r="F106" s="464"/>
      <c r="G106" s="555">
        <f>G107+G112</f>
        <v>135900</v>
      </c>
      <c r="H106" s="554"/>
      <c r="I106" s="447">
        <f t="shared" si="1"/>
        <v>135900</v>
      </c>
    </row>
    <row r="107" spans="1:9" ht="30" customHeight="1">
      <c r="A107" s="452" t="s">
        <v>748</v>
      </c>
      <c r="B107" s="445" t="s">
        <v>1205</v>
      </c>
      <c r="C107" s="445" t="s">
        <v>633</v>
      </c>
      <c r="D107" s="445" t="s">
        <v>735</v>
      </c>
      <c r="E107" s="445" t="s">
        <v>749</v>
      </c>
      <c r="F107" s="446"/>
      <c r="G107" s="553">
        <f>G108+G110</f>
        <v>125900</v>
      </c>
      <c r="H107" s="554"/>
      <c r="I107" s="447">
        <f t="shared" si="1"/>
        <v>125900</v>
      </c>
    </row>
    <row r="108" spans="1:9" ht="34.5" customHeight="1">
      <c r="A108" s="452" t="s">
        <v>750</v>
      </c>
      <c r="B108" s="445" t="s">
        <v>1205</v>
      </c>
      <c r="C108" s="445" t="s">
        <v>633</v>
      </c>
      <c r="D108" s="445" t="s">
        <v>735</v>
      </c>
      <c r="E108" s="445" t="s">
        <v>751</v>
      </c>
      <c r="F108" s="446"/>
      <c r="G108" s="553">
        <f>G109</f>
        <v>122900</v>
      </c>
      <c r="H108" s="554"/>
      <c r="I108" s="447">
        <f t="shared" si="1"/>
        <v>122900</v>
      </c>
    </row>
    <row r="109" spans="1:9" ht="26.25">
      <c r="A109" s="454" t="s">
        <v>752</v>
      </c>
      <c r="B109" s="445" t="s">
        <v>1205</v>
      </c>
      <c r="C109" s="445" t="s">
        <v>633</v>
      </c>
      <c r="D109" s="445" t="s">
        <v>735</v>
      </c>
      <c r="E109" s="445" t="s">
        <v>751</v>
      </c>
      <c r="F109" s="456" t="s">
        <v>753</v>
      </c>
      <c r="G109" s="553">
        <v>122900</v>
      </c>
      <c r="H109" s="554"/>
      <c r="I109" s="447">
        <f t="shared" si="1"/>
        <v>122900</v>
      </c>
    </row>
    <row r="110" spans="1:9" ht="18.75" customHeight="1">
      <c r="A110" s="452" t="s">
        <v>754</v>
      </c>
      <c r="B110" s="445" t="s">
        <v>1205</v>
      </c>
      <c r="C110" s="445" t="s">
        <v>633</v>
      </c>
      <c r="D110" s="445" t="s">
        <v>735</v>
      </c>
      <c r="E110" s="445" t="s">
        <v>755</v>
      </c>
      <c r="F110" s="456"/>
      <c r="G110" s="553">
        <f>G111</f>
        <v>3000</v>
      </c>
      <c r="H110" s="554"/>
      <c r="I110" s="447">
        <f t="shared" si="1"/>
        <v>3000</v>
      </c>
    </row>
    <row r="111" spans="1:9" ht="26.25">
      <c r="A111" s="454" t="s">
        <v>752</v>
      </c>
      <c r="B111" s="445" t="s">
        <v>1205</v>
      </c>
      <c r="C111" s="445" t="s">
        <v>633</v>
      </c>
      <c r="D111" s="445" t="s">
        <v>735</v>
      </c>
      <c r="E111" s="445" t="s">
        <v>755</v>
      </c>
      <c r="F111" s="456" t="s">
        <v>753</v>
      </c>
      <c r="G111" s="553">
        <v>3000</v>
      </c>
      <c r="H111" s="554"/>
      <c r="I111" s="447">
        <f t="shared" si="1"/>
        <v>3000</v>
      </c>
    </row>
    <row r="112" spans="1:9" ht="25.5">
      <c r="A112" s="465" t="s">
        <v>669</v>
      </c>
      <c r="B112" s="445" t="s">
        <v>1205</v>
      </c>
      <c r="C112" s="445" t="s">
        <v>633</v>
      </c>
      <c r="D112" s="445" t="s">
        <v>735</v>
      </c>
      <c r="E112" s="445" t="s">
        <v>670</v>
      </c>
      <c r="F112" s="456"/>
      <c r="G112" s="553">
        <f>G113</f>
        <v>10000</v>
      </c>
      <c r="H112" s="554"/>
      <c r="I112" s="447">
        <f t="shared" si="1"/>
        <v>10000</v>
      </c>
    </row>
    <row r="113" spans="1:9" ht="21" customHeight="1">
      <c r="A113" s="496" t="s">
        <v>756</v>
      </c>
      <c r="B113" s="445" t="s">
        <v>1205</v>
      </c>
      <c r="C113" s="445" t="s">
        <v>633</v>
      </c>
      <c r="D113" s="445" t="s">
        <v>735</v>
      </c>
      <c r="E113" s="445" t="s">
        <v>757</v>
      </c>
      <c r="F113" s="456"/>
      <c r="G113" s="553">
        <f>G114</f>
        <v>10000</v>
      </c>
      <c r="H113" s="554"/>
      <c r="I113" s="447">
        <f t="shared" si="1"/>
        <v>10000</v>
      </c>
    </row>
    <row r="114" spans="1:9" ht="26.25">
      <c r="A114" s="454" t="s">
        <v>654</v>
      </c>
      <c r="B114" s="445" t="s">
        <v>1205</v>
      </c>
      <c r="C114" s="445" t="s">
        <v>633</v>
      </c>
      <c r="D114" s="445" t="s">
        <v>735</v>
      </c>
      <c r="E114" s="445" t="s">
        <v>757</v>
      </c>
      <c r="F114" s="456" t="s">
        <v>655</v>
      </c>
      <c r="G114" s="553">
        <v>10000</v>
      </c>
      <c r="H114" s="554"/>
      <c r="I114" s="447">
        <f t="shared" si="1"/>
        <v>10000</v>
      </c>
    </row>
    <row r="115" spans="1:9" ht="38.25">
      <c r="A115" s="508" t="s">
        <v>758</v>
      </c>
      <c r="B115" s="445" t="s">
        <v>1205</v>
      </c>
      <c r="C115" s="445" t="s">
        <v>633</v>
      </c>
      <c r="D115" s="445" t="s">
        <v>735</v>
      </c>
      <c r="E115" s="445" t="s">
        <v>759</v>
      </c>
      <c r="F115" s="456"/>
      <c r="G115" s="553">
        <f>G116</f>
        <v>1084073</v>
      </c>
      <c r="H115" s="554"/>
      <c r="I115" s="447">
        <f t="shared" si="1"/>
        <v>1084073</v>
      </c>
    </row>
    <row r="116" spans="1:9" ht="59.25" customHeight="1">
      <c r="A116" s="490" t="s">
        <v>760</v>
      </c>
      <c r="B116" s="445" t="s">
        <v>1205</v>
      </c>
      <c r="C116" s="457" t="s">
        <v>633</v>
      </c>
      <c r="D116" s="457" t="s">
        <v>735</v>
      </c>
      <c r="E116" s="457" t="s">
        <v>761</v>
      </c>
      <c r="F116" s="459"/>
      <c r="G116" s="555">
        <f>G117</f>
        <v>1084073</v>
      </c>
      <c r="H116" s="554"/>
      <c r="I116" s="447">
        <f t="shared" si="1"/>
        <v>1084073</v>
      </c>
    </row>
    <row r="117" spans="1:9" ht="28.5" customHeight="1">
      <c r="A117" s="490" t="s">
        <v>762</v>
      </c>
      <c r="B117" s="445" t="s">
        <v>1205</v>
      </c>
      <c r="C117" s="445" t="s">
        <v>633</v>
      </c>
      <c r="D117" s="445" t="s">
        <v>735</v>
      </c>
      <c r="E117" s="445" t="s">
        <v>763</v>
      </c>
      <c r="F117" s="456"/>
      <c r="G117" s="553">
        <f>G118</f>
        <v>1084073</v>
      </c>
      <c r="H117" s="554"/>
      <c r="I117" s="447">
        <f t="shared" si="1"/>
        <v>1084073</v>
      </c>
    </row>
    <row r="118" spans="1:9" ht="15">
      <c r="A118" s="490" t="s">
        <v>764</v>
      </c>
      <c r="B118" s="445" t="s">
        <v>1205</v>
      </c>
      <c r="C118" s="445" t="s">
        <v>633</v>
      </c>
      <c r="D118" s="445" t="s">
        <v>735</v>
      </c>
      <c r="E118" s="445" t="s">
        <v>765</v>
      </c>
      <c r="F118" s="456"/>
      <c r="G118" s="553">
        <f>G119</f>
        <v>1084073</v>
      </c>
      <c r="H118" s="554"/>
      <c r="I118" s="447">
        <f t="shared" si="1"/>
        <v>1084073</v>
      </c>
    </row>
    <row r="119" spans="1:9" ht="30" customHeight="1">
      <c r="A119" s="454" t="s">
        <v>654</v>
      </c>
      <c r="B119" s="445" t="s">
        <v>1205</v>
      </c>
      <c r="C119" s="445" t="s">
        <v>633</v>
      </c>
      <c r="D119" s="445" t="s">
        <v>735</v>
      </c>
      <c r="E119" s="445" t="s">
        <v>765</v>
      </c>
      <c r="F119" s="446" t="s">
        <v>655</v>
      </c>
      <c r="G119" s="553">
        <f>567100+90000+30000+310000+37422+49551</f>
        <v>1084073</v>
      </c>
      <c r="H119" s="554"/>
      <c r="I119" s="447">
        <f t="shared" si="1"/>
        <v>1084073</v>
      </c>
    </row>
    <row r="120" spans="1:9" ht="38.25" customHeight="1" hidden="1">
      <c r="A120" s="444" t="s">
        <v>673</v>
      </c>
      <c r="B120" s="445" t="s">
        <v>1205</v>
      </c>
      <c r="C120" s="445" t="s">
        <v>633</v>
      </c>
      <c r="D120" s="445" t="s">
        <v>735</v>
      </c>
      <c r="E120" s="455" t="s">
        <v>674</v>
      </c>
      <c r="F120" s="446"/>
      <c r="G120" s="553">
        <f>G121</f>
        <v>0</v>
      </c>
      <c r="H120" s="554"/>
      <c r="I120" s="447">
        <f t="shared" si="1"/>
        <v>0</v>
      </c>
    </row>
    <row r="121" spans="1:9" ht="89.25" customHeight="1" hidden="1">
      <c r="A121" s="465" t="s">
        <v>675</v>
      </c>
      <c r="B121" s="445" t="s">
        <v>1205</v>
      </c>
      <c r="C121" s="445" t="s">
        <v>633</v>
      </c>
      <c r="D121" s="445" t="s">
        <v>735</v>
      </c>
      <c r="E121" s="458" t="s">
        <v>676</v>
      </c>
      <c r="F121" s="464"/>
      <c r="G121" s="555">
        <f>G122</f>
        <v>0</v>
      </c>
      <c r="H121" s="554"/>
      <c r="I121" s="447">
        <f t="shared" si="1"/>
        <v>0</v>
      </c>
    </row>
    <row r="122" spans="1:9" ht="30" customHeight="1" hidden="1">
      <c r="A122" s="466" t="s">
        <v>677</v>
      </c>
      <c r="B122" s="445" t="s">
        <v>1205</v>
      </c>
      <c r="C122" s="445" t="s">
        <v>633</v>
      </c>
      <c r="D122" s="445" t="s">
        <v>735</v>
      </c>
      <c r="E122" s="455" t="s">
        <v>678</v>
      </c>
      <c r="F122" s="446"/>
      <c r="G122" s="553">
        <f>G123</f>
        <v>0</v>
      </c>
      <c r="H122" s="554"/>
      <c r="I122" s="447">
        <f t="shared" si="1"/>
        <v>0</v>
      </c>
    </row>
    <row r="123" spans="1:9" ht="30" customHeight="1" hidden="1">
      <c r="A123" s="454" t="s">
        <v>768</v>
      </c>
      <c r="B123" s="445" t="s">
        <v>1205</v>
      </c>
      <c r="C123" s="445" t="s">
        <v>633</v>
      </c>
      <c r="D123" s="445" t="s">
        <v>735</v>
      </c>
      <c r="E123" s="455" t="s">
        <v>769</v>
      </c>
      <c r="F123" s="446"/>
      <c r="G123" s="553">
        <f>G124</f>
        <v>0</v>
      </c>
      <c r="H123" s="554"/>
      <c r="I123" s="447">
        <f t="shared" si="1"/>
        <v>0</v>
      </c>
    </row>
    <row r="124" spans="1:9" ht="29.25" customHeight="1" hidden="1">
      <c r="A124" s="454" t="s">
        <v>654</v>
      </c>
      <c r="B124" s="445" t="s">
        <v>1205</v>
      </c>
      <c r="C124" s="445" t="s">
        <v>633</v>
      </c>
      <c r="D124" s="445" t="s">
        <v>735</v>
      </c>
      <c r="E124" s="455" t="s">
        <v>769</v>
      </c>
      <c r="F124" s="456" t="s">
        <v>655</v>
      </c>
      <c r="G124" s="553"/>
      <c r="H124" s="554"/>
      <c r="I124" s="447">
        <f t="shared" si="1"/>
        <v>0</v>
      </c>
    </row>
    <row r="125" spans="1:9" ht="51" hidden="1">
      <c r="A125" s="508" t="s">
        <v>770</v>
      </c>
      <c r="B125" s="445" t="s">
        <v>1205</v>
      </c>
      <c r="C125" s="445" t="s">
        <v>633</v>
      </c>
      <c r="D125" s="445" t="s">
        <v>735</v>
      </c>
      <c r="E125" s="445" t="s">
        <v>771</v>
      </c>
      <c r="F125" s="446"/>
      <c r="G125" s="553">
        <f>G126</f>
        <v>0</v>
      </c>
      <c r="H125" s="554"/>
      <c r="I125" s="447">
        <f t="shared" si="1"/>
        <v>0</v>
      </c>
    </row>
    <row r="126" spans="1:9" ht="66" customHeight="1" hidden="1">
      <c r="A126" s="490" t="s">
        <v>772</v>
      </c>
      <c r="B126" s="445" t="s">
        <v>1205</v>
      </c>
      <c r="C126" s="445" t="s">
        <v>633</v>
      </c>
      <c r="D126" s="445" t="s">
        <v>735</v>
      </c>
      <c r="E126" s="445" t="s">
        <v>773</v>
      </c>
      <c r="F126" s="446"/>
      <c r="G126" s="553">
        <f>G127</f>
        <v>0</v>
      </c>
      <c r="H126" s="554"/>
      <c r="I126" s="447">
        <f t="shared" si="1"/>
        <v>0</v>
      </c>
    </row>
    <row r="127" spans="1:9" ht="25.5" hidden="1">
      <c r="A127" s="564" t="s">
        <v>774</v>
      </c>
      <c r="B127" s="445" t="s">
        <v>1205</v>
      </c>
      <c r="C127" s="445" t="s">
        <v>633</v>
      </c>
      <c r="D127" s="445" t="s">
        <v>735</v>
      </c>
      <c r="E127" s="445" t="s">
        <v>775</v>
      </c>
      <c r="F127" s="446"/>
      <c r="G127" s="553">
        <f>G128</f>
        <v>0</v>
      </c>
      <c r="H127" s="554"/>
      <c r="I127" s="447">
        <f t="shared" si="1"/>
        <v>0</v>
      </c>
    </row>
    <row r="128" spans="1:9" ht="25.5" hidden="1">
      <c r="A128" s="466" t="s">
        <v>776</v>
      </c>
      <c r="B128" s="445" t="s">
        <v>1205</v>
      </c>
      <c r="C128" s="445" t="s">
        <v>633</v>
      </c>
      <c r="D128" s="445" t="s">
        <v>735</v>
      </c>
      <c r="E128" s="445" t="s">
        <v>777</v>
      </c>
      <c r="F128" s="446"/>
      <c r="G128" s="553">
        <f>G129</f>
        <v>0</v>
      </c>
      <c r="H128" s="554"/>
      <c r="I128" s="447">
        <f t="shared" si="1"/>
        <v>0</v>
      </c>
    </row>
    <row r="129" spans="1:9" ht="26.25" hidden="1">
      <c r="A129" s="454" t="s">
        <v>654</v>
      </c>
      <c r="B129" s="445" t="s">
        <v>1205</v>
      </c>
      <c r="C129" s="445" t="s">
        <v>633</v>
      </c>
      <c r="D129" s="445" t="s">
        <v>735</v>
      </c>
      <c r="E129" s="445" t="s">
        <v>777</v>
      </c>
      <c r="F129" s="446" t="s">
        <v>655</v>
      </c>
      <c r="G129" s="553"/>
      <c r="H129" s="554"/>
      <c r="I129" s="447">
        <f t="shared" si="1"/>
        <v>0</v>
      </c>
    </row>
    <row r="130" spans="1:9" ht="42" customHeight="1">
      <c r="A130" s="451" t="s">
        <v>681</v>
      </c>
      <c r="B130" s="445" t="s">
        <v>1205</v>
      </c>
      <c r="C130" s="445" t="s">
        <v>633</v>
      </c>
      <c r="D130" s="445" t="s">
        <v>735</v>
      </c>
      <c r="E130" s="455" t="s">
        <v>682</v>
      </c>
      <c r="F130" s="446"/>
      <c r="G130" s="553">
        <f>G131</f>
        <v>70000</v>
      </c>
      <c r="H130" s="562"/>
      <c r="I130" s="447">
        <f t="shared" si="1"/>
        <v>70000</v>
      </c>
    </row>
    <row r="131" spans="1:9" ht="63.75">
      <c r="A131" s="479" t="s">
        <v>778</v>
      </c>
      <c r="B131" s="445" t="s">
        <v>1205</v>
      </c>
      <c r="C131" s="445" t="s">
        <v>633</v>
      </c>
      <c r="D131" s="445" t="s">
        <v>735</v>
      </c>
      <c r="E131" s="455" t="s">
        <v>779</v>
      </c>
      <c r="F131" s="446"/>
      <c r="G131" s="553">
        <f>G132</f>
        <v>70000</v>
      </c>
      <c r="H131" s="562"/>
      <c r="I131" s="447">
        <f t="shared" si="1"/>
        <v>70000</v>
      </c>
    </row>
    <row r="132" spans="1:9" ht="38.25">
      <c r="A132" s="465" t="s">
        <v>780</v>
      </c>
      <c r="B132" s="445" t="s">
        <v>1205</v>
      </c>
      <c r="C132" s="445" t="s">
        <v>633</v>
      </c>
      <c r="D132" s="445" t="s">
        <v>735</v>
      </c>
      <c r="E132" s="470" t="s">
        <v>781</v>
      </c>
      <c r="F132" s="446"/>
      <c r="G132" s="553">
        <f>G133+G135</f>
        <v>70000</v>
      </c>
      <c r="H132" s="562"/>
      <c r="I132" s="447">
        <f t="shared" si="1"/>
        <v>70000</v>
      </c>
    </row>
    <row r="133" spans="1:9" ht="26.25">
      <c r="A133" s="454" t="s">
        <v>782</v>
      </c>
      <c r="B133" s="445" t="s">
        <v>1205</v>
      </c>
      <c r="C133" s="445" t="s">
        <v>633</v>
      </c>
      <c r="D133" s="445" t="s">
        <v>735</v>
      </c>
      <c r="E133" s="470" t="s">
        <v>783</v>
      </c>
      <c r="F133" s="446"/>
      <c r="G133" s="553">
        <f>G134</f>
        <v>30000</v>
      </c>
      <c r="H133" s="554"/>
      <c r="I133" s="447">
        <f t="shared" si="1"/>
        <v>30000</v>
      </c>
    </row>
    <row r="134" spans="1:9" ht="26.25">
      <c r="A134" s="454" t="s">
        <v>654</v>
      </c>
      <c r="B134" s="445" t="s">
        <v>1205</v>
      </c>
      <c r="C134" s="445" t="s">
        <v>633</v>
      </c>
      <c r="D134" s="445" t="s">
        <v>735</v>
      </c>
      <c r="E134" s="470" t="s">
        <v>783</v>
      </c>
      <c r="F134" s="446" t="s">
        <v>655</v>
      </c>
      <c r="G134" s="553">
        <v>30000</v>
      </c>
      <c r="H134" s="554"/>
      <c r="I134" s="447">
        <f t="shared" si="1"/>
        <v>30000</v>
      </c>
    </row>
    <row r="135" spans="1:9" ht="26.25">
      <c r="A135" s="454" t="s">
        <v>784</v>
      </c>
      <c r="B135" s="445" t="s">
        <v>1205</v>
      </c>
      <c r="C135" s="445" t="s">
        <v>633</v>
      </c>
      <c r="D135" s="445" t="s">
        <v>735</v>
      </c>
      <c r="E135" s="470" t="s">
        <v>785</v>
      </c>
      <c r="F135" s="446"/>
      <c r="G135" s="553">
        <f>G136</f>
        <v>40000</v>
      </c>
      <c r="H135" s="554"/>
      <c r="I135" s="447">
        <f t="shared" si="1"/>
        <v>40000</v>
      </c>
    </row>
    <row r="136" spans="1:9" ht="26.25">
      <c r="A136" s="454" t="s">
        <v>654</v>
      </c>
      <c r="B136" s="445" t="s">
        <v>1205</v>
      </c>
      <c r="C136" s="445" t="s">
        <v>633</v>
      </c>
      <c r="D136" s="445" t="s">
        <v>735</v>
      </c>
      <c r="E136" s="470" t="s">
        <v>785</v>
      </c>
      <c r="F136" s="446" t="s">
        <v>655</v>
      </c>
      <c r="G136" s="553">
        <f>40000</f>
        <v>40000</v>
      </c>
      <c r="H136" s="554"/>
      <c r="I136" s="447">
        <f t="shared" si="1"/>
        <v>40000</v>
      </c>
    </row>
    <row r="137" spans="1:9" ht="42.75" customHeight="1">
      <c r="A137" s="480" t="s">
        <v>786</v>
      </c>
      <c r="B137" s="445" t="s">
        <v>1205</v>
      </c>
      <c r="C137" s="445" t="s">
        <v>633</v>
      </c>
      <c r="D137" s="445" t="s">
        <v>735</v>
      </c>
      <c r="E137" s="474" t="s">
        <v>787</v>
      </c>
      <c r="F137" s="446"/>
      <c r="G137" s="553">
        <f>G138+G142</f>
        <v>268500</v>
      </c>
      <c r="H137" s="554"/>
      <c r="I137" s="447">
        <f t="shared" si="1"/>
        <v>268500</v>
      </c>
    </row>
    <row r="138" spans="1:9" ht="51" customHeight="1">
      <c r="A138" s="496" t="s">
        <v>788</v>
      </c>
      <c r="B138" s="445" t="s">
        <v>1205</v>
      </c>
      <c r="C138" s="445" t="s">
        <v>633</v>
      </c>
      <c r="D138" s="445" t="s">
        <v>735</v>
      </c>
      <c r="E138" s="474" t="s">
        <v>789</v>
      </c>
      <c r="F138" s="446"/>
      <c r="G138" s="553">
        <f>G139</f>
        <v>15000</v>
      </c>
      <c r="H138" s="554"/>
      <c r="I138" s="447">
        <f t="shared" si="1"/>
        <v>15000</v>
      </c>
    </row>
    <row r="139" spans="1:9" ht="25.5">
      <c r="A139" s="496" t="s">
        <v>790</v>
      </c>
      <c r="B139" s="445" t="s">
        <v>1205</v>
      </c>
      <c r="C139" s="445" t="s">
        <v>633</v>
      </c>
      <c r="D139" s="445" t="s">
        <v>735</v>
      </c>
      <c r="E139" s="474" t="s">
        <v>791</v>
      </c>
      <c r="F139" s="446"/>
      <c r="G139" s="553">
        <f>G140</f>
        <v>15000</v>
      </c>
      <c r="H139" s="554"/>
      <c r="I139" s="447">
        <f t="shared" si="1"/>
        <v>15000</v>
      </c>
    </row>
    <row r="140" spans="1:9" ht="26.25">
      <c r="A140" s="454" t="s">
        <v>792</v>
      </c>
      <c r="B140" s="445" t="s">
        <v>1205</v>
      </c>
      <c r="C140" s="445" t="s">
        <v>633</v>
      </c>
      <c r="D140" s="445" t="s">
        <v>735</v>
      </c>
      <c r="E140" s="474" t="s">
        <v>793</v>
      </c>
      <c r="F140" s="446"/>
      <c r="G140" s="553">
        <f>G141</f>
        <v>15000</v>
      </c>
      <c r="H140" s="554"/>
      <c r="I140" s="447">
        <f t="shared" si="1"/>
        <v>15000</v>
      </c>
    </row>
    <row r="141" spans="1:9" ht="26.25">
      <c r="A141" s="454" t="s">
        <v>654</v>
      </c>
      <c r="B141" s="445" t="s">
        <v>1205</v>
      </c>
      <c r="C141" s="445" t="s">
        <v>633</v>
      </c>
      <c r="D141" s="445" t="s">
        <v>735</v>
      </c>
      <c r="E141" s="474" t="s">
        <v>793</v>
      </c>
      <c r="F141" s="446" t="s">
        <v>655</v>
      </c>
      <c r="G141" s="553">
        <v>15000</v>
      </c>
      <c r="H141" s="554"/>
      <c r="I141" s="447">
        <f t="shared" si="1"/>
        <v>15000</v>
      </c>
    </row>
    <row r="142" spans="1:9" ht="59.25" customHeight="1">
      <c r="A142" s="496" t="s">
        <v>794</v>
      </c>
      <c r="B142" s="445" t="s">
        <v>1205</v>
      </c>
      <c r="C142" s="445" t="s">
        <v>633</v>
      </c>
      <c r="D142" s="445" t="s">
        <v>735</v>
      </c>
      <c r="E142" s="474" t="s">
        <v>795</v>
      </c>
      <c r="F142" s="446"/>
      <c r="G142" s="553">
        <f>G143</f>
        <v>253500</v>
      </c>
      <c r="H142" s="554"/>
      <c r="I142" s="447">
        <f t="shared" si="1"/>
        <v>253500</v>
      </c>
    </row>
    <row r="143" spans="1:9" ht="15">
      <c r="A143" s="496" t="s">
        <v>796</v>
      </c>
      <c r="B143" s="445" t="s">
        <v>1205</v>
      </c>
      <c r="C143" s="445" t="s">
        <v>633</v>
      </c>
      <c r="D143" s="445" t="s">
        <v>735</v>
      </c>
      <c r="E143" s="474" t="s">
        <v>797</v>
      </c>
      <c r="F143" s="446"/>
      <c r="G143" s="553">
        <f>G144</f>
        <v>253500</v>
      </c>
      <c r="H143" s="554"/>
      <c r="I143" s="447">
        <f t="shared" si="1"/>
        <v>253500</v>
      </c>
    </row>
    <row r="144" spans="1:9" ht="23.25" customHeight="1">
      <c r="A144" s="496" t="s">
        <v>756</v>
      </c>
      <c r="B144" s="445" t="s">
        <v>1205</v>
      </c>
      <c r="C144" s="445" t="s">
        <v>633</v>
      </c>
      <c r="D144" s="445" t="s">
        <v>735</v>
      </c>
      <c r="E144" s="474" t="s">
        <v>798</v>
      </c>
      <c r="F144" s="446"/>
      <c r="G144" s="553">
        <f>G145</f>
        <v>253500</v>
      </c>
      <c r="H144" s="554"/>
      <c r="I144" s="447">
        <f t="shared" si="1"/>
        <v>253500</v>
      </c>
    </row>
    <row r="145" spans="1:9" ht="30" customHeight="1">
      <c r="A145" s="454" t="s">
        <v>654</v>
      </c>
      <c r="B145" s="445" t="s">
        <v>1205</v>
      </c>
      <c r="C145" s="445" t="s">
        <v>633</v>
      </c>
      <c r="D145" s="445" t="s">
        <v>735</v>
      </c>
      <c r="E145" s="474" t="s">
        <v>798</v>
      </c>
      <c r="F145" s="446" t="s">
        <v>655</v>
      </c>
      <c r="G145" s="553">
        <f>181500+72000</f>
        <v>253500</v>
      </c>
      <c r="H145" s="562"/>
      <c r="I145" s="447">
        <f t="shared" si="1"/>
        <v>253500</v>
      </c>
    </row>
    <row r="146" spans="1:9" ht="46.5" customHeight="1">
      <c r="A146" s="454" t="s">
        <v>1209</v>
      </c>
      <c r="B146" s="445" t="s">
        <v>1205</v>
      </c>
      <c r="C146" s="445" t="s">
        <v>633</v>
      </c>
      <c r="D146" s="445" t="s">
        <v>735</v>
      </c>
      <c r="E146" s="474" t="s">
        <v>800</v>
      </c>
      <c r="F146" s="481"/>
      <c r="G146" s="553">
        <f>G147</f>
        <v>2746541</v>
      </c>
      <c r="H146" s="554"/>
      <c r="I146" s="447">
        <f t="shared" si="1"/>
        <v>2746541</v>
      </c>
    </row>
    <row r="147" spans="1:9" ht="57.75" customHeight="1">
      <c r="A147" s="454" t="s">
        <v>801</v>
      </c>
      <c r="B147" s="445" t="s">
        <v>1205</v>
      </c>
      <c r="C147" s="457" t="s">
        <v>633</v>
      </c>
      <c r="D147" s="457" t="s">
        <v>735</v>
      </c>
      <c r="E147" s="482" t="s">
        <v>802</v>
      </c>
      <c r="F147" s="483"/>
      <c r="G147" s="555">
        <f>G149</f>
        <v>2746541</v>
      </c>
      <c r="H147" s="554"/>
      <c r="I147" s="447">
        <f t="shared" si="1"/>
        <v>2746541</v>
      </c>
    </row>
    <row r="148" spans="1:9" ht="62.25" customHeight="1">
      <c r="A148" s="484" t="s">
        <v>803</v>
      </c>
      <c r="B148" s="445" t="s">
        <v>1205</v>
      </c>
      <c r="C148" s="445" t="s">
        <v>633</v>
      </c>
      <c r="D148" s="445" t="s">
        <v>735</v>
      </c>
      <c r="E148" s="474" t="s">
        <v>804</v>
      </c>
      <c r="F148" s="481"/>
      <c r="G148" s="553">
        <f>G149</f>
        <v>2746541</v>
      </c>
      <c r="H148" s="554"/>
      <c r="I148" s="447">
        <f t="shared" si="1"/>
        <v>2746541</v>
      </c>
    </row>
    <row r="149" spans="1:9" ht="33.75" customHeight="1">
      <c r="A149" s="452" t="s">
        <v>805</v>
      </c>
      <c r="B149" s="445" t="s">
        <v>1205</v>
      </c>
      <c r="C149" s="445" t="s">
        <v>633</v>
      </c>
      <c r="D149" s="445" t="s">
        <v>735</v>
      </c>
      <c r="E149" s="474" t="s">
        <v>806</v>
      </c>
      <c r="F149" s="481"/>
      <c r="G149" s="553">
        <f>G150+G151</f>
        <v>2746541</v>
      </c>
      <c r="H149" s="554"/>
      <c r="I149" s="447">
        <f t="shared" si="1"/>
        <v>2746541</v>
      </c>
    </row>
    <row r="150" spans="1:9" ht="41.25" customHeight="1">
      <c r="A150" s="454" t="s">
        <v>642</v>
      </c>
      <c r="B150" s="445" t="s">
        <v>1205</v>
      </c>
      <c r="C150" s="445" t="s">
        <v>633</v>
      </c>
      <c r="D150" s="445" t="s">
        <v>735</v>
      </c>
      <c r="E150" s="474" t="s">
        <v>806</v>
      </c>
      <c r="F150" s="481" t="s">
        <v>643</v>
      </c>
      <c r="G150" s="553">
        <v>765394</v>
      </c>
      <c r="H150" s="562"/>
      <c r="I150" s="447">
        <f t="shared" si="1"/>
        <v>765394</v>
      </c>
    </row>
    <row r="151" spans="1:9" ht="30.75" customHeight="1">
      <c r="A151" s="454" t="s">
        <v>654</v>
      </c>
      <c r="B151" s="445" t="s">
        <v>1205</v>
      </c>
      <c r="C151" s="445" t="s">
        <v>633</v>
      </c>
      <c r="D151" s="445" t="s">
        <v>735</v>
      </c>
      <c r="E151" s="474" t="s">
        <v>806</v>
      </c>
      <c r="F151" s="481" t="s">
        <v>655</v>
      </c>
      <c r="G151" s="553">
        <v>1981147</v>
      </c>
      <c r="H151" s="562"/>
      <c r="I151" s="447">
        <f t="shared" si="1"/>
        <v>1981147</v>
      </c>
    </row>
    <row r="152" spans="1:9" ht="30.75" customHeight="1">
      <c r="A152" s="454" t="s">
        <v>691</v>
      </c>
      <c r="B152" s="445" t="s">
        <v>1205</v>
      </c>
      <c r="C152" s="445" t="s">
        <v>633</v>
      </c>
      <c r="D152" s="445" t="s">
        <v>735</v>
      </c>
      <c r="E152" s="445" t="s">
        <v>692</v>
      </c>
      <c r="F152" s="481"/>
      <c r="G152" s="553">
        <f>G153</f>
        <v>290000</v>
      </c>
      <c r="H152" s="562"/>
      <c r="I152" s="447">
        <f t="shared" si="1"/>
        <v>290000</v>
      </c>
    </row>
    <row r="153" spans="1:9" ht="30.75" customHeight="1">
      <c r="A153" s="452" t="s">
        <v>693</v>
      </c>
      <c r="B153" s="445" t="s">
        <v>1205</v>
      </c>
      <c r="C153" s="445" t="s">
        <v>633</v>
      </c>
      <c r="D153" s="445" t="s">
        <v>735</v>
      </c>
      <c r="E153" s="445" t="s">
        <v>694</v>
      </c>
      <c r="F153" s="481"/>
      <c r="G153" s="553">
        <f>G154</f>
        <v>290000</v>
      </c>
      <c r="H153" s="562"/>
      <c r="I153" s="447">
        <f t="shared" si="1"/>
        <v>290000</v>
      </c>
    </row>
    <row r="154" spans="1:9" ht="30.75" customHeight="1">
      <c r="A154" s="565" t="s">
        <v>807</v>
      </c>
      <c r="B154" s="445" t="s">
        <v>1205</v>
      </c>
      <c r="C154" s="445" t="s">
        <v>633</v>
      </c>
      <c r="D154" s="445" t="s">
        <v>735</v>
      </c>
      <c r="E154" s="445" t="s">
        <v>808</v>
      </c>
      <c r="F154" s="481"/>
      <c r="G154" s="553">
        <f>G155+G156</f>
        <v>290000</v>
      </c>
      <c r="H154" s="562"/>
      <c r="I154" s="447">
        <f t="shared" si="1"/>
        <v>290000</v>
      </c>
    </row>
    <row r="155" spans="1:9" ht="40.5" customHeight="1">
      <c r="A155" s="454" t="s">
        <v>642</v>
      </c>
      <c r="B155" s="445" t="s">
        <v>1205</v>
      </c>
      <c r="C155" s="445" t="s">
        <v>633</v>
      </c>
      <c r="D155" s="445" t="s">
        <v>735</v>
      </c>
      <c r="E155" s="445" t="s">
        <v>808</v>
      </c>
      <c r="F155" s="481" t="s">
        <v>643</v>
      </c>
      <c r="G155" s="553">
        <f>168970+51030</f>
        <v>220000</v>
      </c>
      <c r="H155" s="562"/>
      <c r="I155" s="447">
        <f t="shared" si="1"/>
        <v>220000</v>
      </c>
    </row>
    <row r="156" spans="1:9" ht="30.75" customHeight="1">
      <c r="A156" s="454" t="s">
        <v>654</v>
      </c>
      <c r="B156" s="445" t="s">
        <v>1205</v>
      </c>
      <c r="C156" s="445" t="s">
        <v>633</v>
      </c>
      <c r="D156" s="445" t="s">
        <v>735</v>
      </c>
      <c r="E156" s="445" t="s">
        <v>808</v>
      </c>
      <c r="F156" s="481" t="s">
        <v>655</v>
      </c>
      <c r="G156" s="553">
        <f>40000+30000</f>
        <v>70000</v>
      </c>
      <c r="H156" s="562"/>
      <c r="I156" s="447">
        <f t="shared" si="1"/>
        <v>70000</v>
      </c>
    </row>
    <row r="157" spans="1:9" ht="26.25">
      <c r="A157" s="454" t="s">
        <v>809</v>
      </c>
      <c r="B157" s="445" t="s">
        <v>1205</v>
      </c>
      <c r="C157" s="445" t="s">
        <v>633</v>
      </c>
      <c r="D157" s="445" t="s">
        <v>735</v>
      </c>
      <c r="E157" s="455" t="s">
        <v>810</v>
      </c>
      <c r="F157" s="481"/>
      <c r="G157" s="553">
        <f>G158</f>
        <v>2976707.56</v>
      </c>
      <c r="H157" s="554"/>
      <c r="I157" s="447">
        <f t="shared" si="1"/>
        <v>2976707.56</v>
      </c>
    </row>
    <row r="158" spans="1:9" ht="21.75" customHeight="1">
      <c r="A158" s="454" t="s">
        <v>811</v>
      </c>
      <c r="B158" s="445" t="s">
        <v>1205</v>
      </c>
      <c r="C158" s="445" t="s">
        <v>633</v>
      </c>
      <c r="D158" s="445" t="s">
        <v>735</v>
      </c>
      <c r="E158" s="455" t="s">
        <v>812</v>
      </c>
      <c r="F158" s="481"/>
      <c r="G158" s="553">
        <f>G159</f>
        <v>2976707.56</v>
      </c>
      <c r="H158" s="554"/>
      <c r="I158" s="447">
        <f t="shared" si="1"/>
        <v>2976707.56</v>
      </c>
    </row>
    <row r="159" spans="1:9" ht="23.25" customHeight="1">
      <c r="A159" s="451" t="s">
        <v>756</v>
      </c>
      <c r="B159" s="445" t="s">
        <v>1205</v>
      </c>
      <c r="C159" s="445" t="s">
        <v>633</v>
      </c>
      <c r="D159" s="445" t="s">
        <v>735</v>
      </c>
      <c r="E159" s="455" t="s">
        <v>813</v>
      </c>
      <c r="F159" s="481"/>
      <c r="G159" s="553">
        <f>G160+G162+G161</f>
        <v>2976707.56</v>
      </c>
      <c r="H159" s="554"/>
      <c r="I159" s="447">
        <f t="shared" si="1"/>
        <v>2976707.56</v>
      </c>
    </row>
    <row r="160" spans="1:9" ht="30" customHeight="1">
      <c r="A160" s="454" t="s">
        <v>654</v>
      </c>
      <c r="B160" s="445" t="s">
        <v>1205</v>
      </c>
      <c r="C160" s="445" t="s">
        <v>633</v>
      </c>
      <c r="D160" s="445" t="s">
        <v>735</v>
      </c>
      <c r="E160" s="455" t="s">
        <v>813</v>
      </c>
      <c r="F160" s="481" t="s">
        <v>655</v>
      </c>
      <c r="G160" s="553">
        <f>10000+0.24+50000</f>
        <v>60000.24</v>
      </c>
      <c r="H160" s="562"/>
      <c r="I160" s="447">
        <f t="shared" si="1"/>
        <v>60000.24</v>
      </c>
    </row>
    <row r="161" spans="1:9" ht="21" customHeight="1">
      <c r="A161" s="502" t="s">
        <v>814</v>
      </c>
      <c r="B161" s="445" t="s">
        <v>1205</v>
      </c>
      <c r="C161" s="445" t="s">
        <v>633</v>
      </c>
      <c r="D161" s="445" t="s">
        <v>735</v>
      </c>
      <c r="E161" s="455" t="s">
        <v>813</v>
      </c>
      <c r="F161" s="481" t="s">
        <v>815</v>
      </c>
      <c r="G161" s="553">
        <f>220000</f>
        <v>220000</v>
      </c>
      <c r="H161" s="562"/>
      <c r="I161" s="447">
        <f t="shared" si="1"/>
        <v>220000</v>
      </c>
    </row>
    <row r="162" spans="1:9" ht="17.25" customHeight="1">
      <c r="A162" s="466" t="s">
        <v>696</v>
      </c>
      <c r="B162" s="445" t="s">
        <v>1205</v>
      </c>
      <c r="C162" s="445" t="s">
        <v>633</v>
      </c>
      <c r="D162" s="445" t="s">
        <v>735</v>
      </c>
      <c r="E162" s="455" t="s">
        <v>813</v>
      </c>
      <c r="F162" s="481" t="s">
        <v>697</v>
      </c>
      <c r="G162" s="553">
        <f>167900+67000+3521200-105748.68-68550-50947-2963820+30000+2277273-177600</f>
        <v>2696707.32</v>
      </c>
      <c r="H162" s="562"/>
      <c r="I162" s="447">
        <f t="shared" si="1"/>
        <v>2696707.32</v>
      </c>
    </row>
    <row r="163" spans="1:9" ht="20.25" customHeight="1">
      <c r="A163" s="451" t="s">
        <v>698</v>
      </c>
      <c r="B163" s="445" t="s">
        <v>1205</v>
      </c>
      <c r="C163" s="485" t="s">
        <v>633</v>
      </c>
      <c r="D163" s="445" t="s">
        <v>735</v>
      </c>
      <c r="E163" s="470" t="s">
        <v>699</v>
      </c>
      <c r="F163" s="456"/>
      <c r="G163" s="553">
        <f>G164</f>
        <v>22744372</v>
      </c>
      <c r="H163" s="562"/>
      <c r="I163" s="447">
        <f t="shared" si="1"/>
        <v>22744372</v>
      </c>
    </row>
    <row r="164" spans="1:9" ht="18.75" customHeight="1">
      <c r="A164" s="451" t="s">
        <v>705</v>
      </c>
      <c r="B164" s="445" t="s">
        <v>1205</v>
      </c>
      <c r="C164" s="445" t="s">
        <v>633</v>
      </c>
      <c r="D164" s="445" t="s">
        <v>735</v>
      </c>
      <c r="E164" s="445" t="s">
        <v>706</v>
      </c>
      <c r="F164" s="446"/>
      <c r="G164" s="553">
        <f>G165+G169+G171</f>
        <v>22744372</v>
      </c>
      <c r="H164" s="562"/>
      <c r="I164" s="447">
        <f t="shared" si="1"/>
        <v>22744372</v>
      </c>
    </row>
    <row r="165" spans="1:9" ht="30" customHeight="1">
      <c r="A165" s="466" t="s">
        <v>816</v>
      </c>
      <c r="B165" s="445" t="s">
        <v>1205</v>
      </c>
      <c r="C165" s="445" t="s">
        <v>633</v>
      </c>
      <c r="D165" s="445" t="s">
        <v>735</v>
      </c>
      <c r="E165" s="445" t="s">
        <v>817</v>
      </c>
      <c r="F165" s="446"/>
      <c r="G165" s="553">
        <f>G166+G167+G168</f>
        <v>22469052</v>
      </c>
      <c r="H165" s="562"/>
      <c r="I165" s="447">
        <f t="shared" si="1"/>
        <v>22469052</v>
      </c>
    </row>
    <row r="166" spans="1:9" ht="42" customHeight="1">
      <c r="A166" s="454" t="s">
        <v>642</v>
      </c>
      <c r="B166" s="445" t="s">
        <v>1205</v>
      </c>
      <c r="C166" s="445" t="s">
        <v>633</v>
      </c>
      <c r="D166" s="445" t="s">
        <v>735</v>
      </c>
      <c r="E166" s="445" t="s">
        <v>817</v>
      </c>
      <c r="F166" s="456" t="s">
        <v>643</v>
      </c>
      <c r="G166" s="553">
        <v>5520500</v>
      </c>
      <c r="H166" s="562"/>
      <c r="I166" s="447">
        <f t="shared" si="1"/>
        <v>5520500</v>
      </c>
    </row>
    <row r="167" spans="1:9" ht="30" customHeight="1">
      <c r="A167" s="454" t="s">
        <v>654</v>
      </c>
      <c r="B167" s="445" t="s">
        <v>1205</v>
      </c>
      <c r="C167" s="445" t="s">
        <v>633</v>
      </c>
      <c r="D167" s="445" t="s">
        <v>735</v>
      </c>
      <c r="E167" s="445" t="s">
        <v>817</v>
      </c>
      <c r="F167" s="456" t="s">
        <v>655</v>
      </c>
      <c r="G167" s="553">
        <f>2631850+3275000+5851500+102950+1487928+3551072</f>
        <v>16900300</v>
      </c>
      <c r="H167" s="562"/>
      <c r="I167" s="447">
        <f t="shared" si="1"/>
        <v>16900300</v>
      </c>
    </row>
    <row r="168" spans="1:9" ht="21.75" customHeight="1">
      <c r="A168" s="466" t="s">
        <v>696</v>
      </c>
      <c r="B168" s="445" t="s">
        <v>1205</v>
      </c>
      <c r="C168" s="445" t="s">
        <v>633</v>
      </c>
      <c r="D168" s="445" t="s">
        <v>735</v>
      </c>
      <c r="E168" s="445" t="s">
        <v>817</v>
      </c>
      <c r="F168" s="456" t="s">
        <v>697</v>
      </c>
      <c r="G168" s="553">
        <f>18140+8000+12787+9325</f>
        <v>48252</v>
      </c>
      <c r="H168" s="562"/>
      <c r="I168" s="447">
        <f t="shared" si="1"/>
        <v>48252</v>
      </c>
    </row>
    <row r="169" spans="1:9" ht="21" customHeight="1">
      <c r="A169" s="490" t="s">
        <v>818</v>
      </c>
      <c r="B169" s="445" t="s">
        <v>1205</v>
      </c>
      <c r="C169" s="445" t="s">
        <v>633</v>
      </c>
      <c r="D169" s="445" t="s">
        <v>735</v>
      </c>
      <c r="E169" s="445" t="s">
        <v>819</v>
      </c>
      <c r="F169" s="456"/>
      <c r="G169" s="553">
        <f>G170</f>
        <v>100000</v>
      </c>
      <c r="H169" s="554"/>
      <c r="I169" s="447">
        <f t="shared" si="1"/>
        <v>100000</v>
      </c>
    </row>
    <row r="170" spans="1:9" ht="30" customHeight="1">
      <c r="A170" s="454" t="s">
        <v>654</v>
      </c>
      <c r="B170" s="445" t="s">
        <v>1205</v>
      </c>
      <c r="C170" s="445" t="s">
        <v>633</v>
      </c>
      <c r="D170" s="445" t="s">
        <v>735</v>
      </c>
      <c r="E170" s="445" t="s">
        <v>819</v>
      </c>
      <c r="F170" s="456" t="s">
        <v>655</v>
      </c>
      <c r="G170" s="553">
        <v>100000</v>
      </c>
      <c r="H170" s="562"/>
      <c r="I170" s="447">
        <f t="shared" si="1"/>
        <v>100000</v>
      </c>
    </row>
    <row r="171" spans="1:9" ht="30" customHeight="1">
      <c r="A171" s="454" t="s">
        <v>820</v>
      </c>
      <c r="B171" s="445" t="s">
        <v>1205</v>
      </c>
      <c r="C171" s="445" t="s">
        <v>633</v>
      </c>
      <c r="D171" s="445" t="s">
        <v>735</v>
      </c>
      <c r="E171" s="445" t="s">
        <v>821</v>
      </c>
      <c r="F171" s="456"/>
      <c r="G171" s="553">
        <f>G172</f>
        <v>175320</v>
      </c>
      <c r="H171" s="554"/>
      <c r="I171" s="447">
        <f t="shared" si="1"/>
        <v>175320</v>
      </c>
    </row>
    <row r="172" spans="1:9" ht="15">
      <c r="A172" s="454" t="s">
        <v>814</v>
      </c>
      <c r="B172" s="445" t="s">
        <v>1205</v>
      </c>
      <c r="C172" s="445" t="s">
        <v>633</v>
      </c>
      <c r="D172" s="445" t="s">
        <v>735</v>
      </c>
      <c r="E172" s="445" t="s">
        <v>821</v>
      </c>
      <c r="F172" s="456" t="s">
        <v>815</v>
      </c>
      <c r="G172" s="553">
        <f>175320</f>
        <v>175320</v>
      </c>
      <c r="H172" s="562"/>
      <c r="I172" s="447">
        <f t="shared" si="1"/>
        <v>175320</v>
      </c>
    </row>
    <row r="173" spans="1:9" ht="15">
      <c r="A173" s="451" t="s">
        <v>822</v>
      </c>
      <c r="B173" s="445" t="s">
        <v>1205</v>
      </c>
      <c r="C173" s="485" t="s">
        <v>633</v>
      </c>
      <c r="D173" s="445" t="s">
        <v>735</v>
      </c>
      <c r="E173" s="470" t="s">
        <v>823</v>
      </c>
      <c r="F173" s="456"/>
      <c r="G173" s="553">
        <f>G174</f>
        <v>30000</v>
      </c>
      <c r="H173" s="554"/>
      <c r="I173" s="447">
        <f t="shared" si="1"/>
        <v>30000</v>
      </c>
    </row>
    <row r="174" spans="1:9" ht="15">
      <c r="A174" s="454" t="s">
        <v>726</v>
      </c>
      <c r="B174" s="445" t="s">
        <v>1205</v>
      </c>
      <c r="C174" s="485" t="s">
        <v>633</v>
      </c>
      <c r="D174" s="445" t="s">
        <v>735</v>
      </c>
      <c r="E174" s="470" t="s">
        <v>824</v>
      </c>
      <c r="F174" s="456"/>
      <c r="G174" s="553">
        <f>G175</f>
        <v>30000</v>
      </c>
      <c r="H174" s="554"/>
      <c r="I174" s="447">
        <f t="shared" si="1"/>
        <v>30000</v>
      </c>
    </row>
    <row r="175" spans="1:9" ht="15">
      <c r="A175" s="454" t="s">
        <v>825</v>
      </c>
      <c r="B175" s="445" t="s">
        <v>1205</v>
      </c>
      <c r="C175" s="485" t="s">
        <v>633</v>
      </c>
      <c r="D175" s="445" t="s">
        <v>735</v>
      </c>
      <c r="E175" s="470" t="s">
        <v>826</v>
      </c>
      <c r="F175" s="456"/>
      <c r="G175" s="553">
        <f>G176</f>
        <v>30000</v>
      </c>
      <c r="H175" s="554"/>
      <c r="I175" s="447">
        <f t="shared" si="1"/>
        <v>30000</v>
      </c>
    </row>
    <row r="176" spans="1:9" ht="15">
      <c r="A176" s="486" t="s">
        <v>827</v>
      </c>
      <c r="B176" s="445" t="s">
        <v>1205</v>
      </c>
      <c r="C176" s="485" t="s">
        <v>633</v>
      </c>
      <c r="D176" s="445" t="s">
        <v>735</v>
      </c>
      <c r="E176" s="470" t="s">
        <v>826</v>
      </c>
      <c r="F176" s="456" t="s">
        <v>828</v>
      </c>
      <c r="G176" s="553">
        <f>30000</f>
        <v>30000</v>
      </c>
      <c r="H176" s="554"/>
      <c r="I176" s="447">
        <f t="shared" si="1"/>
        <v>30000</v>
      </c>
    </row>
    <row r="177" spans="1:9" ht="24" customHeight="1">
      <c r="A177" s="492" t="s">
        <v>829</v>
      </c>
      <c r="B177" s="445" t="s">
        <v>1205</v>
      </c>
      <c r="C177" s="445" t="s">
        <v>645</v>
      </c>
      <c r="D177" s="445" t="s">
        <v>830</v>
      </c>
      <c r="E177" s="470"/>
      <c r="F177" s="456"/>
      <c r="G177" s="553">
        <f>G178</f>
        <v>51000</v>
      </c>
      <c r="H177" s="554"/>
      <c r="I177" s="447">
        <f t="shared" si="1"/>
        <v>51000</v>
      </c>
    </row>
    <row r="178" spans="1:9" ht="27.75" customHeight="1">
      <c r="A178" s="515" t="s">
        <v>831</v>
      </c>
      <c r="B178" s="445" t="s">
        <v>1205</v>
      </c>
      <c r="C178" s="445" t="s">
        <v>645</v>
      </c>
      <c r="D178" s="445" t="s">
        <v>832</v>
      </c>
      <c r="E178" s="470"/>
      <c r="F178" s="456"/>
      <c r="G178" s="553">
        <f>G179</f>
        <v>51000</v>
      </c>
      <c r="H178" s="554"/>
      <c r="I178" s="447">
        <f t="shared" si="1"/>
        <v>51000</v>
      </c>
    </row>
    <row r="179" spans="1:9" ht="54.75" customHeight="1">
      <c r="A179" s="465" t="s">
        <v>833</v>
      </c>
      <c r="B179" s="445" t="s">
        <v>1205</v>
      </c>
      <c r="C179" s="445" t="s">
        <v>645</v>
      </c>
      <c r="D179" s="445" t="s">
        <v>832</v>
      </c>
      <c r="E179" s="482" t="s">
        <v>834</v>
      </c>
      <c r="F179" s="456"/>
      <c r="G179" s="553">
        <f>G180</f>
        <v>51000</v>
      </c>
      <c r="H179" s="554"/>
      <c r="I179" s="447">
        <f t="shared" si="1"/>
        <v>51000</v>
      </c>
    </row>
    <row r="180" spans="1:9" ht="86.25" customHeight="1">
      <c r="A180" s="496" t="s">
        <v>835</v>
      </c>
      <c r="B180" s="445" t="s">
        <v>1205</v>
      </c>
      <c r="C180" s="457" t="s">
        <v>645</v>
      </c>
      <c r="D180" s="457" t="s">
        <v>832</v>
      </c>
      <c r="E180" s="482" t="s">
        <v>836</v>
      </c>
      <c r="F180" s="459"/>
      <c r="G180" s="555">
        <f>G181+G184+G187+G190</f>
        <v>51000</v>
      </c>
      <c r="H180" s="554"/>
      <c r="I180" s="447">
        <f t="shared" si="1"/>
        <v>51000</v>
      </c>
    </row>
    <row r="181" spans="1:9" ht="0.75" customHeight="1" hidden="1">
      <c r="A181" s="496" t="s">
        <v>837</v>
      </c>
      <c r="B181" s="445" t="s">
        <v>1205</v>
      </c>
      <c r="C181" s="445" t="s">
        <v>645</v>
      </c>
      <c r="D181" s="445" t="s">
        <v>832</v>
      </c>
      <c r="E181" s="474" t="s">
        <v>838</v>
      </c>
      <c r="F181" s="456"/>
      <c r="G181" s="553">
        <f>G182</f>
        <v>0</v>
      </c>
      <c r="H181" s="554"/>
      <c r="I181" s="447">
        <f t="shared" si="1"/>
        <v>0</v>
      </c>
    </row>
    <row r="182" spans="1:9" ht="39" customHeight="1" hidden="1">
      <c r="A182" s="454" t="s">
        <v>839</v>
      </c>
      <c r="B182" s="445" t="s">
        <v>1205</v>
      </c>
      <c r="C182" s="445" t="s">
        <v>645</v>
      </c>
      <c r="D182" s="445" t="s">
        <v>832</v>
      </c>
      <c r="E182" s="474" t="s">
        <v>840</v>
      </c>
      <c r="F182" s="456"/>
      <c r="G182" s="553">
        <f>G183</f>
        <v>0</v>
      </c>
      <c r="H182" s="554"/>
      <c r="I182" s="447">
        <f t="shared" si="1"/>
        <v>0</v>
      </c>
    </row>
    <row r="183" spans="1:9" ht="26.25" customHeight="1" hidden="1">
      <c r="A183" s="454" t="s">
        <v>654</v>
      </c>
      <c r="B183" s="445" t="s">
        <v>1205</v>
      </c>
      <c r="C183" s="445" t="s">
        <v>645</v>
      </c>
      <c r="D183" s="445" t="s">
        <v>832</v>
      </c>
      <c r="E183" s="474" t="s">
        <v>840</v>
      </c>
      <c r="F183" s="456" t="s">
        <v>655</v>
      </c>
      <c r="G183" s="553"/>
      <c r="H183" s="554"/>
      <c r="I183" s="447">
        <f t="shared" si="1"/>
        <v>0</v>
      </c>
    </row>
    <row r="184" spans="1:9" ht="60.75" customHeight="1">
      <c r="A184" s="496" t="s">
        <v>841</v>
      </c>
      <c r="B184" s="445" t="s">
        <v>1205</v>
      </c>
      <c r="C184" s="445" t="s">
        <v>645</v>
      </c>
      <c r="D184" s="445" t="s">
        <v>832</v>
      </c>
      <c r="E184" s="474" t="s">
        <v>842</v>
      </c>
      <c r="F184" s="456"/>
      <c r="G184" s="553">
        <f>G185</f>
        <v>51000</v>
      </c>
      <c r="H184" s="554"/>
      <c r="I184" s="447">
        <f t="shared" si="1"/>
        <v>51000</v>
      </c>
    </row>
    <row r="185" spans="1:9" ht="43.5" customHeight="1">
      <c r="A185" s="454" t="s">
        <v>839</v>
      </c>
      <c r="B185" s="445" t="s">
        <v>1205</v>
      </c>
      <c r="C185" s="445" t="s">
        <v>645</v>
      </c>
      <c r="D185" s="445" t="s">
        <v>832</v>
      </c>
      <c r="E185" s="474" t="s">
        <v>843</v>
      </c>
      <c r="F185" s="456"/>
      <c r="G185" s="553">
        <f>G186</f>
        <v>51000</v>
      </c>
      <c r="H185" s="554"/>
      <c r="I185" s="447">
        <f t="shared" si="1"/>
        <v>51000</v>
      </c>
    </row>
    <row r="186" spans="1:9" ht="33" customHeight="1">
      <c r="A186" s="454" t="s">
        <v>654</v>
      </c>
      <c r="B186" s="445" t="s">
        <v>1205</v>
      </c>
      <c r="C186" s="445" t="s">
        <v>645</v>
      </c>
      <c r="D186" s="445" t="s">
        <v>832</v>
      </c>
      <c r="E186" s="474" t="s">
        <v>843</v>
      </c>
      <c r="F186" s="456" t="s">
        <v>655</v>
      </c>
      <c r="G186" s="553">
        <v>51000</v>
      </c>
      <c r="H186" s="562"/>
      <c r="I186" s="447">
        <f t="shared" si="1"/>
        <v>51000</v>
      </c>
    </row>
    <row r="187" spans="1:9" ht="28.5" customHeight="1" hidden="1">
      <c r="A187" s="496" t="s">
        <v>844</v>
      </c>
      <c r="B187" s="445" t="s">
        <v>1205</v>
      </c>
      <c r="C187" s="445" t="s">
        <v>645</v>
      </c>
      <c r="D187" s="445" t="s">
        <v>832</v>
      </c>
      <c r="E187" s="474" t="s">
        <v>845</v>
      </c>
      <c r="F187" s="456"/>
      <c r="G187" s="553">
        <f>G188</f>
        <v>0</v>
      </c>
      <c r="H187" s="554"/>
      <c r="I187" s="447">
        <f t="shared" si="1"/>
        <v>0</v>
      </c>
    </row>
    <row r="188" spans="1:9" ht="30" customHeight="1" hidden="1">
      <c r="A188" s="454" t="s">
        <v>839</v>
      </c>
      <c r="B188" s="445" t="s">
        <v>1205</v>
      </c>
      <c r="C188" s="445" t="s">
        <v>645</v>
      </c>
      <c r="D188" s="445" t="s">
        <v>832</v>
      </c>
      <c r="E188" s="474" t="s">
        <v>846</v>
      </c>
      <c r="F188" s="456"/>
      <c r="G188" s="553">
        <f>G189</f>
        <v>0</v>
      </c>
      <c r="H188" s="554"/>
      <c r="I188" s="447">
        <f t="shared" si="1"/>
        <v>0</v>
      </c>
    </row>
    <row r="189" spans="1:9" ht="15.75" customHeight="1" hidden="1">
      <c r="A189" s="454" t="s">
        <v>654</v>
      </c>
      <c r="B189" s="445" t="s">
        <v>1205</v>
      </c>
      <c r="C189" s="445" t="s">
        <v>645</v>
      </c>
      <c r="D189" s="445" t="s">
        <v>832</v>
      </c>
      <c r="E189" s="474" t="s">
        <v>846</v>
      </c>
      <c r="F189" s="456" t="s">
        <v>655</v>
      </c>
      <c r="G189" s="553"/>
      <c r="H189" s="554"/>
      <c r="I189" s="447">
        <f t="shared" si="1"/>
        <v>0</v>
      </c>
    </row>
    <row r="190" spans="1:9" ht="17.25" customHeight="1" hidden="1">
      <c r="A190" s="496" t="s">
        <v>847</v>
      </c>
      <c r="B190" s="445" t="s">
        <v>1205</v>
      </c>
      <c r="C190" s="445" t="s">
        <v>645</v>
      </c>
      <c r="D190" s="445" t="s">
        <v>832</v>
      </c>
      <c r="E190" s="474" t="s">
        <v>848</v>
      </c>
      <c r="F190" s="456"/>
      <c r="G190" s="553">
        <f>G191</f>
        <v>0</v>
      </c>
      <c r="H190" s="554"/>
      <c r="I190" s="447">
        <f t="shared" si="1"/>
        <v>0</v>
      </c>
    </row>
    <row r="191" spans="1:9" ht="39" hidden="1">
      <c r="A191" s="454" t="s">
        <v>839</v>
      </c>
      <c r="B191" s="445" t="s">
        <v>1205</v>
      </c>
      <c r="C191" s="445" t="s">
        <v>645</v>
      </c>
      <c r="D191" s="445" t="s">
        <v>832</v>
      </c>
      <c r="E191" s="474" t="s">
        <v>849</v>
      </c>
      <c r="F191" s="456"/>
      <c r="G191" s="553">
        <f>G192</f>
        <v>0</v>
      </c>
      <c r="H191" s="554"/>
      <c r="I191" s="447">
        <f t="shared" si="1"/>
        <v>0</v>
      </c>
    </row>
    <row r="192" spans="1:9" ht="44.25" customHeight="1" hidden="1">
      <c r="A192" s="454" t="s">
        <v>654</v>
      </c>
      <c r="B192" s="445" t="s">
        <v>1205</v>
      </c>
      <c r="C192" s="445" t="s">
        <v>645</v>
      </c>
      <c r="D192" s="445" t="s">
        <v>832</v>
      </c>
      <c r="E192" s="474" t="s">
        <v>849</v>
      </c>
      <c r="F192" s="456" t="s">
        <v>655</v>
      </c>
      <c r="G192" s="553"/>
      <c r="H192" s="554"/>
      <c r="I192" s="447">
        <f t="shared" si="1"/>
        <v>0</v>
      </c>
    </row>
    <row r="193" spans="1:13" ht="24.75" customHeight="1">
      <c r="A193" s="451" t="s">
        <v>850</v>
      </c>
      <c r="B193" s="445" t="s">
        <v>1205</v>
      </c>
      <c r="C193" s="445" t="s">
        <v>658</v>
      </c>
      <c r="D193" s="445"/>
      <c r="E193" s="445"/>
      <c r="F193" s="446"/>
      <c r="G193" s="553">
        <f>G194+G201+G226</f>
        <v>33659851.55</v>
      </c>
      <c r="H193" s="553">
        <f>H194+H201+H226</f>
        <v>150000</v>
      </c>
      <c r="I193" s="447">
        <f t="shared" si="1"/>
        <v>33809851.55</v>
      </c>
      <c r="K193" s="453"/>
      <c r="M193" s="453"/>
    </row>
    <row r="194" spans="1:9" ht="15">
      <c r="A194" s="451" t="s">
        <v>851</v>
      </c>
      <c r="B194" s="445" t="s">
        <v>1205</v>
      </c>
      <c r="C194" s="445" t="s">
        <v>658</v>
      </c>
      <c r="D194" s="445" t="s">
        <v>852</v>
      </c>
      <c r="E194" s="445"/>
      <c r="F194" s="446"/>
      <c r="G194" s="553">
        <f>G195</f>
        <v>1675000</v>
      </c>
      <c r="H194" s="554"/>
      <c r="I194" s="447">
        <f t="shared" si="1"/>
        <v>1675000</v>
      </c>
    </row>
    <row r="195" spans="1:9" ht="56.25" customHeight="1">
      <c r="A195" s="489" t="s">
        <v>770</v>
      </c>
      <c r="B195" s="445" t="s">
        <v>1205</v>
      </c>
      <c r="C195" s="445" t="s">
        <v>658</v>
      </c>
      <c r="D195" s="445" t="s">
        <v>852</v>
      </c>
      <c r="E195" s="474" t="s">
        <v>771</v>
      </c>
      <c r="F195" s="446"/>
      <c r="G195" s="553">
        <f>G196</f>
        <v>1675000</v>
      </c>
      <c r="H195" s="554"/>
      <c r="I195" s="447">
        <f t="shared" si="1"/>
        <v>1675000</v>
      </c>
    </row>
    <row r="196" spans="1:9" ht="73.5" customHeight="1">
      <c r="A196" s="494" t="s">
        <v>853</v>
      </c>
      <c r="B196" s="445" t="s">
        <v>1205</v>
      </c>
      <c r="C196" s="457" t="s">
        <v>658</v>
      </c>
      <c r="D196" s="457" t="s">
        <v>852</v>
      </c>
      <c r="E196" s="482" t="s">
        <v>854</v>
      </c>
      <c r="F196" s="464"/>
      <c r="G196" s="555">
        <f>G197</f>
        <v>1675000</v>
      </c>
      <c r="H196" s="554"/>
      <c r="I196" s="447">
        <f t="shared" si="1"/>
        <v>1675000</v>
      </c>
    </row>
    <row r="197" spans="1:9" ht="32.25" customHeight="1">
      <c r="A197" s="466" t="s">
        <v>855</v>
      </c>
      <c r="B197" s="445" t="s">
        <v>1205</v>
      </c>
      <c r="C197" s="445" t="s">
        <v>658</v>
      </c>
      <c r="D197" s="445" t="s">
        <v>852</v>
      </c>
      <c r="E197" s="474" t="s">
        <v>856</v>
      </c>
      <c r="F197" s="446"/>
      <c r="G197" s="553">
        <f>G198</f>
        <v>1675000</v>
      </c>
      <c r="H197" s="554"/>
      <c r="I197" s="447">
        <f t="shared" si="1"/>
        <v>1675000</v>
      </c>
    </row>
    <row r="198" spans="1:9" ht="15">
      <c r="A198" s="451" t="s">
        <v>857</v>
      </c>
      <c r="B198" s="445" t="s">
        <v>1205</v>
      </c>
      <c r="C198" s="445" t="s">
        <v>658</v>
      </c>
      <c r="D198" s="445" t="s">
        <v>852</v>
      </c>
      <c r="E198" s="474" t="s">
        <v>858</v>
      </c>
      <c r="F198" s="446"/>
      <c r="G198" s="553">
        <f>G200+G199</f>
        <v>1675000</v>
      </c>
      <c r="H198" s="554"/>
      <c r="I198" s="447">
        <f t="shared" si="1"/>
        <v>1675000</v>
      </c>
    </row>
    <row r="199" spans="1:9" ht="26.25">
      <c r="A199" s="454" t="s">
        <v>654</v>
      </c>
      <c r="B199" s="445" t="s">
        <v>1205</v>
      </c>
      <c r="C199" s="445" t="s">
        <v>658</v>
      </c>
      <c r="D199" s="445" t="s">
        <v>852</v>
      </c>
      <c r="E199" s="474" t="s">
        <v>858</v>
      </c>
      <c r="F199" s="446" t="s">
        <v>655</v>
      </c>
      <c r="G199" s="553">
        <v>10000</v>
      </c>
      <c r="H199" s="562"/>
      <c r="I199" s="447">
        <f t="shared" si="1"/>
        <v>10000</v>
      </c>
    </row>
    <row r="200" spans="1:9" ht="15">
      <c r="A200" s="454" t="s">
        <v>696</v>
      </c>
      <c r="B200" s="445" t="s">
        <v>1205</v>
      </c>
      <c r="C200" s="445" t="s">
        <v>658</v>
      </c>
      <c r="D200" s="445" t="s">
        <v>852</v>
      </c>
      <c r="E200" s="474" t="s">
        <v>858</v>
      </c>
      <c r="F200" s="446" t="s">
        <v>697</v>
      </c>
      <c r="G200" s="553">
        <f>500000+565000+600000</f>
        <v>1665000</v>
      </c>
      <c r="H200" s="562"/>
      <c r="I200" s="447">
        <f t="shared" si="1"/>
        <v>1665000</v>
      </c>
    </row>
    <row r="201" spans="1:9" ht="15">
      <c r="A201" s="451" t="s">
        <v>859</v>
      </c>
      <c r="B201" s="445" t="s">
        <v>1205</v>
      </c>
      <c r="C201" s="445" t="s">
        <v>658</v>
      </c>
      <c r="D201" s="445" t="s">
        <v>832</v>
      </c>
      <c r="E201" s="445"/>
      <c r="F201" s="446"/>
      <c r="G201" s="553">
        <f>G202+G222</f>
        <v>29507424.55</v>
      </c>
      <c r="H201" s="553">
        <f>H202</f>
        <v>150000</v>
      </c>
      <c r="I201" s="447">
        <f t="shared" si="1"/>
        <v>29657424.55</v>
      </c>
    </row>
    <row r="202" spans="1:9" ht="45.75" customHeight="1">
      <c r="A202" s="489" t="s">
        <v>770</v>
      </c>
      <c r="B202" s="445" t="s">
        <v>1205</v>
      </c>
      <c r="C202" s="445" t="s">
        <v>658</v>
      </c>
      <c r="D202" s="445" t="s">
        <v>832</v>
      </c>
      <c r="E202" s="474" t="s">
        <v>771</v>
      </c>
      <c r="F202" s="446"/>
      <c r="G202" s="553">
        <f>G203+G218</f>
        <v>15765099.55</v>
      </c>
      <c r="H202" s="553">
        <f>H203</f>
        <v>150000</v>
      </c>
      <c r="I202" s="447">
        <f>I203+I218</f>
        <v>15915099.55</v>
      </c>
    </row>
    <row r="203" spans="1:9" ht="60.75" customHeight="1">
      <c r="A203" s="490" t="s">
        <v>860</v>
      </c>
      <c r="B203" s="445" t="s">
        <v>1205</v>
      </c>
      <c r="C203" s="457" t="s">
        <v>658</v>
      </c>
      <c r="D203" s="457" t="s">
        <v>832</v>
      </c>
      <c r="E203" s="482" t="s">
        <v>861</v>
      </c>
      <c r="F203" s="464"/>
      <c r="G203" s="555">
        <f>G204+G207</f>
        <v>15587299.55</v>
      </c>
      <c r="H203" s="555">
        <f>H204+H207</f>
        <v>150000</v>
      </c>
      <c r="I203" s="447">
        <f t="shared" si="1"/>
        <v>15737299.55</v>
      </c>
    </row>
    <row r="204" spans="1:9" ht="28.5" customHeight="1">
      <c r="A204" s="466" t="s">
        <v>862</v>
      </c>
      <c r="B204" s="445" t="s">
        <v>1205</v>
      </c>
      <c r="C204" s="445" t="s">
        <v>658</v>
      </c>
      <c r="D204" s="445" t="s">
        <v>832</v>
      </c>
      <c r="E204" s="474" t="s">
        <v>863</v>
      </c>
      <c r="F204" s="446"/>
      <c r="G204" s="553">
        <f>G205</f>
        <v>1463489.55</v>
      </c>
      <c r="H204" s="553">
        <f>H205</f>
        <v>0</v>
      </c>
      <c r="I204" s="447">
        <f t="shared" si="1"/>
        <v>1463489.55</v>
      </c>
    </row>
    <row r="205" spans="1:9" ht="26.25">
      <c r="A205" s="454" t="s">
        <v>864</v>
      </c>
      <c r="B205" s="445" t="s">
        <v>1205</v>
      </c>
      <c r="C205" s="445" t="s">
        <v>658</v>
      </c>
      <c r="D205" s="445" t="s">
        <v>832</v>
      </c>
      <c r="E205" s="474" t="s">
        <v>865</v>
      </c>
      <c r="F205" s="446"/>
      <c r="G205" s="553">
        <f>G206</f>
        <v>1463489.55</v>
      </c>
      <c r="H205" s="554"/>
      <c r="I205" s="447">
        <f t="shared" si="1"/>
        <v>1463489.55</v>
      </c>
    </row>
    <row r="206" spans="1:9" ht="15">
      <c r="A206" s="454" t="s">
        <v>704</v>
      </c>
      <c r="B206" s="445" t="s">
        <v>1205</v>
      </c>
      <c r="C206" s="445" t="s">
        <v>658</v>
      </c>
      <c r="D206" s="445" t="s">
        <v>832</v>
      </c>
      <c r="E206" s="474" t="s">
        <v>865</v>
      </c>
      <c r="F206" s="446" t="s">
        <v>655</v>
      </c>
      <c r="G206" s="553">
        <f>200000+1263489.55</f>
        <v>1463489.55</v>
      </c>
      <c r="H206" s="554"/>
      <c r="I206" s="447">
        <f t="shared" si="1"/>
        <v>1463489.55</v>
      </c>
    </row>
    <row r="207" spans="1:9" ht="25.5">
      <c r="A207" s="466" t="s">
        <v>866</v>
      </c>
      <c r="B207" s="445" t="s">
        <v>1205</v>
      </c>
      <c r="C207" s="445" t="s">
        <v>658</v>
      </c>
      <c r="D207" s="445" t="s">
        <v>832</v>
      </c>
      <c r="E207" s="474" t="s">
        <v>867</v>
      </c>
      <c r="F207" s="446"/>
      <c r="G207" s="553">
        <f>G208+G210+G216+G214+G212</f>
        <v>14123810</v>
      </c>
      <c r="H207" s="553">
        <f>H208+H210+H216+H214+H212</f>
        <v>150000</v>
      </c>
      <c r="I207" s="447">
        <f t="shared" si="1"/>
        <v>14273810</v>
      </c>
    </row>
    <row r="208" spans="1:9" ht="15">
      <c r="A208" s="454" t="s">
        <v>868</v>
      </c>
      <c r="B208" s="445" t="s">
        <v>1205</v>
      </c>
      <c r="C208" s="445" t="s">
        <v>658</v>
      </c>
      <c r="D208" s="445" t="s">
        <v>832</v>
      </c>
      <c r="E208" s="474" t="s">
        <v>869</v>
      </c>
      <c r="F208" s="446"/>
      <c r="G208" s="553">
        <f>G209</f>
        <v>1800000</v>
      </c>
      <c r="H208" s="554"/>
      <c r="I208" s="447">
        <f t="shared" si="1"/>
        <v>1800000</v>
      </c>
    </row>
    <row r="209" spans="1:9" ht="26.25">
      <c r="A209" s="491" t="s">
        <v>870</v>
      </c>
      <c r="B209" s="445" t="s">
        <v>1205</v>
      </c>
      <c r="C209" s="445" t="s">
        <v>658</v>
      </c>
      <c r="D209" s="445" t="s">
        <v>832</v>
      </c>
      <c r="E209" s="474" t="s">
        <v>869</v>
      </c>
      <c r="F209" s="446" t="s">
        <v>871</v>
      </c>
      <c r="G209" s="553">
        <f>1800000</f>
        <v>1800000</v>
      </c>
      <c r="H209" s="554"/>
      <c r="I209" s="447">
        <f t="shared" si="1"/>
        <v>1800000</v>
      </c>
    </row>
    <row r="210" spans="1:9" ht="15">
      <c r="A210" s="454" t="s">
        <v>872</v>
      </c>
      <c r="B210" s="445" t="s">
        <v>1205</v>
      </c>
      <c r="C210" s="445" t="s">
        <v>658</v>
      </c>
      <c r="D210" s="445" t="s">
        <v>832</v>
      </c>
      <c r="E210" s="474" t="s">
        <v>873</v>
      </c>
      <c r="F210" s="446"/>
      <c r="G210" s="553">
        <f>G211</f>
        <v>1413000</v>
      </c>
      <c r="H210" s="553">
        <f>H211</f>
        <v>150000</v>
      </c>
      <c r="I210" s="447">
        <f t="shared" si="1"/>
        <v>1563000</v>
      </c>
    </row>
    <row r="211" spans="1:9" ht="26.25">
      <c r="A211" s="491" t="s">
        <v>870</v>
      </c>
      <c r="B211" s="445" t="s">
        <v>1205</v>
      </c>
      <c r="C211" s="445" t="s">
        <v>658</v>
      </c>
      <c r="D211" s="445" t="s">
        <v>832</v>
      </c>
      <c r="E211" s="474" t="s">
        <v>873</v>
      </c>
      <c r="F211" s="446" t="s">
        <v>871</v>
      </c>
      <c r="G211" s="553">
        <f>1285043+127957</f>
        <v>1413000</v>
      </c>
      <c r="H211" s="566">
        <v>150000</v>
      </c>
      <c r="I211" s="447">
        <f t="shared" si="1"/>
        <v>1563000</v>
      </c>
    </row>
    <row r="212" spans="1:9" ht="25.5">
      <c r="A212" s="567" t="s">
        <v>874</v>
      </c>
      <c r="B212" s="445" t="s">
        <v>1205</v>
      </c>
      <c r="C212" s="445" t="s">
        <v>658</v>
      </c>
      <c r="D212" s="445" t="s">
        <v>832</v>
      </c>
      <c r="E212" s="474" t="s">
        <v>875</v>
      </c>
      <c r="F212" s="446"/>
      <c r="G212" s="553">
        <f>G213</f>
        <v>9060810</v>
      </c>
      <c r="H212" s="554"/>
      <c r="I212" s="447">
        <f t="shared" si="1"/>
        <v>9060810</v>
      </c>
    </row>
    <row r="213" spans="1:9" ht="30">
      <c r="A213" s="492" t="s">
        <v>870</v>
      </c>
      <c r="B213" s="445" t="s">
        <v>1205</v>
      </c>
      <c r="C213" s="445" t="s">
        <v>658</v>
      </c>
      <c r="D213" s="445" t="s">
        <v>832</v>
      </c>
      <c r="E213" s="474" t="s">
        <v>875</v>
      </c>
      <c r="F213" s="446" t="s">
        <v>871</v>
      </c>
      <c r="G213" s="553">
        <f>9060810</f>
        <v>9060810</v>
      </c>
      <c r="H213" s="554"/>
      <c r="I213" s="447">
        <f t="shared" si="1"/>
        <v>9060810</v>
      </c>
    </row>
    <row r="214" spans="1:9" ht="45">
      <c r="A214" s="493" t="s">
        <v>876</v>
      </c>
      <c r="B214" s="445" t="s">
        <v>1205</v>
      </c>
      <c r="C214" s="445" t="s">
        <v>658</v>
      </c>
      <c r="D214" s="445" t="s">
        <v>832</v>
      </c>
      <c r="E214" s="474" t="s">
        <v>877</v>
      </c>
      <c r="F214" s="446"/>
      <c r="G214" s="553">
        <f>G215</f>
        <v>100000</v>
      </c>
      <c r="H214" s="554"/>
      <c r="I214" s="447">
        <f t="shared" si="1"/>
        <v>100000</v>
      </c>
    </row>
    <row r="215" spans="1:9" ht="30">
      <c r="A215" s="492" t="s">
        <v>870</v>
      </c>
      <c r="B215" s="445" t="s">
        <v>1205</v>
      </c>
      <c r="C215" s="445" t="s">
        <v>658</v>
      </c>
      <c r="D215" s="445" t="s">
        <v>832</v>
      </c>
      <c r="E215" s="474" t="s">
        <v>877</v>
      </c>
      <c r="F215" s="446" t="s">
        <v>871</v>
      </c>
      <c r="G215" s="553">
        <f>100000</f>
        <v>100000</v>
      </c>
      <c r="H215" s="554"/>
      <c r="I215" s="447">
        <f t="shared" si="1"/>
        <v>100000</v>
      </c>
    </row>
    <row r="216" spans="1:9" ht="26.25">
      <c r="A216" s="454" t="s">
        <v>878</v>
      </c>
      <c r="B216" s="445" t="s">
        <v>1205</v>
      </c>
      <c r="C216" s="445" t="s">
        <v>658</v>
      </c>
      <c r="D216" s="445" t="s">
        <v>832</v>
      </c>
      <c r="E216" s="474" t="s">
        <v>879</v>
      </c>
      <c r="F216" s="446"/>
      <c r="G216" s="553">
        <f>G217</f>
        <v>1750000</v>
      </c>
      <c r="H216" s="554"/>
      <c r="I216" s="447">
        <f t="shared" si="1"/>
        <v>1750000</v>
      </c>
    </row>
    <row r="217" spans="1:9" ht="30">
      <c r="A217" s="492" t="s">
        <v>870</v>
      </c>
      <c r="B217" s="445" t="s">
        <v>1205</v>
      </c>
      <c r="C217" s="445" t="s">
        <v>658</v>
      </c>
      <c r="D217" s="445" t="s">
        <v>832</v>
      </c>
      <c r="E217" s="474" t="s">
        <v>879</v>
      </c>
      <c r="F217" s="446" t="s">
        <v>871</v>
      </c>
      <c r="G217" s="553">
        <f>1850000-100000</f>
        <v>1750000</v>
      </c>
      <c r="H217" s="554"/>
      <c r="I217" s="447">
        <f t="shared" si="1"/>
        <v>1750000</v>
      </c>
    </row>
    <row r="218" spans="1:9" ht="63.75">
      <c r="A218" s="494" t="s">
        <v>772</v>
      </c>
      <c r="B218" s="445" t="s">
        <v>1205</v>
      </c>
      <c r="C218" s="445" t="s">
        <v>658</v>
      </c>
      <c r="D218" s="445" t="s">
        <v>832</v>
      </c>
      <c r="E218" s="482" t="s">
        <v>773</v>
      </c>
      <c r="F218" s="446"/>
      <c r="G218" s="553">
        <f>G219</f>
        <v>177800</v>
      </c>
      <c r="H218" s="566"/>
      <c r="I218" s="447">
        <f t="shared" si="1"/>
        <v>177800</v>
      </c>
    </row>
    <row r="219" spans="1:9" ht="25.5">
      <c r="A219" s="568" t="s">
        <v>880</v>
      </c>
      <c r="B219" s="445" t="s">
        <v>1205</v>
      </c>
      <c r="C219" s="445" t="s">
        <v>658</v>
      </c>
      <c r="D219" s="445" t="s">
        <v>832</v>
      </c>
      <c r="E219" s="474" t="s">
        <v>881</v>
      </c>
      <c r="F219" s="446"/>
      <c r="G219" s="553">
        <f>G220</f>
        <v>177800</v>
      </c>
      <c r="H219" s="566"/>
      <c r="I219" s="447">
        <f t="shared" si="1"/>
        <v>177800</v>
      </c>
    </row>
    <row r="220" spans="1:9" ht="15">
      <c r="A220" s="567" t="s">
        <v>882</v>
      </c>
      <c r="B220" s="445" t="s">
        <v>1205</v>
      </c>
      <c r="C220" s="445" t="s">
        <v>658</v>
      </c>
      <c r="D220" s="445" t="s">
        <v>832</v>
      </c>
      <c r="E220" s="474" t="s">
        <v>883</v>
      </c>
      <c r="F220" s="446"/>
      <c r="G220" s="553">
        <f>G221</f>
        <v>177800</v>
      </c>
      <c r="H220" s="566"/>
      <c r="I220" s="447">
        <f t="shared" si="1"/>
        <v>177800</v>
      </c>
    </row>
    <row r="221" spans="1:9" ht="15">
      <c r="A221" s="454" t="s">
        <v>704</v>
      </c>
      <c r="B221" s="445" t="s">
        <v>1205</v>
      </c>
      <c r="C221" s="445" t="s">
        <v>658</v>
      </c>
      <c r="D221" s="445" t="s">
        <v>832</v>
      </c>
      <c r="E221" s="474" t="s">
        <v>883</v>
      </c>
      <c r="F221" s="446" t="s">
        <v>655</v>
      </c>
      <c r="G221" s="553">
        <v>177800</v>
      </c>
      <c r="H221" s="566"/>
      <c r="I221" s="447">
        <f t="shared" si="1"/>
        <v>177800</v>
      </c>
    </row>
    <row r="222" spans="1:9" ht="75">
      <c r="A222" s="495" t="s">
        <v>886</v>
      </c>
      <c r="B222" s="445" t="s">
        <v>1205</v>
      </c>
      <c r="C222" s="445" t="s">
        <v>658</v>
      </c>
      <c r="D222" s="445" t="s">
        <v>832</v>
      </c>
      <c r="E222" s="482" t="s">
        <v>887</v>
      </c>
      <c r="F222" s="446"/>
      <c r="G222" s="553">
        <f>G223</f>
        <v>13742325</v>
      </c>
      <c r="H222" s="554"/>
      <c r="I222" s="447">
        <f>G222+H222</f>
        <v>13742325</v>
      </c>
    </row>
    <row r="223" spans="1:9" ht="25.5">
      <c r="A223" s="466" t="s">
        <v>866</v>
      </c>
      <c r="B223" s="445" t="s">
        <v>1205</v>
      </c>
      <c r="C223" s="445" t="s">
        <v>658</v>
      </c>
      <c r="D223" s="445" t="s">
        <v>832</v>
      </c>
      <c r="E223" s="482" t="s">
        <v>888</v>
      </c>
      <c r="F223" s="446"/>
      <c r="G223" s="553">
        <f>G224</f>
        <v>13742325</v>
      </c>
      <c r="H223" s="554"/>
      <c r="I223" s="447">
        <f t="shared" si="1"/>
        <v>13742325</v>
      </c>
    </row>
    <row r="224" spans="1:9" ht="25.5">
      <c r="A224" s="496" t="s">
        <v>889</v>
      </c>
      <c r="B224" s="445" t="s">
        <v>1205</v>
      </c>
      <c r="C224" s="445" t="s">
        <v>658</v>
      </c>
      <c r="D224" s="445" t="s">
        <v>832</v>
      </c>
      <c r="E224" s="474" t="s">
        <v>890</v>
      </c>
      <c r="F224" s="446"/>
      <c r="G224" s="553">
        <f>G225</f>
        <v>13742325</v>
      </c>
      <c r="H224" s="554"/>
      <c r="I224" s="447">
        <f t="shared" si="1"/>
        <v>13742325</v>
      </c>
    </row>
    <row r="225" spans="1:9" ht="26.25">
      <c r="A225" s="451" t="s">
        <v>870</v>
      </c>
      <c r="B225" s="445" t="s">
        <v>1205</v>
      </c>
      <c r="C225" s="445" t="s">
        <v>658</v>
      </c>
      <c r="D225" s="445" t="s">
        <v>832</v>
      </c>
      <c r="E225" s="474" t="s">
        <v>890</v>
      </c>
      <c r="F225" s="446" t="s">
        <v>871</v>
      </c>
      <c r="G225" s="553">
        <f>1569426+12172899</f>
        <v>13742325</v>
      </c>
      <c r="H225" s="554"/>
      <c r="I225" s="447">
        <f t="shared" si="1"/>
        <v>13742325</v>
      </c>
    </row>
    <row r="226" spans="1:9" ht="20.25" customHeight="1">
      <c r="A226" s="451" t="s">
        <v>891</v>
      </c>
      <c r="B226" s="445" t="s">
        <v>1205</v>
      </c>
      <c r="C226" s="445" t="s">
        <v>658</v>
      </c>
      <c r="D226" s="445" t="s">
        <v>892</v>
      </c>
      <c r="E226" s="445"/>
      <c r="F226" s="446"/>
      <c r="G226" s="553">
        <f>G227+G239+G254+G234+G250</f>
        <v>2477427</v>
      </c>
      <c r="H226" s="554"/>
      <c r="I226" s="447">
        <f t="shared" si="1"/>
        <v>2477427</v>
      </c>
    </row>
    <row r="227" spans="1:9" ht="45" customHeight="1">
      <c r="A227" s="508" t="s">
        <v>893</v>
      </c>
      <c r="B227" s="445" t="s">
        <v>1205</v>
      </c>
      <c r="C227" s="445" t="s">
        <v>658</v>
      </c>
      <c r="D227" s="445" t="s">
        <v>892</v>
      </c>
      <c r="E227" s="445" t="s">
        <v>894</v>
      </c>
      <c r="F227" s="446"/>
      <c r="G227" s="553">
        <f>G228</f>
        <v>520000</v>
      </c>
      <c r="H227" s="554"/>
      <c r="I227" s="447">
        <f t="shared" si="1"/>
        <v>520000</v>
      </c>
    </row>
    <row r="228" spans="1:9" ht="69" customHeight="1">
      <c r="A228" s="569" t="s">
        <v>895</v>
      </c>
      <c r="B228" s="445" t="s">
        <v>1205</v>
      </c>
      <c r="C228" s="457" t="s">
        <v>658</v>
      </c>
      <c r="D228" s="457" t="s">
        <v>892</v>
      </c>
      <c r="E228" s="457" t="s">
        <v>896</v>
      </c>
      <c r="F228" s="464"/>
      <c r="G228" s="555">
        <f>G229</f>
        <v>520000</v>
      </c>
      <c r="H228" s="554"/>
      <c r="I228" s="447">
        <f t="shared" si="1"/>
        <v>520000</v>
      </c>
    </row>
    <row r="229" spans="1:9" ht="41.25" customHeight="1">
      <c r="A229" s="466" t="s">
        <v>897</v>
      </c>
      <c r="B229" s="445" t="s">
        <v>1205</v>
      </c>
      <c r="C229" s="445" t="s">
        <v>658</v>
      </c>
      <c r="D229" s="445" t="s">
        <v>892</v>
      </c>
      <c r="E229" s="445" t="s">
        <v>898</v>
      </c>
      <c r="F229" s="446"/>
      <c r="G229" s="553">
        <f>G230+G232</f>
        <v>520000</v>
      </c>
      <c r="H229" s="554"/>
      <c r="I229" s="447">
        <f t="shared" si="1"/>
        <v>520000</v>
      </c>
    </row>
    <row r="230" spans="1:9" ht="0.75" customHeight="1" hidden="1">
      <c r="A230" s="452" t="s">
        <v>899</v>
      </c>
      <c r="B230" s="445" t="s">
        <v>1205</v>
      </c>
      <c r="C230" s="445" t="s">
        <v>658</v>
      </c>
      <c r="D230" s="445" t="s">
        <v>892</v>
      </c>
      <c r="E230" s="445" t="s">
        <v>900</v>
      </c>
      <c r="F230" s="446"/>
      <c r="G230" s="553">
        <f>G231</f>
        <v>0</v>
      </c>
      <c r="H230" s="554"/>
      <c r="I230" s="447">
        <f t="shared" si="1"/>
        <v>0</v>
      </c>
    </row>
    <row r="231" spans="1:9" ht="26.25" hidden="1">
      <c r="A231" s="454" t="s">
        <v>654</v>
      </c>
      <c r="B231" s="445" t="s">
        <v>1205</v>
      </c>
      <c r="C231" s="445" t="s">
        <v>658</v>
      </c>
      <c r="D231" s="445" t="s">
        <v>892</v>
      </c>
      <c r="E231" s="445" t="s">
        <v>900</v>
      </c>
      <c r="F231" s="446" t="s">
        <v>655</v>
      </c>
      <c r="G231" s="553"/>
      <c r="H231" s="554"/>
      <c r="I231" s="447">
        <f t="shared" si="1"/>
        <v>0</v>
      </c>
    </row>
    <row r="232" spans="1:9" ht="15">
      <c r="A232" s="452" t="s">
        <v>901</v>
      </c>
      <c r="B232" s="445" t="s">
        <v>1205</v>
      </c>
      <c r="C232" s="445" t="s">
        <v>658</v>
      </c>
      <c r="D232" s="445" t="s">
        <v>892</v>
      </c>
      <c r="E232" s="445" t="s">
        <v>902</v>
      </c>
      <c r="F232" s="446"/>
      <c r="G232" s="553">
        <f>G233</f>
        <v>520000</v>
      </c>
      <c r="H232" s="554"/>
      <c r="I232" s="447">
        <f t="shared" si="1"/>
        <v>520000</v>
      </c>
    </row>
    <row r="233" spans="1:9" ht="29.25" customHeight="1">
      <c r="A233" s="454" t="s">
        <v>654</v>
      </c>
      <c r="B233" s="445" t="s">
        <v>1205</v>
      </c>
      <c r="C233" s="445" t="s">
        <v>658</v>
      </c>
      <c r="D233" s="445" t="s">
        <v>892</v>
      </c>
      <c r="E233" s="445" t="s">
        <v>902</v>
      </c>
      <c r="F233" s="446" t="s">
        <v>655</v>
      </c>
      <c r="G233" s="553">
        <f>200000+320000</f>
        <v>520000</v>
      </c>
      <c r="H233" s="554"/>
      <c r="I233" s="447">
        <f t="shared" si="1"/>
        <v>520000</v>
      </c>
    </row>
    <row r="234" spans="1:9" ht="54" customHeight="1" hidden="1">
      <c r="A234" s="570" t="s">
        <v>903</v>
      </c>
      <c r="B234" s="445" t="s">
        <v>1205</v>
      </c>
      <c r="C234" s="445" t="s">
        <v>658</v>
      </c>
      <c r="D234" s="445" t="s">
        <v>892</v>
      </c>
      <c r="E234" s="500" t="s">
        <v>904</v>
      </c>
      <c r="F234" s="446"/>
      <c r="G234" s="553">
        <f>G235</f>
        <v>0</v>
      </c>
      <c r="H234" s="554"/>
      <c r="I234" s="447">
        <f t="shared" si="1"/>
        <v>0</v>
      </c>
    </row>
    <row r="235" spans="1:9" ht="69.75" customHeight="1" hidden="1">
      <c r="A235" s="490" t="s">
        <v>1210</v>
      </c>
      <c r="B235" s="445" t="s">
        <v>1205</v>
      </c>
      <c r="C235" s="445" t="s">
        <v>658</v>
      </c>
      <c r="D235" s="445" t="s">
        <v>892</v>
      </c>
      <c r="E235" s="500" t="s">
        <v>906</v>
      </c>
      <c r="F235" s="446"/>
      <c r="G235" s="553">
        <f>G236</f>
        <v>0</v>
      </c>
      <c r="H235" s="554"/>
      <c r="I235" s="447">
        <f t="shared" si="1"/>
        <v>0</v>
      </c>
    </row>
    <row r="236" spans="1:9" ht="27" customHeight="1" hidden="1">
      <c r="A236" s="466" t="s">
        <v>907</v>
      </c>
      <c r="B236" s="445" t="s">
        <v>1205</v>
      </c>
      <c r="C236" s="445" t="s">
        <v>658</v>
      </c>
      <c r="D236" s="445" t="s">
        <v>892</v>
      </c>
      <c r="E236" s="500" t="s">
        <v>908</v>
      </c>
      <c r="F236" s="446"/>
      <c r="G236" s="553">
        <f>G237</f>
        <v>0</v>
      </c>
      <c r="H236" s="554"/>
      <c r="I236" s="447">
        <f>I237</f>
        <v>0</v>
      </c>
    </row>
    <row r="237" spans="1:9" ht="15.75" customHeight="1" hidden="1">
      <c r="A237" s="444" t="s">
        <v>909</v>
      </c>
      <c r="B237" s="445" t="s">
        <v>1205</v>
      </c>
      <c r="C237" s="445" t="s">
        <v>658</v>
      </c>
      <c r="D237" s="445" t="s">
        <v>892</v>
      </c>
      <c r="E237" s="500" t="s">
        <v>910</v>
      </c>
      <c r="F237" s="446"/>
      <c r="G237" s="553">
        <f>G238</f>
        <v>0</v>
      </c>
      <c r="H237" s="554"/>
      <c r="I237" s="447">
        <f>G237+H237</f>
        <v>0</v>
      </c>
    </row>
    <row r="238" spans="1:9" ht="26.25" customHeight="1" hidden="1">
      <c r="A238" s="571" t="s">
        <v>654</v>
      </c>
      <c r="B238" s="445" t="s">
        <v>1205</v>
      </c>
      <c r="C238" s="445" t="s">
        <v>658</v>
      </c>
      <c r="D238" s="445" t="s">
        <v>892</v>
      </c>
      <c r="E238" s="500" t="s">
        <v>910</v>
      </c>
      <c r="F238" s="446" t="s">
        <v>655</v>
      </c>
      <c r="G238" s="553"/>
      <c r="H238" s="554"/>
      <c r="I238" s="447">
        <f>G238+H238</f>
        <v>0</v>
      </c>
    </row>
    <row r="239" spans="1:9" ht="51.75" customHeight="1">
      <c r="A239" s="508" t="s">
        <v>911</v>
      </c>
      <c r="B239" s="445" t="s">
        <v>1205</v>
      </c>
      <c r="C239" s="445" t="s">
        <v>658</v>
      </c>
      <c r="D239" s="445" t="s">
        <v>892</v>
      </c>
      <c r="E239" s="485" t="s">
        <v>912</v>
      </c>
      <c r="F239" s="446"/>
      <c r="G239" s="553">
        <f>G240</f>
        <v>1924427</v>
      </c>
      <c r="H239" s="554"/>
      <c r="I239" s="447">
        <f t="shared" si="1"/>
        <v>1924427</v>
      </c>
    </row>
    <row r="240" spans="1:9" ht="72" customHeight="1">
      <c r="A240" s="490" t="s">
        <v>913</v>
      </c>
      <c r="B240" s="445" t="s">
        <v>1205</v>
      </c>
      <c r="C240" s="457" t="s">
        <v>658</v>
      </c>
      <c r="D240" s="457" t="s">
        <v>892</v>
      </c>
      <c r="E240" s="501" t="s">
        <v>914</v>
      </c>
      <c r="F240" s="464"/>
      <c r="G240" s="555">
        <f>G241</f>
        <v>1924427</v>
      </c>
      <c r="H240" s="554"/>
      <c r="I240" s="447">
        <f t="shared" si="1"/>
        <v>1924427</v>
      </c>
    </row>
    <row r="241" spans="1:9" ht="25.5">
      <c r="A241" s="466" t="s">
        <v>915</v>
      </c>
      <c r="B241" s="445" t="s">
        <v>1205</v>
      </c>
      <c r="C241" s="445" t="s">
        <v>658</v>
      </c>
      <c r="D241" s="445" t="s">
        <v>892</v>
      </c>
      <c r="E241" s="470" t="s">
        <v>916</v>
      </c>
      <c r="F241" s="456"/>
      <c r="G241" s="553">
        <f>G248+G242+G245</f>
        <v>1924427</v>
      </c>
      <c r="H241" s="554"/>
      <c r="I241" s="447">
        <f t="shared" si="1"/>
        <v>1924427</v>
      </c>
    </row>
    <row r="242" spans="1:9" ht="39" customHeight="1">
      <c r="A242" s="466" t="s">
        <v>917</v>
      </c>
      <c r="B242" s="445" t="s">
        <v>1205</v>
      </c>
      <c r="C242" s="445" t="s">
        <v>658</v>
      </c>
      <c r="D242" s="445" t="s">
        <v>892</v>
      </c>
      <c r="E242" s="470" t="s">
        <v>918</v>
      </c>
      <c r="F242" s="456"/>
      <c r="G242" s="553">
        <f>G243+G244</f>
        <v>1017730</v>
      </c>
      <c r="H242" s="562"/>
      <c r="I242" s="447">
        <f t="shared" si="1"/>
        <v>1017730</v>
      </c>
    </row>
    <row r="243" spans="1:9" ht="26.25">
      <c r="A243" s="454" t="s">
        <v>654</v>
      </c>
      <c r="B243" s="445" t="s">
        <v>1205</v>
      </c>
      <c r="C243" s="445" t="s">
        <v>658</v>
      </c>
      <c r="D243" s="445" t="s">
        <v>892</v>
      </c>
      <c r="E243" s="470" t="s">
        <v>918</v>
      </c>
      <c r="F243" s="456" t="s">
        <v>655</v>
      </c>
      <c r="G243" s="553">
        <f>58130</f>
        <v>58130</v>
      </c>
      <c r="H243" s="562"/>
      <c r="I243" s="447">
        <f>G243+H243</f>
        <v>58130</v>
      </c>
    </row>
    <row r="244" spans="1:9" ht="15">
      <c r="A244" s="502" t="s">
        <v>814</v>
      </c>
      <c r="B244" s="445" t="s">
        <v>1205</v>
      </c>
      <c r="C244" s="445" t="s">
        <v>658</v>
      </c>
      <c r="D244" s="445" t="s">
        <v>892</v>
      </c>
      <c r="E244" s="470" t="s">
        <v>918</v>
      </c>
      <c r="F244" s="456" t="s">
        <v>815</v>
      </c>
      <c r="G244" s="553">
        <f>1017730-58130</f>
        <v>959600</v>
      </c>
      <c r="H244" s="562"/>
      <c r="I244" s="447">
        <f>G244+H244</f>
        <v>959600</v>
      </c>
    </row>
    <row r="245" spans="1:9" ht="31.5" customHeight="1">
      <c r="A245" s="466" t="s">
        <v>919</v>
      </c>
      <c r="B245" s="445" t="s">
        <v>1205</v>
      </c>
      <c r="C245" s="445" t="s">
        <v>658</v>
      </c>
      <c r="D245" s="445" t="s">
        <v>892</v>
      </c>
      <c r="E245" s="470" t="s">
        <v>920</v>
      </c>
      <c r="F245" s="456"/>
      <c r="G245" s="553">
        <f>G247+G246</f>
        <v>440322</v>
      </c>
      <c r="H245" s="562"/>
      <c r="I245" s="447">
        <f>G245+H245</f>
        <v>440322</v>
      </c>
    </row>
    <row r="246" spans="1:9" ht="31.5" customHeight="1">
      <c r="A246" s="454" t="s">
        <v>654</v>
      </c>
      <c r="B246" s="445" t="s">
        <v>1205</v>
      </c>
      <c r="C246" s="445" t="s">
        <v>658</v>
      </c>
      <c r="D246" s="445" t="s">
        <v>892</v>
      </c>
      <c r="E246" s="470" t="s">
        <v>920</v>
      </c>
      <c r="F246" s="456" t="s">
        <v>655</v>
      </c>
      <c r="G246" s="553">
        <f>29065</f>
        <v>29065</v>
      </c>
      <c r="H246" s="562"/>
      <c r="I246" s="447">
        <f>G246+H246</f>
        <v>29065</v>
      </c>
    </row>
    <row r="247" spans="1:9" ht="21" customHeight="1">
      <c r="A247" s="502" t="s">
        <v>814</v>
      </c>
      <c r="B247" s="445" t="s">
        <v>1205</v>
      </c>
      <c r="C247" s="445" t="s">
        <v>658</v>
      </c>
      <c r="D247" s="445" t="s">
        <v>892</v>
      </c>
      <c r="E247" s="470" t="s">
        <v>920</v>
      </c>
      <c r="F247" s="456" t="s">
        <v>815</v>
      </c>
      <c r="G247" s="553">
        <f>877632-466375</f>
        <v>411257</v>
      </c>
      <c r="H247" s="562"/>
      <c r="I247" s="447">
        <f>G247+H247</f>
        <v>411257</v>
      </c>
    </row>
    <row r="248" spans="1:9" ht="39">
      <c r="A248" s="502" t="s">
        <v>921</v>
      </c>
      <c r="B248" s="445" t="s">
        <v>1205</v>
      </c>
      <c r="C248" s="445" t="s">
        <v>658</v>
      </c>
      <c r="D248" s="445" t="s">
        <v>892</v>
      </c>
      <c r="E248" s="470" t="s">
        <v>922</v>
      </c>
      <c r="F248" s="456"/>
      <c r="G248" s="553">
        <f>G249</f>
        <v>466375</v>
      </c>
      <c r="H248" s="554"/>
      <c r="I248" s="447">
        <f aca="true" t="shared" si="2" ref="I248:I306">G248+H248</f>
        <v>466375</v>
      </c>
    </row>
    <row r="249" spans="1:9" ht="14.25" customHeight="1">
      <c r="A249" s="502" t="s">
        <v>814</v>
      </c>
      <c r="B249" s="445" t="s">
        <v>1205</v>
      </c>
      <c r="C249" s="445" t="s">
        <v>658</v>
      </c>
      <c r="D249" s="445" t="s">
        <v>892</v>
      </c>
      <c r="E249" s="470" t="s">
        <v>922</v>
      </c>
      <c r="F249" s="456" t="s">
        <v>815</v>
      </c>
      <c r="G249" s="553">
        <v>466375</v>
      </c>
      <c r="H249" s="554"/>
      <c r="I249" s="447">
        <f t="shared" si="2"/>
        <v>466375</v>
      </c>
    </row>
    <row r="250" spans="1:9" ht="63.75" hidden="1">
      <c r="A250" s="494" t="s">
        <v>772</v>
      </c>
      <c r="B250" s="445" t="s">
        <v>1205</v>
      </c>
      <c r="C250" s="445" t="s">
        <v>658</v>
      </c>
      <c r="D250" s="445" t="s">
        <v>892</v>
      </c>
      <c r="E250" s="482" t="s">
        <v>773</v>
      </c>
      <c r="F250" s="446"/>
      <c r="G250" s="553">
        <f>G251</f>
        <v>0</v>
      </c>
      <c r="H250" s="566"/>
      <c r="I250" s="447">
        <f t="shared" si="2"/>
        <v>0</v>
      </c>
    </row>
    <row r="251" spans="1:9" ht="29.25" customHeight="1" hidden="1">
      <c r="A251" s="479" t="s">
        <v>880</v>
      </c>
      <c r="B251" s="445" t="s">
        <v>1205</v>
      </c>
      <c r="C251" s="445" t="s">
        <v>658</v>
      </c>
      <c r="D251" s="445" t="s">
        <v>892</v>
      </c>
      <c r="E251" s="474" t="s">
        <v>881</v>
      </c>
      <c r="F251" s="446"/>
      <c r="G251" s="553">
        <f>G252</f>
        <v>0</v>
      </c>
      <c r="H251" s="566"/>
      <c r="I251" s="447">
        <f t="shared" si="2"/>
        <v>0</v>
      </c>
    </row>
    <row r="252" spans="1:9" ht="15" hidden="1">
      <c r="A252" s="466" t="s">
        <v>882</v>
      </c>
      <c r="B252" s="445" t="s">
        <v>1205</v>
      </c>
      <c r="C252" s="445" t="s">
        <v>658</v>
      </c>
      <c r="D252" s="445" t="s">
        <v>892</v>
      </c>
      <c r="E252" s="474" t="s">
        <v>883</v>
      </c>
      <c r="F252" s="446"/>
      <c r="G252" s="553">
        <f>G253</f>
        <v>0</v>
      </c>
      <c r="H252" s="566"/>
      <c r="I252" s="447">
        <f t="shared" si="2"/>
        <v>0</v>
      </c>
    </row>
    <row r="253" spans="1:9" ht="15" hidden="1">
      <c r="A253" s="454" t="s">
        <v>704</v>
      </c>
      <c r="B253" s="445" t="s">
        <v>1205</v>
      </c>
      <c r="C253" s="445" t="s">
        <v>658</v>
      </c>
      <c r="D253" s="445" t="s">
        <v>892</v>
      </c>
      <c r="E253" s="474" t="s">
        <v>883</v>
      </c>
      <c r="F253" s="446" t="s">
        <v>655</v>
      </c>
      <c r="G253" s="553"/>
      <c r="H253" s="566"/>
      <c r="I253" s="447">
        <f t="shared" si="2"/>
        <v>0</v>
      </c>
    </row>
    <row r="254" spans="1:9" ht="38.25">
      <c r="A254" s="490" t="s">
        <v>923</v>
      </c>
      <c r="B254" s="445" t="s">
        <v>1205</v>
      </c>
      <c r="C254" s="445" t="s">
        <v>658</v>
      </c>
      <c r="D254" s="445" t="s">
        <v>892</v>
      </c>
      <c r="E254" s="445" t="s">
        <v>924</v>
      </c>
      <c r="F254" s="456"/>
      <c r="G254" s="553">
        <f>G255+G259</f>
        <v>33000</v>
      </c>
      <c r="H254" s="554"/>
      <c r="I254" s="447">
        <f t="shared" si="2"/>
        <v>33000</v>
      </c>
    </row>
    <row r="255" spans="1:9" ht="66" customHeight="1">
      <c r="A255" s="569" t="s">
        <v>925</v>
      </c>
      <c r="B255" s="445" t="s">
        <v>1205</v>
      </c>
      <c r="C255" s="457" t="s">
        <v>658</v>
      </c>
      <c r="D255" s="457" t="s">
        <v>892</v>
      </c>
      <c r="E255" s="457" t="s">
        <v>926</v>
      </c>
      <c r="F255" s="459"/>
      <c r="G255" s="555">
        <f>G256</f>
        <v>28000</v>
      </c>
      <c r="H255" s="554"/>
      <c r="I255" s="447">
        <f t="shared" si="2"/>
        <v>28000</v>
      </c>
    </row>
    <row r="256" spans="1:9" ht="38.25">
      <c r="A256" s="569" t="s">
        <v>927</v>
      </c>
      <c r="B256" s="445" t="s">
        <v>1205</v>
      </c>
      <c r="C256" s="445" t="s">
        <v>658</v>
      </c>
      <c r="D256" s="445" t="s">
        <v>892</v>
      </c>
      <c r="E256" s="445" t="s">
        <v>928</v>
      </c>
      <c r="F256" s="456"/>
      <c r="G256" s="553">
        <f>G257</f>
        <v>28000</v>
      </c>
      <c r="H256" s="554"/>
      <c r="I256" s="447">
        <f t="shared" si="2"/>
        <v>28000</v>
      </c>
    </row>
    <row r="257" spans="1:9" ht="26.25">
      <c r="A257" s="452" t="s">
        <v>929</v>
      </c>
      <c r="B257" s="445" t="s">
        <v>1205</v>
      </c>
      <c r="C257" s="445" t="s">
        <v>658</v>
      </c>
      <c r="D257" s="445" t="s">
        <v>892</v>
      </c>
      <c r="E257" s="445" t="s">
        <v>930</v>
      </c>
      <c r="F257" s="456"/>
      <c r="G257" s="553">
        <f>G258</f>
        <v>28000</v>
      </c>
      <c r="H257" s="554"/>
      <c r="I257" s="447">
        <f t="shared" si="2"/>
        <v>28000</v>
      </c>
    </row>
    <row r="258" spans="1:9" ht="26.25">
      <c r="A258" s="454" t="s">
        <v>654</v>
      </c>
      <c r="B258" s="445" t="s">
        <v>1205</v>
      </c>
      <c r="C258" s="445" t="s">
        <v>658</v>
      </c>
      <c r="D258" s="445" t="s">
        <v>892</v>
      </c>
      <c r="E258" s="445" t="s">
        <v>930</v>
      </c>
      <c r="F258" s="456" t="s">
        <v>655</v>
      </c>
      <c r="G258" s="553">
        <v>28000</v>
      </c>
      <c r="H258" s="554"/>
      <c r="I258" s="447">
        <f t="shared" si="2"/>
        <v>28000</v>
      </c>
    </row>
    <row r="259" spans="1:9" ht="70.5" customHeight="1">
      <c r="A259" s="465" t="s">
        <v>931</v>
      </c>
      <c r="B259" s="445" t="s">
        <v>1205</v>
      </c>
      <c r="C259" s="457" t="s">
        <v>658</v>
      </c>
      <c r="D259" s="457" t="s">
        <v>892</v>
      </c>
      <c r="E259" s="457" t="s">
        <v>932</v>
      </c>
      <c r="F259" s="456"/>
      <c r="G259" s="553">
        <f>G260</f>
        <v>5000</v>
      </c>
      <c r="H259" s="554"/>
      <c r="I259" s="447">
        <f t="shared" si="2"/>
        <v>5000</v>
      </c>
    </row>
    <row r="260" spans="1:9" ht="47.25" customHeight="1">
      <c r="A260" s="569" t="s">
        <v>933</v>
      </c>
      <c r="B260" s="445" t="s">
        <v>1205</v>
      </c>
      <c r="C260" s="445" t="s">
        <v>658</v>
      </c>
      <c r="D260" s="445" t="s">
        <v>892</v>
      </c>
      <c r="E260" s="445" t="s">
        <v>934</v>
      </c>
      <c r="F260" s="456"/>
      <c r="G260" s="553">
        <f>G261</f>
        <v>5000</v>
      </c>
      <c r="H260" s="554"/>
      <c r="I260" s="447">
        <f t="shared" si="2"/>
        <v>5000</v>
      </c>
    </row>
    <row r="261" spans="1:9" ht="26.25">
      <c r="A261" s="454" t="s">
        <v>935</v>
      </c>
      <c r="B261" s="445" t="s">
        <v>1205</v>
      </c>
      <c r="C261" s="445" t="s">
        <v>658</v>
      </c>
      <c r="D261" s="445" t="s">
        <v>892</v>
      </c>
      <c r="E261" s="445" t="s">
        <v>936</v>
      </c>
      <c r="F261" s="456"/>
      <c r="G261" s="553">
        <f>G262</f>
        <v>5000</v>
      </c>
      <c r="H261" s="554"/>
      <c r="I261" s="447">
        <f t="shared" si="2"/>
        <v>5000</v>
      </c>
    </row>
    <row r="262" spans="1:9" ht="32.25" customHeight="1">
      <c r="A262" s="454" t="s">
        <v>654</v>
      </c>
      <c r="B262" s="445" t="s">
        <v>1205</v>
      </c>
      <c r="C262" s="445" t="s">
        <v>658</v>
      </c>
      <c r="D262" s="445" t="s">
        <v>892</v>
      </c>
      <c r="E262" s="445" t="s">
        <v>936</v>
      </c>
      <c r="F262" s="456" t="s">
        <v>655</v>
      </c>
      <c r="G262" s="553">
        <v>5000</v>
      </c>
      <c r="H262" s="562"/>
      <c r="I262" s="447">
        <f t="shared" si="2"/>
        <v>5000</v>
      </c>
    </row>
    <row r="263" spans="1:9" ht="19.5" customHeight="1">
      <c r="A263" s="454" t="s">
        <v>937</v>
      </c>
      <c r="B263" s="445" t="s">
        <v>1205</v>
      </c>
      <c r="C263" s="445" t="s">
        <v>710</v>
      </c>
      <c r="D263" s="445"/>
      <c r="E263" s="445"/>
      <c r="F263" s="456"/>
      <c r="G263" s="553">
        <f>G273+G264</f>
        <v>9695425.58</v>
      </c>
      <c r="H263" s="554"/>
      <c r="I263" s="447">
        <f t="shared" si="2"/>
        <v>9695425.58</v>
      </c>
    </row>
    <row r="264" spans="1:9" ht="15" hidden="1">
      <c r="A264" s="454" t="s">
        <v>938</v>
      </c>
      <c r="B264" s="445" t="s">
        <v>1205</v>
      </c>
      <c r="C264" s="445" t="s">
        <v>710</v>
      </c>
      <c r="D264" s="445" t="s">
        <v>633</v>
      </c>
      <c r="E264" s="445"/>
      <c r="F264" s="456"/>
      <c r="G264" s="553">
        <f>G265</f>
        <v>0</v>
      </c>
      <c r="H264" s="562"/>
      <c r="I264" s="447">
        <f t="shared" si="2"/>
        <v>0</v>
      </c>
    </row>
    <row r="265" spans="1:9" ht="39" hidden="1">
      <c r="A265" s="454" t="s">
        <v>939</v>
      </c>
      <c r="B265" s="445" t="s">
        <v>1205</v>
      </c>
      <c r="C265" s="445" t="s">
        <v>710</v>
      </c>
      <c r="D265" s="445" t="s">
        <v>633</v>
      </c>
      <c r="E265" s="445" t="s">
        <v>912</v>
      </c>
      <c r="F265" s="456"/>
      <c r="G265" s="553">
        <f>G266</f>
        <v>0</v>
      </c>
      <c r="H265" s="562"/>
      <c r="I265" s="447">
        <f t="shared" si="2"/>
        <v>0</v>
      </c>
    </row>
    <row r="266" spans="1:9" ht="64.5" hidden="1">
      <c r="A266" s="454" t="s">
        <v>940</v>
      </c>
      <c r="B266" s="445" t="s">
        <v>1205</v>
      </c>
      <c r="C266" s="445" t="s">
        <v>710</v>
      </c>
      <c r="D266" s="445" t="s">
        <v>633</v>
      </c>
      <c r="E266" s="445" t="s">
        <v>914</v>
      </c>
      <c r="F266" s="456"/>
      <c r="G266" s="553">
        <f>G267</f>
        <v>0</v>
      </c>
      <c r="H266" s="562"/>
      <c r="I266" s="447">
        <f t="shared" si="2"/>
        <v>0</v>
      </c>
    </row>
    <row r="267" spans="1:9" ht="64.5" hidden="1">
      <c r="A267" s="454" t="s">
        <v>941</v>
      </c>
      <c r="B267" s="445" t="s">
        <v>1205</v>
      </c>
      <c r="C267" s="445" t="s">
        <v>710</v>
      </c>
      <c r="D267" s="445" t="s">
        <v>633</v>
      </c>
      <c r="E267" s="445" t="s">
        <v>942</v>
      </c>
      <c r="F267" s="456"/>
      <c r="G267" s="553">
        <f>G268+G270</f>
        <v>0</v>
      </c>
      <c r="H267" s="562"/>
      <c r="I267" s="447">
        <f t="shared" si="2"/>
        <v>0</v>
      </c>
    </row>
    <row r="268" spans="1:9" ht="26.25" hidden="1">
      <c r="A268" s="454" t="s">
        <v>943</v>
      </c>
      <c r="B268" s="445" t="s">
        <v>1205</v>
      </c>
      <c r="C268" s="445" t="s">
        <v>710</v>
      </c>
      <c r="D268" s="445" t="s">
        <v>633</v>
      </c>
      <c r="E268" s="445" t="s">
        <v>944</v>
      </c>
      <c r="F268" s="456"/>
      <c r="G268" s="553">
        <f>G269</f>
        <v>0</v>
      </c>
      <c r="H268" s="562"/>
      <c r="I268" s="447">
        <f t="shared" si="2"/>
        <v>0</v>
      </c>
    </row>
    <row r="269" spans="1:9" ht="26.25" hidden="1">
      <c r="A269" s="502" t="s">
        <v>870</v>
      </c>
      <c r="B269" s="445" t="s">
        <v>1205</v>
      </c>
      <c r="C269" s="445" t="s">
        <v>710</v>
      </c>
      <c r="D269" s="445" t="s">
        <v>633</v>
      </c>
      <c r="E269" s="445" t="s">
        <v>944</v>
      </c>
      <c r="F269" s="456" t="s">
        <v>871</v>
      </c>
      <c r="G269" s="553"/>
      <c r="H269" s="562"/>
      <c r="I269" s="447">
        <f t="shared" si="2"/>
        <v>0</v>
      </c>
    </row>
    <row r="270" spans="1:9" ht="26.25" hidden="1">
      <c r="A270" s="502" t="s">
        <v>945</v>
      </c>
      <c r="B270" s="445" t="s">
        <v>1205</v>
      </c>
      <c r="C270" s="445" t="s">
        <v>710</v>
      </c>
      <c r="D270" s="445" t="s">
        <v>633</v>
      </c>
      <c r="E270" s="445" t="s">
        <v>946</v>
      </c>
      <c r="F270" s="456"/>
      <c r="G270" s="553">
        <f>G272+G271</f>
        <v>0</v>
      </c>
      <c r="H270" s="562"/>
      <c r="I270" s="447">
        <f t="shared" si="2"/>
        <v>0</v>
      </c>
    </row>
    <row r="271" spans="1:9" ht="26.25" hidden="1">
      <c r="A271" s="454" t="s">
        <v>654</v>
      </c>
      <c r="B271" s="445" t="s">
        <v>1205</v>
      </c>
      <c r="C271" s="445" t="s">
        <v>710</v>
      </c>
      <c r="D271" s="445" t="s">
        <v>633</v>
      </c>
      <c r="E271" s="445" t="s">
        <v>946</v>
      </c>
      <c r="F271" s="456" t="s">
        <v>655</v>
      </c>
      <c r="G271" s="553"/>
      <c r="H271" s="562"/>
      <c r="I271" s="447">
        <f t="shared" si="2"/>
        <v>0</v>
      </c>
    </row>
    <row r="272" spans="1:9" ht="26.25" hidden="1">
      <c r="A272" s="502" t="s">
        <v>870</v>
      </c>
      <c r="B272" s="445" t="s">
        <v>1205</v>
      </c>
      <c r="C272" s="445" t="s">
        <v>710</v>
      </c>
      <c r="D272" s="445" t="s">
        <v>633</v>
      </c>
      <c r="E272" s="445" t="s">
        <v>946</v>
      </c>
      <c r="F272" s="456" t="s">
        <v>871</v>
      </c>
      <c r="G272" s="553"/>
      <c r="H272" s="562"/>
      <c r="I272" s="447">
        <f t="shared" si="2"/>
        <v>0</v>
      </c>
    </row>
    <row r="273" spans="1:9" ht="15">
      <c r="A273" s="454" t="s">
        <v>947</v>
      </c>
      <c r="B273" s="445" t="s">
        <v>1205</v>
      </c>
      <c r="C273" s="445" t="s">
        <v>710</v>
      </c>
      <c r="D273" s="445" t="s">
        <v>635</v>
      </c>
      <c r="E273" s="445"/>
      <c r="F273" s="456"/>
      <c r="G273" s="553">
        <f>G274+G281+G291+G283</f>
        <v>9695425.58</v>
      </c>
      <c r="H273" s="554"/>
      <c r="I273" s="447">
        <f t="shared" si="2"/>
        <v>9695425.58</v>
      </c>
    </row>
    <row r="274" spans="1:9" ht="39">
      <c r="A274" s="444" t="s">
        <v>948</v>
      </c>
      <c r="B274" s="445" t="s">
        <v>1205</v>
      </c>
      <c r="C274" s="445" t="s">
        <v>710</v>
      </c>
      <c r="D274" s="445" t="s">
        <v>635</v>
      </c>
      <c r="E274" s="474" t="s">
        <v>949</v>
      </c>
      <c r="F274" s="456"/>
      <c r="G274" s="553">
        <f>G275</f>
        <v>970000</v>
      </c>
      <c r="H274" s="554"/>
      <c r="I274" s="447">
        <f t="shared" si="2"/>
        <v>970000</v>
      </c>
    </row>
    <row r="275" spans="1:9" ht="51.75">
      <c r="A275" s="572" t="s">
        <v>950</v>
      </c>
      <c r="B275" s="445" t="s">
        <v>1205</v>
      </c>
      <c r="C275" s="457" t="s">
        <v>710</v>
      </c>
      <c r="D275" s="457" t="s">
        <v>635</v>
      </c>
      <c r="E275" s="482" t="s">
        <v>1211</v>
      </c>
      <c r="F275" s="459"/>
      <c r="G275" s="555">
        <f>G276</f>
        <v>970000</v>
      </c>
      <c r="H275" s="554"/>
      <c r="I275" s="447">
        <f t="shared" si="2"/>
        <v>970000</v>
      </c>
    </row>
    <row r="276" spans="1:9" ht="24.75" customHeight="1">
      <c r="A276" s="466" t="s">
        <v>952</v>
      </c>
      <c r="B276" s="445" t="s">
        <v>1205</v>
      </c>
      <c r="C276" s="445" t="s">
        <v>710</v>
      </c>
      <c r="D276" s="445" t="s">
        <v>635</v>
      </c>
      <c r="E276" s="474" t="s">
        <v>1212</v>
      </c>
      <c r="F276" s="456"/>
      <c r="G276" s="553">
        <f>G277+G279</f>
        <v>970000</v>
      </c>
      <c r="H276" s="554"/>
      <c r="I276" s="447">
        <f t="shared" si="2"/>
        <v>970000</v>
      </c>
    </row>
    <row r="277" spans="1:9" ht="38.25">
      <c r="A277" s="573" t="s">
        <v>1213</v>
      </c>
      <c r="B277" s="445" t="s">
        <v>1205</v>
      </c>
      <c r="C277" s="445" t="s">
        <v>710</v>
      </c>
      <c r="D277" s="445" t="s">
        <v>635</v>
      </c>
      <c r="E277" s="474" t="s">
        <v>954</v>
      </c>
      <c r="F277" s="456"/>
      <c r="G277" s="553">
        <f>G278</f>
        <v>0</v>
      </c>
      <c r="H277" s="554"/>
      <c r="I277" s="447">
        <f t="shared" si="2"/>
        <v>0</v>
      </c>
    </row>
    <row r="278" spans="1:9" ht="15">
      <c r="A278" s="502" t="s">
        <v>814</v>
      </c>
      <c r="B278" s="445" t="s">
        <v>1205</v>
      </c>
      <c r="C278" s="445" t="s">
        <v>710</v>
      </c>
      <c r="D278" s="445" t="s">
        <v>635</v>
      </c>
      <c r="E278" s="474" t="s">
        <v>954</v>
      </c>
      <c r="F278" s="456" t="s">
        <v>815</v>
      </c>
      <c r="G278" s="553"/>
      <c r="H278" s="562"/>
      <c r="I278" s="447">
        <f t="shared" si="2"/>
        <v>0</v>
      </c>
    </row>
    <row r="279" spans="1:9" ht="38.25">
      <c r="A279" s="475" t="s">
        <v>955</v>
      </c>
      <c r="B279" s="445" t="s">
        <v>1205</v>
      </c>
      <c r="C279" s="445" t="s">
        <v>710</v>
      </c>
      <c r="D279" s="445" t="s">
        <v>635</v>
      </c>
      <c r="E279" s="474" t="s">
        <v>956</v>
      </c>
      <c r="F279" s="456"/>
      <c r="G279" s="553">
        <f>G280</f>
        <v>970000</v>
      </c>
      <c r="H279" s="554"/>
      <c r="I279" s="447">
        <f t="shared" si="2"/>
        <v>970000</v>
      </c>
    </row>
    <row r="280" spans="1:9" ht="15">
      <c r="A280" s="502" t="s">
        <v>814</v>
      </c>
      <c r="B280" s="445" t="s">
        <v>1205</v>
      </c>
      <c r="C280" s="445" t="s">
        <v>710</v>
      </c>
      <c r="D280" s="445" t="s">
        <v>635</v>
      </c>
      <c r="E280" s="474" t="s">
        <v>956</v>
      </c>
      <c r="F280" s="456" t="s">
        <v>815</v>
      </c>
      <c r="G280" s="553">
        <v>970000</v>
      </c>
      <c r="H280" s="554"/>
      <c r="I280" s="447">
        <f>G280+H280</f>
        <v>970000</v>
      </c>
    </row>
    <row r="281" spans="1:9" ht="52.5" customHeight="1">
      <c r="A281" s="572" t="s">
        <v>957</v>
      </c>
      <c r="B281" s="445" t="s">
        <v>1205</v>
      </c>
      <c r="C281" s="445" t="s">
        <v>710</v>
      </c>
      <c r="D281" s="445" t="s">
        <v>635</v>
      </c>
      <c r="E281" s="474" t="s">
        <v>912</v>
      </c>
      <c r="F281" s="456"/>
      <c r="G281" s="553">
        <f>G282</f>
        <v>1000000</v>
      </c>
      <c r="H281" s="554"/>
      <c r="I281" s="447">
        <f t="shared" si="2"/>
        <v>1000000</v>
      </c>
    </row>
    <row r="282" spans="1:9" ht="84" customHeight="1">
      <c r="A282" s="502" t="s">
        <v>958</v>
      </c>
      <c r="B282" s="445" t="s">
        <v>1205</v>
      </c>
      <c r="C282" s="457" t="s">
        <v>710</v>
      </c>
      <c r="D282" s="457" t="s">
        <v>635</v>
      </c>
      <c r="E282" s="482" t="s">
        <v>959</v>
      </c>
      <c r="F282" s="459"/>
      <c r="G282" s="555">
        <f>G288</f>
        <v>1000000</v>
      </c>
      <c r="H282" s="554"/>
      <c r="I282" s="447">
        <f t="shared" si="2"/>
        <v>1000000</v>
      </c>
    </row>
    <row r="283" spans="1:9" ht="38.25" hidden="1">
      <c r="A283" s="466" t="s">
        <v>991</v>
      </c>
      <c r="B283" s="445" t="s">
        <v>1205</v>
      </c>
      <c r="C283" s="445" t="s">
        <v>710</v>
      </c>
      <c r="D283" s="445" t="s">
        <v>635</v>
      </c>
      <c r="E283" s="470" t="s">
        <v>992</v>
      </c>
      <c r="F283" s="459"/>
      <c r="G283" s="555">
        <f>G284+G286</f>
        <v>0</v>
      </c>
      <c r="H283" s="554"/>
      <c r="I283" s="447">
        <f t="shared" si="2"/>
        <v>0</v>
      </c>
    </row>
    <row r="284" spans="1:9" ht="24" hidden="1">
      <c r="A284" s="505" t="s">
        <v>993</v>
      </c>
      <c r="B284" s="445" t="s">
        <v>1205</v>
      </c>
      <c r="C284" s="445" t="s">
        <v>710</v>
      </c>
      <c r="D284" s="445" t="s">
        <v>635</v>
      </c>
      <c r="E284" s="470" t="s">
        <v>994</v>
      </c>
      <c r="F284" s="456"/>
      <c r="G284" s="555">
        <f>G285</f>
        <v>0</v>
      </c>
      <c r="H284" s="554"/>
      <c r="I284" s="447">
        <f t="shared" si="2"/>
        <v>0</v>
      </c>
    </row>
    <row r="285" spans="1:9" ht="15" hidden="1">
      <c r="A285" s="502" t="s">
        <v>814</v>
      </c>
      <c r="B285" s="445" t="s">
        <v>1205</v>
      </c>
      <c r="C285" s="445" t="s">
        <v>710</v>
      </c>
      <c r="D285" s="445" t="s">
        <v>635</v>
      </c>
      <c r="E285" s="470" t="s">
        <v>994</v>
      </c>
      <c r="F285" s="456" t="s">
        <v>815</v>
      </c>
      <c r="G285" s="555"/>
      <c r="H285" s="554"/>
      <c r="I285" s="447">
        <f t="shared" si="2"/>
        <v>0</v>
      </c>
    </row>
    <row r="286" spans="1:9" ht="30" customHeight="1" hidden="1">
      <c r="A286" s="505" t="s">
        <v>995</v>
      </c>
      <c r="B286" s="445" t="s">
        <v>1205</v>
      </c>
      <c r="C286" s="445" t="s">
        <v>710</v>
      </c>
      <c r="D286" s="445" t="s">
        <v>635</v>
      </c>
      <c r="E286" s="470" t="s">
        <v>996</v>
      </c>
      <c r="F286" s="456"/>
      <c r="G286" s="555">
        <f>G287</f>
        <v>0</v>
      </c>
      <c r="H286" s="554"/>
      <c r="I286" s="447">
        <f t="shared" si="2"/>
        <v>0</v>
      </c>
    </row>
    <row r="287" spans="1:9" ht="15.75" customHeight="1" hidden="1">
      <c r="A287" s="502" t="s">
        <v>814</v>
      </c>
      <c r="B287" s="445" t="s">
        <v>1205</v>
      </c>
      <c r="C287" s="445" t="s">
        <v>710</v>
      </c>
      <c r="D287" s="445" t="s">
        <v>635</v>
      </c>
      <c r="E287" s="470" t="s">
        <v>996</v>
      </c>
      <c r="F287" s="456" t="s">
        <v>815</v>
      </c>
      <c r="G287" s="555"/>
      <c r="H287" s="554"/>
      <c r="I287" s="447">
        <f t="shared" si="2"/>
        <v>0</v>
      </c>
    </row>
    <row r="288" spans="1:9" ht="29.25" customHeight="1">
      <c r="A288" s="466" t="s">
        <v>960</v>
      </c>
      <c r="B288" s="445" t="s">
        <v>1205</v>
      </c>
      <c r="C288" s="445" t="s">
        <v>710</v>
      </c>
      <c r="D288" s="445" t="s">
        <v>635</v>
      </c>
      <c r="E288" s="470" t="s">
        <v>961</v>
      </c>
      <c r="F288" s="456"/>
      <c r="G288" s="553">
        <f>G289</f>
        <v>1000000</v>
      </c>
      <c r="H288" s="554"/>
      <c r="I288" s="447">
        <f t="shared" si="2"/>
        <v>1000000</v>
      </c>
    </row>
    <row r="289" spans="1:9" ht="39">
      <c r="A289" s="452" t="s">
        <v>962</v>
      </c>
      <c r="B289" s="445" t="s">
        <v>1205</v>
      </c>
      <c r="C289" s="445" t="s">
        <v>710</v>
      </c>
      <c r="D289" s="445" t="s">
        <v>635</v>
      </c>
      <c r="E289" s="470" t="s">
        <v>963</v>
      </c>
      <c r="F289" s="456"/>
      <c r="G289" s="553">
        <f>G290</f>
        <v>1000000</v>
      </c>
      <c r="H289" s="554"/>
      <c r="I289" s="447">
        <f t="shared" si="2"/>
        <v>1000000</v>
      </c>
    </row>
    <row r="290" spans="1:9" ht="15">
      <c r="A290" s="502" t="s">
        <v>814</v>
      </c>
      <c r="B290" s="445" t="s">
        <v>1205</v>
      </c>
      <c r="C290" s="445" t="s">
        <v>710</v>
      </c>
      <c r="D290" s="445" t="s">
        <v>635</v>
      </c>
      <c r="E290" s="470" t="s">
        <v>963</v>
      </c>
      <c r="F290" s="456" t="s">
        <v>815</v>
      </c>
      <c r="G290" s="553">
        <f>500000+500000</f>
        <v>1000000</v>
      </c>
      <c r="H290" s="562"/>
      <c r="I290" s="447">
        <f t="shared" si="2"/>
        <v>1000000</v>
      </c>
    </row>
    <row r="291" spans="1:9" ht="43.5" customHeight="1">
      <c r="A291" s="490" t="s">
        <v>884</v>
      </c>
      <c r="B291" s="445" t="s">
        <v>1205</v>
      </c>
      <c r="C291" s="445" t="s">
        <v>710</v>
      </c>
      <c r="D291" s="445" t="s">
        <v>635</v>
      </c>
      <c r="E291" s="474" t="s">
        <v>885</v>
      </c>
      <c r="F291" s="456"/>
      <c r="G291" s="553">
        <f>G292</f>
        <v>7725425.58</v>
      </c>
      <c r="H291" s="554"/>
      <c r="I291" s="447">
        <f t="shared" si="2"/>
        <v>7725425.58</v>
      </c>
    </row>
    <row r="292" spans="1:9" ht="60">
      <c r="A292" s="574" t="s">
        <v>964</v>
      </c>
      <c r="B292" s="445" t="s">
        <v>1205</v>
      </c>
      <c r="C292" s="457" t="s">
        <v>710</v>
      </c>
      <c r="D292" s="457" t="s">
        <v>635</v>
      </c>
      <c r="E292" s="482" t="s">
        <v>887</v>
      </c>
      <c r="F292" s="459"/>
      <c r="G292" s="555">
        <f>G293</f>
        <v>7725425.58</v>
      </c>
      <c r="H292" s="554"/>
      <c r="I292" s="447">
        <f t="shared" si="2"/>
        <v>7725425.58</v>
      </c>
    </row>
    <row r="293" spans="1:9" ht="15">
      <c r="A293" s="502" t="s">
        <v>965</v>
      </c>
      <c r="B293" s="445" t="s">
        <v>1205</v>
      </c>
      <c r="C293" s="445" t="s">
        <v>710</v>
      </c>
      <c r="D293" s="445" t="s">
        <v>635</v>
      </c>
      <c r="E293" s="474" t="s">
        <v>966</v>
      </c>
      <c r="F293" s="456"/>
      <c r="G293" s="553">
        <f>G294+G302+G296+G298+G300</f>
        <v>7725425.58</v>
      </c>
      <c r="H293" s="554"/>
      <c r="I293" s="447">
        <f t="shared" si="2"/>
        <v>7725425.58</v>
      </c>
    </row>
    <row r="294" spans="1:9" ht="21" customHeight="1">
      <c r="A294" s="475" t="s">
        <v>967</v>
      </c>
      <c r="B294" s="445" t="s">
        <v>1205</v>
      </c>
      <c r="C294" s="445" t="s">
        <v>710</v>
      </c>
      <c r="D294" s="445" t="s">
        <v>635</v>
      </c>
      <c r="E294" s="474" t="s">
        <v>968</v>
      </c>
      <c r="F294" s="456"/>
      <c r="G294" s="553">
        <f>G295</f>
        <v>5578897</v>
      </c>
      <c r="H294" s="554"/>
      <c r="I294" s="447">
        <f t="shared" si="2"/>
        <v>5578897</v>
      </c>
    </row>
    <row r="295" spans="1:9" ht="15">
      <c r="A295" s="502" t="s">
        <v>814</v>
      </c>
      <c r="B295" s="445" t="s">
        <v>1205</v>
      </c>
      <c r="C295" s="445" t="s">
        <v>710</v>
      </c>
      <c r="D295" s="445" t="s">
        <v>635</v>
      </c>
      <c r="E295" s="474" t="s">
        <v>968</v>
      </c>
      <c r="F295" s="456" t="s">
        <v>815</v>
      </c>
      <c r="G295" s="553">
        <f>1615000-615000-163165+4742062</f>
        <v>5578897</v>
      </c>
      <c r="H295" s="562"/>
      <c r="I295" s="447">
        <f t="shared" si="2"/>
        <v>5578897</v>
      </c>
    </row>
    <row r="296" spans="1:9" ht="15">
      <c r="A296" s="475" t="s">
        <v>967</v>
      </c>
      <c r="B296" s="445" t="s">
        <v>1205</v>
      </c>
      <c r="C296" s="445" t="s">
        <v>710</v>
      </c>
      <c r="D296" s="445" t="s">
        <v>635</v>
      </c>
      <c r="E296" s="474" t="s">
        <v>970</v>
      </c>
      <c r="F296" s="456"/>
      <c r="G296" s="553">
        <f>G297</f>
        <v>0</v>
      </c>
      <c r="H296" s="554"/>
      <c r="I296" s="447">
        <f t="shared" si="2"/>
        <v>0</v>
      </c>
    </row>
    <row r="297" spans="1:9" ht="15">
      <c r="A297" s="502" t="s">
        <v>814</v>
      </c>
      <c r="B297" s="445" t="s">
        <v>1205</v>
      </c>
      <c r="C297" s="445" t="s">
        <v>710</v>
      </c>
      <c r="D297" s="445" t="s">
        <v>635</v>
      </c>
      <c r="E297" s="474" t="s">
        <v>970</v>
      </c>
      <c r="F297" s="456" t="s">
        <v>815</v>
      </c>
      <c r="G297" s="553">
        <f>15000-15000</f>
        <v>0</v>
      </c>
      <c r="H297" s="562"/>
      <c r="I297" s="447">
        <f t="shared" si="2"/>
        <v>0</v>
      </c>
    </row>
    <row r="298" spans="1:9" ht="38.25">
      <c r="A298" s="496" t="s">
        <v>971</v>
      </c>
      <c r="B298" s="445" t="s">
        <v>1205</v>
      </c>
      <c r="C298" s="445" t="s">
        <v>710</v>
      </c>
      <c r="D298" s="445" t="s">
        <v>635</v>
      </c>
      <c r="E298" s="474" t="s">
        <v>972</v>
      </c>
      <c r="F298" s="456"/>
      <c r="G298" s="553">
        <f>G299</f>
        <v>230676.58</v>
      </c>
      <c r="H298" s="554"/>
      <c r="I298" s="447">
        <f t="shared" si="2"/>
        <v>230676.58</v>
      </c>
    </row>
    <row r="299" spans="1:9" ht="15">
      <c r="A299" s="502" t="s">
        <v>814</v>
      </c>
      <c r="B299" s="445" t="s">
        <v>1205</v>
      </c>
      <c r="C299" s="445" t="s">
        <v>710</v>
      </c>
      <c r="D299" s="445" t="s">
        <v>635</v>
      </c>
      <c r="E299" s="474" t="s">
        <v>972</v>
      </c>
      <c r="F299" s="456" t="s">
        <v>815</v>
      </c>
      <c r="G299" s="553">
        <f>229729.58+947</f>
        <v>230676.58</v>
      </c>
      <c r="H299" s="562"/>
      <c r="I299" s="447">
        <f t="shared" si="2"/>
        <v>230676.58</v>
      </c>
    </row>
    <row r="300" spans="1:9" ht="24">
      <c r="A300" s="505" t="s">
        <v>973</v>
      </c>
      <c r="B300" s="445" t="s">
        <v>1205</v>
      </c>
      <c r="C300" s="445" t="s">
        <v>710</v>
      </c>
      <c r="D300" s="445" t="s">
        <v>635</v>
      </c>
      <c r="E300" s="474" t="s">
        <v>974</v>
      </c>
      <c r="F300" s="456"/>
      <c r="G300" s="553">
        <f>G301</f>
        <v>1300852</v>
      </c>
      <c r="H300" s="554"/>
      <c r="I300" s="447">
        <f t="shared" si="2"/>
        <v>1300852</v>
      </c>
    </row>
    <row r="301" spans="1:9" ht="15">
      <c r="A301" s="502" t="s">
        <v>814</v>
      </c>
      <c r="B301" s="445" t="s">
        <v>1205</v>
      </c>
      <c r="C301" s="445" t="s">
        <v>710</v>
      </c>
      <c r="D301" s="445" t="s">
        <v>635</v>
      </c>
      <c r="E301" s="474" t="s">
        <v>974</v>
      </c>
      <c r="F301" s="456" t="s">
        <v>815</v>
      </c>
      <c r="G301" s="553">
        <f>1300852</f>
        <v>1300852</v>
      </c>
      <c r="H301" s="562"/>
      <c r="I301" s="447">
        <f t="shared" si="2"/>
        <v>1300852</v>
      </c>
    </row>
    <row r="302" spans="1:9" ht="39">
      <c r="A302" s="452" t="s">
        <v>962</v>
      </c>
      <c r="B302" s="445" t="s">
        <v>1205</v>
      </c>
      <c r="C302" s="445" t="s">
        <v>710</v>
      </c>
      <c r="D302" s="445" t="s">
        <v>635</v>
      </c>
      <c r="E302" s="474" t="s">
        <v>975</v>
      </c>
      <c r="F302" s="456"/>
      <c r="G302" s="553">
        <f>G303</f>
        <v>615000</v>
      </c>
      <c r="H302" s="562"/>
      <c r="I302" s="447">
        <f t="shared" si="2"/>
        <v>615000</v>
      </c>
    </row>
    <row r="303" spans="1:9" ht="15">
      <c r="A303" s="502" t="s">
        <v>814</v>
      </c>
      <c r="B303" s="445" t="s">
        <v>1205</v>
      </c>
      <c r="C303" s="445" t="s">
        <v>710</v>
      </c>
      <c r="D303" s="445" t="s">
        <v>635</v>
      </c>
      <c r="E303" s="474" t="s">
        <v>975</v>
      </c>
      <c r="F303" s="456" t="s">
        <v>815</v>
      </c>
      <c r="G303" s="575">
        <f>600000+15000</f>
        <v>615000</v>
      </c>
      <c r="H303" s="554"/>
      <c r="I303" s="447">
        <f t="shared" si="2"/>
        <v>615000</v>
      </c>
    </row>
    <row r="304" spans="1:9" ht="15">
      <c r="A304" s="502" t="s">
        <v>976</v>
      </c>
      <c r="B304" s="445" t="s">
        <v>1205</v>
      </c>
      <c r="C304" s="445" t="s">
        <v>714</v>
      </c>
      <c r="D304" s="445"/>
      <c r="E304" s="474"/>
      <c r="F304" s="456"/>
      <c r="G304" s="575">
        <f>G305</f>
        <v>300000</v>
      </c>
      <c r="H304" s="554"/>
      <c r="I304" s="447">
        <f t="shared" si="2"/>
        <v>300000</v>
      </c>
    </row>
    <row r="305" spans="1:9" ht="15">
      <c r="A305" s="506" t="s">
        <v>977</v>
      </c>
      <c r="B305" s="445" t="s">
        <v>1205</v>
      </c>
      <c r="C305" s="445" t="s">
        <v>714</v>
      </c>
      <c r="D305" s="445" t="s">
        <v>710</v>
      </c>
      <c r="E305" s="474"/>
      <c r="F305" s="456"/>
      <c r="G305" s="575">
        <f>G306</f>
        <v>300000</v>
      </c>
      <c r="H305" s="554"/>
      <c r="I305" s="447">
        <f t="shared" si="2"/>
        <v>300000</v>
      </c>
    </row>
    <row r="306" spans="1:9" ht="15">
      <c r="A306" s="506" t="s">
        <v>698</v>
      </c>
      <c r="B306" s="445" t="s">
        <v>1205</v>
      </c>
      <c r="C306" s="445" t="s">
        <v>714</v>
      </c>
      <c r="D306" s="445" t="s">
        <v>710</v>
      </c>
      <c r="E306" s="474" t="s">
        <v>699</v>
      </c>
      <c r="F306" s="456"/>
      <c r="G306" s="575">
        <f>G307</f>
        <v>300000</v>
      </c>
      <c r="H306" s="554"/>
      <c r="I306" s="447">
        <f t="shared" si="2"/>
        <v>300000</v>
      </c>
    </row>
    <row r="307" spans="1:9" ht="15">
      <c r="A307" s="451" t="s">
        <v>705</v>
      </c>
      <c r="B307" s="445" t="s">
        <v>1205</v>
      </c>
      <c r="C307" s="445" t="s">
        <v>714</v>
      </c>
      <c r="D307" s="445" t="s">
        <v>710</v>
      </c>
      <c r="E307" s="474" t="s">
        <v>706</v>
      </c>
      <c r="F307" s="456"/>
      <c r="G307" s="575">
        <f>G308</f>
        <v>300000</v>
      </c>
      <c r="H307" s="554"/>
      <c r="I307" s="447">
        <f>G307+H307</f>
        <v>300000</v>
      </c>
    </row>
    <row r="308" spans="1:9" ht="15">
      <c r="A308" s="451" t="s">
        <v>978</v>
      </c>
      <c r="B308" s="445" t="s">
        <v>1205</v>
      </c>
      <c r="C308" s="445" t="s">
        <v>714</v>
      </c>
      <c r="D308" s="445" t="s">
        <v>710</v>
      </c>
      <c r="E308" s="474" t="s">
        <v>979</v>
      </c>
      <c r="F308" s="456"/>
      <c r="G308" s="575">
        <f>G309</f>
        <v>300000</v>
      </c>
      <c r="H308" s="554"/>
      <c r="I308" s="447">
        <f>G308+H308</f>
        <v>300000</v>
      </c>
    </row>
    <row r="309" spans="1:9" ht="26.25">
      <c r="A309" s="454" t="s">
        <v>654</v>
      </c>
      <c r="B309" s="445" t="s">
        <v>1205</v>
      </c>
      <c r="C309" s="445" t="s">
        <v>714</v>
      </c>
      <c r="D309" s="445" t="s">
        <v>710</v>
      </c>
      <c r="E309" s="474" t="s">
        <v>979</v>
      </c>
      <c r="F309" s="456" t="s">
        <v>655</v>
      </c>
      <c r="G309" s="575">
        <v>300000</v>
      </c>
      <c r="H309" s="554"/>
      <c r="I309" s="447">
        <f>G309+H309</f>
        <v>300000</v>
      </c>
    </row>
    <row r="310" spans="1:9" ht="13.5" customHeight="1">
      <c r="A310" s="492" t="s">
        <v>980</v>
      </c>
      <c r="B310" s="445" t="s">
        <v>1205</v>
      </c>
      <c r="C310" s="445" t="s">
        <v>721</v>
      </c>
      <c r="D310" s="445"/>
      <c r="E310" s="474"/>
      <c r="F310" s="481"/>
      <c r="G310" s="553">
        <f>G311</f>
        <v>1080051</v>
      </c>
      <c r="H310" s="554"/>
      <c r="I310" s="447">
        <f>G310+H310</f>
        <v>1080051</v>
      </c>
    </row>
    <row r="311" spans="1:9" ht="15">
      <c r="A311" s="451" t="s">
        <v>1214</v>
      </c>
      <c r="B311" s="445" t="s">
        <v>1205</v>
      </c>
      <c r="C311" s="445" t="s">
        <v>721</v>
      </c>
      <c r="D311" s="445" t="s">
        <v>721</v>
      </c>
      <c r="E311" s="445"/>
      <c r="F311" s="446"/>
      <c r="G311" s="553">
        <f>G312</f>
        <v>1080051</v>
      </c>
      <c r="H311" s="554"/>
      <c r="I311" s="447">
        <f>G311+H311</f>
        <v>1080051</v>
      </c>
    </row>
    <row r="312" spans="1:9" ht="57" customHeight="1">
      <c r="A312" s="466" t="s">
        <v>1044</v>
      </c>
      <c r="B312" s="445" t="s">
        <v>1205</v>
      </c>
      <c r="C312" s="445" t="s">
        <v>721</v>
      </c>
      <c r="D312" s="445" t="s">
        <v>721</v>
      </c>
      <c r="E312" s="474" t="s">
        <v>1045</v>
      </c>
      <c r="F312" s="446"/>
      <c r="G312" s="553">
        <f>G313+G318</f>
        <v>1080051</v>
      </c>
      <c r="H312" s="554"/>
      <c r="I312" s="447">
        <f aca="true" t="shared" si="3" ref="I312:I381">G312+H312</f>
        <v>1080051</v>
      </c>
    </row>
    <row r="313" spans="1:9" ht="76.5" customHeight="1">
      <c r="A313" s="466" t="s">
        <v>1046</v>
      </c>
      <c r="B313" s="445" t="s">
        <v>1205</v>
      </c>
      <c r="C313" s="457" t="s">
        <v>721</v>
      </c>
      <c r="D313" s="457" t="s">
        <v>721</v>
      </c>
      <c r="E313" s="482" t="s">
        <v>1047</v>
      </c>
      <c r="F313" s="483"/>
      <c r="G313" s="555">
        <f>G314</f>
        <v>105000</v>
      </c>
      <c r="H313" s="554"/>
      <c r="I313" s="447">
        <f t="shared" si="3"/>
        <v>105000</v>
      </c>
    </row>
    <row r="314" spans="1:9" ht="39.75" customHeight="1">
      <c r="A314" s="466" t="s">
        <v>1048</v>
      </c>
      <c r="B314" s="445" t="s">
        <v>1205</v>
      </c>
      <c r="C314" s="445" t="s">
        <v>721</v>
      </c>
      <c r="D314" s="445" t="s">
        <v>721</v>
      </c>
      <c r="E314" s="474" t="s">
        <v>1049</v>
      </c>
      <c r="F314" s="481"/>
      <c r="G314" s="553">
        <f>G315</f>
        <v>105000</v>
      </c>
      <c r="H314" s="554"/>
      <c r="I314" s="447">
        <f t="shared" si="3"/>
        <v>105000</v>
      </c>
    </row>
    <row r="315" spans="1:9" ht="19.5" customHeight="1">
      <c r="A315" s="466" t="s">
        <v>1050</v>
      </c>
      <c r="B315" s="445" t="s">
        <v>1205</v>
      </c>
      <c r="C315" s="445" t="s">
        <v>721</v>
      </c>
      <c r="D315" s="445" t="s">
        <v>721</v>
      </c>
      <c r="E315" s="474" t="s">
        <v>1051</v>
      </c>
      <c r="F315" s="481"/>
      <c r="G315" s="553">
        <f>G316+G317</f>
        <v>105000</v>
      </c>
      <c r="H315" s="554"/>
      <c r="I315" s="447">
        <f t="shared" si="3"/>
        <v>105000</v>
      </c>
    </row>
    <row r="316" spans="1:9" ht="27.75" customHeight="1">
      <c r="A316" s="454" t="s">
        <v>654</v>
      </c>
      <c r="B316" s="445" t="s">
        <v>1205</v>
      </c>
      <c r="C316" s="445" t="s">
        <v>721</v>
      </c>
      <c r="D316" s="445" t="s">
        <v>721</v>
      </c>
      <c r="E316" s="474" t="s">
        <v>1051</v>
      </c>
      <c r="F316" s="481" t="s">
        <v>655</v>
      </c>
      <c r="G316" s="553">
        <f>85000-20000+20000</f>
        <v>85000</v>
      </c>
      <c r="H316" s="562"/>
      <c r="I316" s="447">
        <f t="shared" si="3"/>
        <v>85000</v>
      </c>
    </row>
    <row r="317" spans="1:9" ht="19.5" customHeight="1">
      <c r="A317" s="451" t="s">
        <v>827</v>
      </c>
      <c r="B317" s="445" t="s">
        <v>1205</v>
      </c>
      <c r="C317" s="445" t="s">
        <v>721</v>
      </c>
      <c r="D317" s="445" t="s">
        <v>721</v>
      </c>
      <c r="E317" s="474" t="s">
        <v>1051</v>
      </c>
      <c r="F317" s="481" t="s">
        <v>828</v>
      </c>
      <c r="G317" s="553">
        <f>20000</f>
        <v>20000</v>
      </c>
      <c r="H317" s="562"/>
      <c r="I317" s="447">
        <f t="shared" si="3"/>
        <v>20000</v>
      </c>
    </row>
    <row r="318" spans="1:9" ht="55.5" customHeight="1">
      <c r="A318" s="490" t="s">
        <v>1052</v>
      </c>
      <c r="B318" s="445" t="s">
        <v>1205</v>
      </c>
      <c r="C318" s="445" t="s">
        <v>721</v>
      </c>
      <c r="D318" s="445" t="s">
        <v>721</v>
      </c>
      <c r="E318" s="474" t="s">
        <v>1053</v>
      </c>
      <c r="F318" s="481"/>
      <c r="G318" s="553">
        <f>G319</f>
        <v>975051</v>
      </c>
      <c r="H318" s="554"/>
      <c r="I318" s="447">
        <f t="shared" si="3"/>
        <v>975051</v>
      </c>
    </row>
    <row r="319" spans="1:9" ht="24.75" customHeight="1">
      <c r="A319" s="466" t="s">
        <v>1054</v>
      </c>
      <c r="B319" s="445" t="s">
        <v>1205</v>
      </c>
      <c r="C319" s="445" t="s">
        <v>721</v>
      </c>
      <c r="D319" s="445" t="s">
        <v>721</v>
      </c>
      <c r="E319" s="474" t="s">
        <v>1055</v>
      </c>
      <c r="F319" s="481"/>
      <c r="G319" s="553">
        <f>G320+G322+G324</f>
        <v>975051</v>
      </c>
      <c r="H319" s="554"/>
      <c r="I319" s="447">
        <f t="shared" si="3"/>
        <v>975051</v>
      </c>
    </row>
    <row r="320" spans="1:9" ht="15">
      <c r="A320" s="451" t="s">
        <v>1056</v>
      </c>
      <c r="B320" s="445" t="s">
        <v>1205</v>
      </c>
      <c r="C320" s="445" t="s">
        <v>721</v>
      </c>
      <c r="D320" s="445" t="s">
        <v>721</v>
      </c>
      <c r="E320" s="474" t="s">
        <v>1057</v>
      </c>
      <c r="F320" s="446"/>
      <c r="G320" s="553">
        <f>G321</f>
        <v>378378</v>
      </c>
      <c r="H320" s="554"/>
      <c r="I320" s="447">
        <f t="shared" si="3"/>
        <v>378378</v>
      </c>
    </row>
    <row r="321" spans="1:9" ht="15">
      <c r="A321" s="451" t="s">
        <v>827</v>
      </c>
      <c r="B321" s="445" t="s">
        <v>1205</v>
      </c>
      <c r="C321" s="445" t="s">
        <v>721</v>
      </c>
      <c r="D321" s="445" t="s">
        <v>721</v>
      </c>
      <c r="E321" s="474" t="s">
        <v>1057</v>
      </c>
      <c r="F321" s="481" t="s">
        <v>828</v>
      </c>
      <c r="G321" s="553">
        <f>378378</f>
        <v>378378</v>
      </c>
      <c r="H321" s="554"/>
      <c r="I321" s="447">
        <f t="shared" si="3"/>
        <v>378378</v>
      </c>
    </row>
    <row r="322" spans="1:9" ht="18.75" customHeight="1">
      <c r="A322" s="510" t="s">
        <v>1058</v>
      </c>
      <c r="B322" s="445" t="s">
        <v>1205</v>
      </c>
      <c r="C322" s="445" t="s">
        <v>721</v>
      </c>
      <c r="D322" s="445" t="s">
        <v>721</v>
      </c>
      <c r="E322" s="474" t="s">
        <v>1059</v>
      </c>
      <c r="F322" s="446"/>
      <c r="G322" s="553">
        <f>G323</f>
        <v>582120</v>
      </c>
      <c r="H322" s="554"/>
      <c r="I322" s="447">
        <f>G322+H322</f>
        <v>582120</v>
      </c>
    </row>
    <row r="323" spans="1:9" ht="15">
      <c r="A323" s="451" t="s">
        <v>827</v>
      </c>
      <c r="B323" s="445" t="s">
        <v>1205</v>
      </c>
      <c r="C323" s="445" t="s">
        <v>721</v>
      </c>
      <c r="D323" s="445" t="s">
        <v>721</v>
      </c>
      <c r="E323" s="474" t="s">
        <v>1059</v>
      </c>
      <c r="F323" s="481" t="s">
        <v>828</v>
      </c>
      <c r="G323" s="553">
        <f>618000-20412-15468</f>
        <v>582120</v>
      </c>
      <c r="H323" s="562"/>
      <c r="I323" s="447">
        <f>G323+H323</f>
        <v>582120</v>
      </c>
    </row>
    <row r="324" spans="1:9" ht="18.75" customHeight="1">
      <c r="A324" s="510" t="s">
        <v>1060</v>
      </c>
      <c r="B324" s="445" t="s">
        <v>1205</v>
      </c>
      <c r="C324" s="445" t="s">
        <v>721</v>
      </c>
      <c r="D324" s="445" t="s">
        <v>721</v>
      </c>
      <c r="E324" s="474" t="s">
        <v>1061</v>
      </c>
      <c r="F324" s="446"/>
      <c r="G324" s="553">
        <f>G325</f>
        <v>14553</v>
      </c>
      <c r="H324" s="554"/>
      <c r="I324" s="447">
        <f>G324+H324</f>
        <v>14553</v>
      </c>
    </row>
    <row r="325" spans="1:9" ht="15">
      <c r="A325" s="451" t="s">
        <v>827</v>
      </c>
      <c r="B325" s="445" t="s">
        <v>1205</v>
      </c>
      <c r="C325" s="445" t="s">
        <v>721</v>
      </c>
      <c r="D325" s="445" t="s">
        <v>721</v>
      </c>
      <c r="E325" s="474" t="s">
        <v>1061</v>
      </c>
      <c r="F325" s="481" t="s">
        <v>828</v>
      </c>
      <c r="G325" s="553">
        <f>14553</f>
        <v>14553</v>
      </c>
      <c r="H325" s="562"/>
      <c r="I325" s="447">
        <f>G325+H325</f>
        <v>14553</v>
      </c>
    </row>
    <row r="326" spans="1:9" ht="15">
      <c r="A326" s="451" t="s">
        <v>1114</v>
      </c>
      <c r="B326" s="445" t="s">
        <v>1205</v>
      </c>
      <c r="C326" s="445" t="s">
        <v>832</v>
      </c>
      <c r="D326" s="445"/>
      <c r="E326" s="474"/>
      <c r="F326" s="481"/>
      <c r="G326" s="553">
        <f>G327</f>
        <v>280884</v>
      </c>
      <c r="H326" s="554"/>
      <c r="I326" s="447">
        <f t="shared" si="3"/>
        <v>280884</v>
      </c>
    </row>
    <row r="327" spans="1:9" ht="15">
      <c r="A327" s="515" t="s">
        <v>1115</v>
      </c>
      <c r="B327" s="445" t="s">
        <v>1205</v>
      </c>
      <c r="C327" s="445" t="s">
        <v>832</v>
      </c>
      <c r="D327" s="445" t="s">
        <v>721</v>
      </c>
      <c r="E327" s="445"/>
      <c r="F327" s="446"/>
      <c r="G327" s="553">
        <f>G328</f>
        <v>280884</v>
      </c>
      <c r="H327" s="554"/>
      <c r="I327" s="447">
        <f t="shared" si="3"/>
        <v>280884</v>
      </c>
    </row>
    <row r="328" spans="1:9" ht="15">
      <c r="A328" s="451" t="s">
        <v>698</v>
      </c>
      <c r="B328" s="445" t="s">
        <v>1205</v>
      </c>
      <c r="C328" s="445" t="s">
        <v>832</v>
      </c>
      <c r="D328" s="445" t="s">
        <v>721</v>
      </c>
      <c r="E328" s="470" t="s">
        <v>699</v>
      </c>
      <c r="F328" s="456"/>
      <c r="G328" s="553">
        <f>G329</f>
        <v>280884</v>
      </c>
      <c r="H328" s="554"/>
      <c r="I328" s="447">
        <f t="shared" si="3"/>
        <v>280884</v>
      </c>
    </row>
    <row r="329" spans="1:9" ht="15">
      <c r="A329" s="451" t="s">
        <v>705</v>
      </c>
      <c r="B329" s="445" t="s">
        <v>1205</v>
      </c>
      <c r="C329" s="445" t="s">
        <v>832</v>
      </c>
      <c r="D329" s="445" t="s">
        <v>721</v>
      </c>
      <c r="E329" s="445" t="s">
        <v>706</v>
      </c>
      <c r="F329" s="446"/>
      <c r="G329" s="553">
        <f>G330+G332</f>
        <v>280884</v>
      </c>
      <c r="H329" s="554"/>
      <c r="I329" s="447">
        <f t="shared" si="3"/>
        <v>280884</v>
      </c>
    </row>
    <row r="330" spans="1:9" ht="25.5">
      <c r="A330" s="559" t="s">
        <v>1116</v>
      </c>
      <c r="B330" s="445" t="s">
        <v>1205</v>
      </c>
      <c r="C330" s="445" t="s">
        <v>832</v>
      </c>
      <c r="D330" s="445" t="s">
        <v>721</v>
      </c>
      <c r="E330" s="445" t="s">
        <v>1117</v>
      </c>
      <c r="F330" s="446"/>
      <c r="G330" s="553">
        <f>G331</f>
        <v>280884</v>
      </c>
      <c r="H330" s="554"/>
      <c r="I330" s="447">
        <f t="shared" si="3"/>
        <v>280884</v>
      </c>
    </row>
    <row r="331" spans="1:9" ht="26.25">
      <c r="A331" s="454" t="s">
        <v>654</v>
      </c>
      <c r="B331" s="445" t="s">
        <v>1205</v>
      </c>
      <c r="C331" s="445" t="s">
        <v>832</v>
      </c>
      <c r="D331" s="445" t="s">
        <v>721</v>
      </c>
      <c r="E331" s="445" t="s">
        <v>1117</v>
      </c>
      <c r="F331" s="456" t="s">
        <v>655</v>
      </c>
      <c r="G331" s="553">
        <f>5758+275126</f>
        <v>280884</v>
      </c>
      <c r="H331" s="562"/>
      <c r="I331" s="447">
        <f t="shared" si="3"/>
        <v>280884</v>
      </c>
    </row>
    <row r="332" spans="1:9" ht="46.5" customHeight="1" hidden="1">
      <c r="A332" s="466" t="s">
        <v>1215</v>
      </c>
      <c r="B332" s="445" t="s">
        <v>1205</v>
      </c>
      <c r="C332" s="445" t="s">
        <v>832</v>
      </c>
      <c r="D332" s="445" t="s">
        <v>721</v>
      </c>
      <c r="E332" s="445" t="s">
        <v>708</v>
      </c>
      <c r="F332" s="446"/>
      <c r="G332" s="553">
        <f>G333</f>
        <v>0</v>
      </c>
      <c r="H332" s="554"/>
      <c r="I332" s="447">
        <f t="shared" si="3"/>
        <v>0</v>
      </c>
    </row>
    <row r="333" spans="1:9" ht="26.25" hidden="1">
      <c r="A333" s="454" t="s">
        <v>654</v>
      </c>
      <c r="B333" s="445" t="s">
        <v>1205</v>
      </c>
      <c r="C333" s="445" t="s">
        <v>832</v>
      </c>
      <c r="D333" s="445" t="s">
        <v>721</v>
      </c>
      <c r="E333" s="445" t="s">
        <v>708</v>
      </c>
      <c r="F333" s="456" t="s">
        <v>643</v>
      </c>
      <c r="G333" s="553"/>
      <c r="H333" s="554"/>
      <c r="I333" s="447">
        <f t="shared" si="3"/>
        <v>0</v>
      </c>
    </row>
    <row r="334" spans="1:9" ht="17.25" customHeight="1">
      <c r="A334" s="451" t="s">
        <v>1118</v>
      </c>
      <c r="B334" s="445" t="s">
        <v>1205</v>
      </c>
      <c r="C334" s="445" t="s">
        <v>1119</v>
      </c>
      <c r="D334" s="445"/>
      <c r="E334" s="474"/>
      <c r="F334" s="481"/>
      <c r="G334" s="553">
        <f>G335+G341+G357</f>
        <v>12722925</v>
      </c>
      <c r="H334" s="554"/>
      <c r="I334" s="447">
        <f t="shared" si="3"/>
        <v>12722925</v>
      </c>
    </row>
    <row r="335" spans="1:9" ht="15">
      <c r="A335" s="451" t="s">
        <v>1120</v>
      </c>
      <c r="B335" s="445" t="s">
        <v>1205</v>
      </c>
      <c r="C335" s="445" t="s">
        <v>1119</v>
      </c>
      <c r="D335" s="445" t="s">
        <v>633</v>
      </c>
      <c r="E335" s="445"/>
      <c r="F335" s="446"/>
      <c r="G335" s="553">
        <f>G336</f>
        <v>268900</v>
      </c>
      <c r="H335" s="554"/>
      <c r="I335" s="447">
        <f t="shared" si="3"/>
        <v>268900</v>
      </c>
    </row>
    <row r="336" spans="1:9" ht="34.5" customHeight="1">
      <c r="A336" s="451" t="s">
        <v>1121</v>
      </c>
      <c r="B336" s="445" t="s">
        <v>1205</v>
      </c>
      <c r="C336" s="445" t="s">
        <v>1119</v>
      </c>
      <c r="D336" s="445" t="s">
        <v>633</v>
      </c>
      <c r="E336" s="445" t="s">
        <v>660</v>
      </c>
      <c r="F336" s="446"/>
      <c r="G336" s="553">
        <f>G337</f>
        <v>268900</v>
      </c>
      <c r="H336" s="554"/>
      <c r="I336" s="447">
        <f t="shared" si="3"/>
        <v>268900</v>
      </c>
    </row>
    <row r="337" spans="1:9" ht="51.75" customHeight="1">
      <c r="A337" s="576" t="s">
        <v>1122</v>
      </c>
      <c r="B337" s="445" t="s">
        <v>1205</v>
      </c>
      <c r="C337" s="457" t="s">
        <v>1119</v>
      </c>
      <c r="D337" s="457" t="s">
        <v>633</v>
      </c>
      <c r="E337" s="457" t="s">
        <v>738</v>
      </c>
      <c r="F337" s="464"/>
      <c r="G337" s="555">
        <f>G339</f>
        <v>268900</v>
      </c>
      <c r="H337" s="554"/>
      <c r="I337" s="447">
        <f t="shared" si="3"/>
        <v>268900</v>
      </c>
    </row>
    <row r="338" spans="1:9" ht="30.75" customHeight="1">
      <c r="A338" s="480" t="s">
        <v>1123</v>
      </c>
      <c r="B338" s="445" t="s">
        <v>1205</v>
      </c>
      <c r="C338" s="445" t="s">
        <v>1119</v>
      </c>
      <c r="D338" s="445" t="s">
        <v>633</v>
      </c>
      <c r="E338" s="445" t="s">
        <v>1124</v>
      </c>
      <c r="F338" s="446"/>
      <c r="G338" s="553">
        <f>G339</f>
        <v>268900</v>
      </c>
      <c r="H338" s="554"/>
      <c r="I338" s="447">
        <f t="shared" si="3"/>
        <v>268900</v>
      </c>
    </row>
    <row r="339" spans="1:9" ht="21.75" customHeight="1">
      <c r="A339" s="576" t="s">
        <v>1125</v>
      </c>
      <c r="B339" s="445" t="s">
        <v>1205</v>
      </c>
      <c r="C339" s="445" t="s">
        <v>1126</v>
      </c>
      <c r="D339" s="445" t="s">
        <v>633</v>
      </c>
      <c r="E339" s="445" t="s">
        <v>1127</v>
      </c>
      <c r="F339" s="446"/>
      <c r="G339" s="553">
        <f>G340</f>
        <v>268900</v>
      </c>
      <c r="H339" s="554"/>
      <c r="I339" s="447">
        <f t="shared" si="3"/>
        <v>268900</v>
      </c>
    </row>
    <row r="340" spans="1:9" ht="15">
      <c r="A340" s="486" t="s">
        <v>827</v>
      </c>
      <c r="B340" s="445" t="s">
        <v>1205</v>
      </c>
      <c r="C340" s="445" t="s">
        <v>1126</v>
      </c>
      <c r="D340" s="445" t="s">
        <v>633</v>
      </c>
      <c r="E340" s="445" t="s">
        <v>1127</v>
      </c>
      <c r="F340" s="446" t="s">
        <v>828</v>
      </c>
      <c r="G340" s="553">
        <f>148731+120169</f>
        <v>268900</v>
      </c>
      <c r="H340" s="562"/>
      <c r="I340" s="447">
        <f t="shared" si="3"/>
        <v>268900</v>
      </c>
    </row>
    <row r="341" spans="1:9" ht="17.25" customHeight="1">
      <c r="A341" s="451" t="s">
        <v>1128</v>
      </c>
      <c r="B341" s="445" t="s">
        <v>1205</v>
      </c>
      <c r="C341" s="445">
        <v>10</v>
      </c>
      <c r="D341" s="445" t="s">
        <v>645</v>
      </c>
      <c r="E341" s="445"/>
      <c r="F341" s="446"/>
      <c r="G341" s="553">
        <f>G342</f>
        <v>10897141</v>
      </c>
      <c r="H341" s="554"/>
      <c r="I341" s="447">
        <f t="shared" si="3"/>
        <v>10897141</v>
      </c>
    </row>
    <row r="342" spans="1:9" ht="44.25" customHeight="1">
      <c r="A342" s="451" t="s">
        <v>1121</v>
      </c>
      <c r="B342" s="445" t="s">
        <v>1205</v>
      </c>
      <c r="C342" s="445">
        <v>10</v>
      </c>
      <c r="D342" s="445" t="s">
        <v>645</v>
      </c>
      <c r="E342" s="445" t="s">
        <v>660</v>
      </c>
      <c r="F342" s="446"/>
      <c r="G342" s="553">
        <f>G343</f>
        <v>10897141</v>
      </c>
      <c r="H342" s="554"/>
      <c r="I342" s="447">
        <f t="shared" si="3"/>
        <v>10897141</v>
      </c>
    </row>
    <row r="343" spans="1:9" ht="59.25" customHeight="1">
      <c r="A343" s="473" t="s">
        <v>1134</v>
      </c>
      <c r="B343" s="445" t="s">
        <v>1205</v>
      </c>
      <c r="C343" s="457">
        <v>10</v>
      </c>
      <c r="D343" s="457" t="s">
        <v>645</v>
      </c>
      <c r="E343" s="457" t="s">
        <v>738</v>
      </c>
      <c r="F343" s="464"/>
      <c r="G343" s="555">
        <f>G344</f>
        <v>10897141</v>
      </c>
      <c r="H343" s="554"/>
      <c r="I343" s="447">
        <f t="shared" si="3"/>
        <v>10897141</v>
      </c>
    </row>
    <row r="344" spans="1:9" ht="35.25" customHeight="1">
      <c r="A344" s="473" t="s">
        <v>1135</v>
      </c>
      <c r="B344" s="445" t="s">
        <v>1205</v>
      </c>
      <c r="C344" s="445">
        <v>10</v>
      </c>
      <c r="D344" s="445" t="s">
        <v>645</v>
      </c>
      <c r="E344" s="445" t="s">
        <v>1136</v>
      </c>
      <c r="F344" s="446"/>
      <c r="G344" s="553">
        <f>G345+G348+G351+G354</f>
        <v>10897141</v>
      </c>
      <c r="H344" s="554"/>
      <c r="I344" s="447">
        <f t="shared" si="3"/>
        <v>10897141</v>
      </c>
    </row>
    <row r="345" spans="1:9" ht="26.25">
      <c r="A345" s="452" t="s">
        <v>1137</v>
      </c>
      <c r="B345" s="445" t="s">
        <v>1205</v>
      </c>
      <c r="C345" s="445">
        <v>10</v>
      </c>
      <c r="D345" s="445" t="s">
        <v>645</v>
      </c>
      <c r="E345" s="445" t="s">
        <v>1138</v>
      </c>
      <c r="F345" s="446"/>
      <c r="G345" s="553">
        <f>G347+G346</f>
        <v>63415</v>
      </c>
      <c r="H345" s="554"/>
      <c r="I345" s="447">
        <f t="shared" si="3"/>
        <v>63415</v>
      </c>
    </row>
    <row r="346" spans="1:9" ht="15" customHeight="1">
      <c r="A346" s="454" t="s">
        <v>654</v>
      </c>
      <c r="B346" s="445" t="s">
        <v>1205</v>
      </c>
      <c r="C346" s="445">
        <v>10</v>
      </c>
      <c r="D346" s="445" t="s">
        <v>645</v>
      </c>
      <c r="E346" s="445" t="s">
        <v>1138</v>
      </c>
      <c r="F346" s="446" t="s">
        <v>655</v>
      </c>
      <c r="G346" s="553">
        <v>980</v>
      </c>
      <c r="H346" s="562"/>
      <c r="I346" s="447">
        <f t="shared" si="3"/>
        <v>980</v>
      </c>
    </row>
    <row r="347" spans="1:9" ht="17.25" customHeight="1">
      <c r="A347" s="517" t="s">
        <v>827</v>
      </c>
      <c r="B347" s="445" t="s">
        <v>1205</v>
      </c>
      <c r="C347" s="445">
        <v>10</v>
      </c>
      <c r="D347" s="445" t="s">
        <v>645</v>
      </c>
      <c r="E347" s="445" t="s">
        <v>1138</v>
      </c>
      <c r="F347" s="446" t="s">
        <v>828</v>
      </c>
      <c r="G347" s="553">
        <v>62435</v>
      </c>
      <c r="H347" s="562"/>
      <c r="I347" s="447">
        <f t="shared" si="3"/>
        <v>62435</v>
      </c>
    </row>
    <row r="348" spans="1:9" ht="34.5" customHeight="1">
      <c r="A348" s="452" t="s">
        <v>1139</v>
      </c>
      <c r="B348" s="445" t="s">
        <v>1205</v>
      </c>
      <c r="C348" s="445">
        <v>10</v>
      </c>
      <c r="D348" s="445" t="s">
        <v>645</v>
      </c>
      <c r="E348" s="445" t="s">
        <v>1140</v>
      </c>
      <c r="F348" s="446"/>
      <c r="G348" s="553">
        <f>G350+G349</f>
        <v>295849</v>
      </c>
      <c r="H348" s="554"/>
      <c r="I348" s="447">
        <f t="shared" si="3"/>
        <v>295849</v>
      </c>
    </row>
    <row r="349" spans="1:9" ht="34.5" customHeight="1">
      <c r="A349" s="454" t="s">
        <v>654</v>
      </c>
      <c r="B349" s="445" t="s">
        <v>1205</v>
      </c>
      <c r="C349" s="445">
        <v>10</v>
      </c>
      <c r="D349" s="445" t="s">
        <v>645</v>
      </c>
      <c r="E349" s="445" t="s">
        <v>1140</v>
      </c>
      <c r="F349" s="446" t="s">
        <v>655</v>
      </c>
      <c r="G349" s="553">
        <v>5240</v>
      </c>
      <c r="H349" s="562"/>
      <c r="I349" s="447">
        <f t="shared" si="3"/>
        <v>5240</v>
      </c>
    </row>
    <row r="350" spans="1:9" ht="24.75" customHeight="1">
      <c r="A350" s="517" t="s">
        <v>827</v>
      </c>
      <c r="B350" s="445" t="s">
        <v>1205</v>
      </c>
      <c r="C350" s="445">
        <v>10</v>
      </c>
      <c r="D350" s="445" t="s">
        <v>645</v>
      </c>
      <c r="E350" s="445" t="s">
        <v>1140</v>
      </c>
      <c r="F350" s="446" t="s">
        <v>828</v>
      </c>
      <c r="G350" s="553">
        <v>290609</v>
      </c>
      <c r="H350" s="562"/>
      <c r="I350" s="447">
        <f t="shared" si="3"/>
        <v>290609</v>
      </c>
    </row>
    <row r="351" spans="1:9" ht="18.75" customHeight="1">
      <c r="A351" s="451" t="s">
        <v>1141</v>
      </c>
      <c r="B351" s="445" t="s">
        <v>1205</v>
      </c>
      <c r="C351" s="445">
        <v>10</v>
      </c>
      <c r="D351" s="445" t="s">
        <v>645</v>
      </c>
      <c r="E351" s="445" t="s">
        <v>1142</v>
      </c>
      <c r="F351" s="446"/>
      <c r="G351" s="553">
        <f>G353+G352</f>
        <v>9062577</v>
      </c>
      <c r="H351" s="554"/>
      <c r="I351" s="447">
        <f t="shared" si="3"/>
        <v>9062577</v>
      </c>
    </row>
    <row r="352" spans="1:9" ht="39.75" customHeight="1">
      <c r="A352" s="454" t="s">
        <v>654</v>
      </c>
      <c r="B352" s="445" t="s">
        <v>1205</v>
      </c>
      <c r="C352" s="445">
        <v>10</v>
      </c>
      <c r="D352" s="445" t="s">
        <v>645</v>
      </c>
      <c r="E352" s="445" t="s">
        <v>1142</v>
      </c>
      <c r="F352" s="446" t="s">
        <v>655</v>
      </c>
      <c r="G352" s="553">
        <v>148440</v>
      </c>
      <c r="H352" s="562"/>
      <c r="I352" s="447">
        <f t="shared" si="3"/>
        <v>148440</v>
      </c>
    </row>
    <row r="353" spans="1:9" ht="20.25" customHeight="1">
      <c r="A353" s="517" t="s">
        <v>827</v>
      </c>
      <c r="B353" s="445" t="s">
        <v>1205</v>
      </c>
      <c r="C353" s="445">
        <v>10</v>
      </c>
      <c r="D353" s="445" t="s">
        <v>645</v>
      </c>
      <c r="E353" s="445" t="s">
        <v>1142</v>
      </c>
      <c r="F353" s="446" t="s">
        <v>828</v>
      </c>
      <c r="G353" s="553">
        <v>8914137</v>
      </c>
      <c r="H353" s="562"/>
      <c r="I353" s="447">
        <f t="shared" si="3"/>
        <v>8914137</v>
      </c>
    </row>
    <row r="354" spans="1:9" s="420" customFormat="1" ht="15">
      <c r="A354" s="451" t="s">
        <v>1143</v>
      </c>
      <c r="B354" s="445" t="s">
        <v>1205</v>
      </c>
      <c r="C354" s="445">
        <v>10</v>
      </c>
      <c r="D354" s="445" t="s">
        <v>645</v>
      </c>
      <c r="E354" s="445" t="s">
        <v>1144</v>
      </c>
      <c r="F354" s="446"/>
      <c r="G354" s="553">
        <f>G356+G355</f>
        <v>1475300</v>
      </c>
      <c r="H354" s="554"/>
      <c r="I354" s="447">
        <f t="shared" si="3"/>
        <v>1475300</v>
      </c>
    </row>
    <row r="355" spans="1:9" ht="26.25">
      <c r="A355" s="454" t="s">
        <v>654</v>
      </c>
      <c r="B355" s="445" t="s">
        <v>1205</v>
      </c>
      <c r="C355" s="445">
        <v>10</v>
      </c>
      <c r="D355" s="445" t="s">
        <v>645</v>
      </c>
      <c r="E355" s="445" t="s">
        <v>1144</v>
      </c>
      <c r="F355" s="446" t="s">
        <v>655</v>
      </c>
      <c r="G355" s="553">
        <v>24490</v>
      </c>
      <c r="H355" s="562"/>
      <c r="I355" s="447">
        <f t="shared" si="3"/>
        <v>24490</v>
      </c>
    </row>
    <row r="356" spans="1:9" ht="15">
      <c r="A356" s="517" t="s">
        <v>827</v>
      </c>
      <c r="B356" s="445" t="s">
        <v>1205</v>
      </c>
      <c r="C356" s="445">
        <v>10</v>
      </c>
      <c r="D356" s="445" t="s">
        <v>645</v>
      </c>
      <c r="E356" s="445" t="s">
        <v>1144</v>
      </c>
      <c r="F356" s="446" t="s">
        <v>828</v>
      </c>
      <c r="G356" s="553">
        <v>1450810</v>
      </c>
      <c r="H356" s="562"/>
      <c r="I356" s="447">
        <f t="shared" si="3"/>
        <v>1450810</v>
      </c>
    </row>
    <row r="357" spans="1:9" ht="24" customHeight="1">
      <c r="A357" s="451" t="s">
        <v>1153</v>
      </c>
      <c r="B357" s="445" t="s">
        <v>1205</v>
      </c>
      <c r="C357" s="445">
        <v>10</v>
      </c>
      <c r="D357" s="445" t="s">
        <v>658</v>
      </c>
      <c r="E357" s="445"/>
      <c r="F357" s="446"/>
      <c r="G357" s="553">
        <f>G358</f>
        <v>1556884</v>
      </c>
      <c r="H357" s="553">
        <f>H358</f>
        <v>0</v>
      </c>
      <c r="I357" s="447">
        <f t="shared" si="3"/>
        <v>1556884</v>
      </c>
    </row>
    <row r="358" spans="1:9" ht="44.25" customHeight="1">
      <c r="A358" s="451" t="s">
        <v>736</v>
      </c>
      <c r="B358" s="445" t="s">
        <v>1205</v>
      </c>
      <c r="C358" s="445">
        <v>10</v>
      </c>
      <c r="D358" s="445" t="s">
        <v>658</v>
      </c>
      <c r="E358" s="520" t="s">
        <v>660</v>
      </c>
      <c r="F358" s="446"/>
      <c r="G358" s="553">
        <f>G359</f>
        <v>1556884</v>
      </c>
      <c r="H358" s="553">
        <f>H359</f>
        <v>0</v>
      </c>
      <c r="I358" s="447">
        <f t="shared" si="3"/>
        <v>1556884</v>
      </c>
    </row>
    <row r="359" spans="1:9" ht="54.75" customHeight="1">
      <c r="A359" s="473" t="s">
        <v>1134</v>
      </c>
      <c r="B359" s="445" t="s">
        <v>1205</v>
      </c>
      <c r="C359" s="445">
        <v>10</v>
      </c>
      <c r="D359" s="445" t="s">
        <v>658</v>
      </c>
      <c r="E359" s="520" t="s">
        <v>738</v>
      </c>
      <c r="F359" s="446"/>
      <c r="G359" s="553">
        <f>G360</f>
        <v>1556884</v>
      </c>
      <c r="H359" s="553">
        <f>H361+H362</f>
        <v>0</v>
      </c>
      <c r="I359" s="447">
        <f t="shared" si="3"/>
        <v>1556884</v>
      </c>
    </row>
    <row r="360" spans="1:9" ht="30.75" customHeight="1">
      <c r="A360" s="473" t="s">
        <v>1135</v>
      </c>
      <c r="B360" s="445" t="s">
        <v>1205</v>
      </c>
      <c r="C360" s="445">
        <v>10</v>
      </c>
      <c r="D360" s="445" t="s">
        <v>645</v>
      </c>
      <c r="E360" s="445" t="s">
        <v>1136</v>
      </c>
      <c r="F360" s="446"/>
      <c r="G360" s="553">
        <f>G361+G362</f>
        <v>1556884</v>
      </c>
      <c r="H360" s="577"/>
      <c r="I360" s="447">
        <f t="shared" si="3"/>
        <v>1556884</v>
      </c>
    </row>
    <row r="361" spans="1:9" ht="24" customHeight="1">
      <c r="A361" s="451" t="s">
        <v>1154</v>
      </c>
      <c r="B361" s="445" t="s">
        <v>1205</v>
      </c>
      <c r="C361" s="445" t="s">
        <v>1119</v>
      </c>
      <c r="D361" s="445" t="s">
        <v>658</v>
      </c>
      <c r="E361" s="445" t="s">
        <v>1155</v>
      </c>
      <c r="F361" s="446" t="s">
        <v>655</v>
      </c>
      <c r="G361" s="553">
        <v>280</v>
      </c>
      <c r="H361" s="562"/>
      <c r="I361" s="447">
        <f t="shared" si="3"/>
        <v>280</v>
      </c>
    </row>
    <row r="362" spans="1:9" ht="26.25">
      <c r="A362" s="454" t="s">
        <v>654</v>
      </c>
      <c r="B362" s="445" t="s">
        <v>1205</v>
      </c>
      <c r="C362" s="445" t="s">
        <v>1119</v>
      </c>
      <c r="D362" s="445" t="s">
        <v>658</v>
      </c>
      <c r="E362" s="445" t="s">
        <v>1155</v>
      </c>
      <c r="F362" s="446" t="s">
        <v>828</v>
      </c>
      <c r="G362" s="553">
        <v>1556604</v>
      </c>
      <c r="H362" s="562"/>
      <c r="I362" s="447">
        <f t="shared" si="3"/>
        <v>1556604</v>
      </c>
    </row>
    <row r="363" spans="1:9" ht="15">
      <c r="A363" s="451" t="s">
        <v>1164</v>
      </c>
      <c r="B363" s="445" t="s">
        <v>1205</v>
      </c>
      <c r="C363" s="445" t="s">
        <v>727</v>
      </c>
      <c r="D363" s="445"/>
      <c r="E363" s="445"/>
      <c r="F363" s="446"/>
      <c r="G363" s="553">
        <f>G364</f>
        <v>150000</v>
      </c>
      <c r="H363" s="554"/>
      <c r="I363" s="447">
        <f t="shared" si="3"/>
        <v>150000</v>
      </c>
    </row>
    <row r="364" spans="1:9" ht="15">
      <c r="A364" s="451" t="s">
        <v>1165</v>
      </c>
      <c r="B364" s="445" t="s">
        <v>1205</v>
      </c>
      <c r="C364" s="445" t="s">
        <v>727</v>
      </c>
      <c r="D364" s="445" t="s">
        <v>633</v>
      </c>
      <c r="E364" s="445"/>
      <c r="F364" s="446"/>
      <c r="G364" s="553">
        <f>G365</f>
        <v>150000</v>
      </c>
      <c r="H364" s="554"/>
      <c r="I364" s="447">
        <f t="shared" si="3"/>
        <v>150000</v>
      </c>
    </row>
    <row r="365" spans="1:9" ht="54.75" customHeight="1">
      <c r="A365" s="466" t="s">
        <v>1044</v>
      </c>
      <c r="B365" s="445" t="s">
        <v>1205</v>
      </c>
      <c r="C365" s="445" t="s">
        <v>727</v>
      </c>
      <c r="D365" s="445" t="s">
        <v>633</v>
      </c>
      <c r="E365" s="474" t="s">
        <v>1045</v>
      </c>
      <c r="F365" s="446"/>
      <c r="G365" s="553">
        <f>G366</f>
        <v>150000</v>
      </c>
      <c r="H365" s="554"/>
      <c r="I365" s="447">
        <f t="shared" si="3"/>
        <v>150000</v>
      </c>
    </row>
    <row r="366" spans="1:9" ht="75" customHeight="1">
      <c r="A366" s="490" t="s">
        <v>1166</v>
      </c>
      <c r="B366" s="445" t="s">
        <v>1205</v>
      </c>
      <c r="C366" s="457" t="s">
        <v>727</v>
      </c>
      <c r="D366" s="457" t="s">
        <v>633</v>
      </c>
      <c r="E366" s="482" t="s">
        <v>1167</v>
      </c>
      <c r="F366" s="464"/>
      <c r="G366" s="555">
        <f>G367</f>
        <v>150000</v>
      </c>
      <c r="H366" s="554"/>
      <c r="I366" s="447">
        <f t="shared" si="3"/>
        <v>150000</v>
      </c>
    </row>
    <row r="367" spans="1:9" ht="44.25" customHeight="1">
      <c r="A367" s="490" t="s">
        <v>1168</v>
      </c>
      <c r="B367" s="445" t="s">
        <v>1205</v>
      </c>
      <c r="C367" s="445" t="s">
        <v>727</v>
      </c>
      <c r="D367" s="445" t="s">
        <v>633</v>
      </c>
      <c r="E367" s="474" t="s">
        <v>1169</v>
      </c>
      <c r="F367" s="446"/>
      <c r="G367" s="553">
        <f>G368</f>
        <v>150000</v>
      </c>
      <c r="H367" s="554"/>
      <c r="I367" s="447">
        <f t="shared" si="3"/>
        <v>150000</v>
      </c>
    </row>
    <row r="368" spans="1:9" ht="39.75" customHeight="1">
      <c r="A368" s="451" t="s">
        <v>1170</v>
      </c>
      <c r="B368" s="445" t="s">
        <v>1205</v>
      </c>
      <c r="C368" s="445" t="s">
        <v>727</v>
      </c>
      <c r="D368" s="445" t="s">
        <v>633</v>
      </c>
      <c r="E368" s="474" t="s">
        <v>1171</v>
      </c>
      <c r="F368" s="446"/>
      <c r="G368" s="553">
        <f>G370+G369</f>
        <v>150000</v>
      </c>
      <c r="H368" s="554"/>
      <c r="I368" s="447">
        <f t="shared" si="3"/>
        <v>150000</v>
      </c>
    </row>
    <row r="369" spans="1:9" ht="43.5" customHeight="1" hidden="1">
      <c r="A369" s="454" t="s">
        <v>642</v>
      </c>
      <c r="B369" s="445" t="s">
        <v>1205</v>
      </c>
      <c r="C369" s="445" t="s">
        <v>727</v>
      </c>
      <c r="D369" s="445" t="s">
        <v>633</v>
      </c>
      <c r="E369" s="474" t="s">
        <v>1171</v>
      </c>
      <c r="F369" s="446" t="s">
        <v>643</v>
      </c>
      <c r="G369" s="553">
        <f>3195-3195</f>
        <v>0</v>
      </c>
      <c r="H369" s="562"/>
      <c r="I369" s="447">
        <f t="shared" si="3"/>
        <v>0</v>
      </c>
    </row>
    <row r="370" spans="1:9" ht="30.75" customHeight="1">
      <c r="A370" s="454" t="s">
        <v>654</v>
      </c>
      <c r="B370" s="445" t="s">
        <v>1205</v>
      </c>
      <c r="C370" s="445" t="s">
        <v>727</v>
      </c>
      <c r="D370" s="445" t="s">
        <v>633</v>
      </c>
      <c r="E370" s="474" t="s">
        <v>1171</v>
      </c>
      <c r="F370" s="446" t="s">
        <v>655</v>
      </c>
      <c r="G370" s="553">
        <f>100000+50000</f>
        <v>150000</v>
      </c>
      <c r="H370" s="562"/>
      <c r="I370" s="447">
        <f t="shared" si="3"/>
        <v>150000</v>
      </c>
    </row>
    <row r="371" spans="1:9" ht="38.25" hidden="1">
      <c r="A371" s="490" t="s">
        <v>1216</v>
      </c>
      <c r="B371" s="445" t="s">
        <v>1205</v>
      </c>
      <c r="C371" s="445" t="s">
        <v>727</v>
      </c>
      <c r="D371" s="445" t="s">
        <v>633</v>
      </c>
      <c r="E371" s="474" t="s">
        <v>1217</v>
      </c>
      <c r="F371" s="446"/>
      <c r="G371" s="553"/>
      <c r="H371" s="554"/>
      <c r="I371" s="447">
        <f t="shared" si="3"/>
        <v>0</v>
      </c>
    </row>
    <row r="372" spans="1:9" ht="39" hidden="1">
      <c r="A372" s="451" t="s">
        <v>1170</v>
      </c>
      <c r="B372" s="457" t="s">
        <v>1205</v>
      </c>
      <c r="C372" s="445" t="s">
        <v>727</v>
      </c>
      <c r="D372" s="445" t="s">
        <v>633</v>
      </c>
      <c r="E372" s="474" t="s">
        <v>1218</v>
      </c>
      <c r="F372" s="446"/>
      <c r="G372" s="553">
        <f>G373</f>
        <v>0</v>
      </c>
      <c r="H372" s="554"/>
      <c r="I372" s="447">
        <f t="shared" si="3"/>
        <v>0</v>
      </c>
    </row>
    <row r="373" spans="1:9" ht="26.25" hidden="1">
      <c r="A373" s="454" t="s">
        <v>654</v>
      </c>
      <c r="B373" s="445" t="s">
        <v>1205</v>
      </c>
      <c r="C373" s="445" t="s">
        <v>727</v>
      </c>
      <c r="D373" s="445" t="s">
        <v>633</v>
      </c>
      <c r="E373" s="474" t="s">
        <v>1218</v>
      </c>
      <c r="F373" s="446" t="s">
        <v>655</v>
      </c>
      <c r="G373" s="553"/>
      <c r="H373" s="554"/>
      <c r="I373" s="447">
        <f t="shared" si="3"/>
        <v>0</v>
      </c>
    </row>
    <row r="374" spans="1:9" ht="20.25" customHeight="1">
      <c r="A374" s="451" t="s">
        <v>1172</v>
      </c>
      <c r="B374" s="445" t="s">
        <v>1205</v>
      </c>
      <c r="C374" s="445" t="s">
        <v>735</v>
      </c>
      <c r="D374" s="445"/>
      <c r="E374" s="445"/>
      <c r="F374" s="446"/>
      <c r="G374" s="553">
        <f>G375</f>
        <v>9602.76</v>
      </c>
      <c r="H374" s="554"/>
      <c r="I374" s="447">
        <f t="shared" si="3"/>
        <v>9602.76</v>
      </c>
    </row>
    <row r="375" spans="1:9" ht="24" customHeight="1">
      <c r="A375" s="451" t="s">
        <v>1173</v>
      </c>
      <c r="B375" s="445" t="s">
        <v>1205</v>
      </c>
      <c r="C375" s="445" t="s">
        <v>735</v>
      </c>
      <c r="D375" s="445" t="s">
        <v>633</v>
      </c>
      <c r="E375" s="445"/>
      <c r="F375" s="446"/>
      <c r="G375" s="553">
        <f>G376</f>
        <v>9602.76</v>
      </c>
      <c r="H375" s="554"/>
      <c r="I375" s="447">
        <f t="shared" si="3"/>
        <v>9602.76</v>
      </c>
    </row>
    <row r="376" spans="1:9" s="461" customFormat="1" ht="42" customHeight="1">
      <c r="A376" s="465" t="s">
        <v>1187</v>
      </c>
      <c r="B376" s="445" t="s">
        <v>1205</v>
      </c>
      <c r="C376" s="445" t="s">
        <v>735</v>
      </c>
      <c r="D376" s="445" t="s">
        <v>633</v>
      </c>
      <c r="E376" s="470" t="s">
        <v>1175</v>
      </c>
      <c r="F376" s="446"/>
      <c r="G376" s="553">
        <f>G377</f>
        <v>9602.76</v>
      </c>
      <c r="H376" s="557"/>
      <c r="I376" s="447">
        <f t="shared" si="3"/>
        <v>9602.76</v>
      </c>
    </row>
    <row r="377" spans="1:9" s="461" customFormat="1" ht="62.25" customHeight="1">
      <c r="A377" s="444" t="s">
        <v>1176</v>
      </c>
      <c r="B377" s="445" t="s">
        <v>1205</v>
      </c>
      <c r="C377" s="457" t="s">
        <v>735</v>
      </c>
      <c r="D377" s="457" t="s">
        <v>633</v>
      </c>
      <c r="E377" s="470" t="s">
        <v>1177</v>
      </c>
      <c r="F377" s="464"/>
      <c r="G377" s="555">
        <f>G379</f>
        <v>9602.76</v>
      </c>
      <c r="H377" s="557"/>
      <c r="I377" s="447">
        <f t="shared" si="3"/>
        <v>9602.76</v>
      </c>
    </row>
    <row r="378" spans="1:9" ht="48" customHeight="1">
      <c r="A378" s="444" t="s">
        <v>1178</v>
      </c>
      <c r="B378" s="445" t="s">
        <v>1205</v>
      </c>
      <c r="C378" s="445" t="s">
        <v>735</v>
      </c>
      <c r="D378" s="445" t="s">
        <v>633</v>
      </c>
      <c r="E378" s="470" t="s">
        <v>1179</v>
      </c>
      <c r="F378" s="464"/>
      <c r="G378" s="555">
        <f>G379</f>
        <v>9602.76</v>
      </c>
      <c r="H378" s="554"/>
      <c r="I378" s="447">
        <f t="shared" si="3"/>
        <v>9602.76</v>
      </c>
    </row>
    <row r="379" spans="1:9" ht="20.25" customHeight="1">
      <c r="A379" s="451" t="s">
        <v>1180</v>
      </c>
      <c r="B379" s="445" t="s">
        <v>1205</v>
      </c>
      <c r="C379" s="445" t="s">
        <v>735</v>
      </c>
      <c r="D379" s="445" t="s">
        <v>633</v>
      </c>
      <c r="E379" s="470" t="s">
        <v>1181</v>
      </c>
      <c r="F379" s="446"/>
      <c r="G379" s="553">
        <f>G380</f>
        <v>9602.76</v>
      </c>
      <c r="H379" s="554"/>
      <c r="I379" s="447">
        <f t="shared" si="3"/>
        <v>9602.76</v>
      </c>
    </row>
    <row r="380" spans="1:9" ht="26.25" customHeight="1">
      <c r="A380" s="444" t="s">
        <v>1182</v>
      </c>
      <c r="B380" s="445" t="s">
        <v>1205</v>
      </c>
      <c r="C380" s="445" t="s">
        <v>735</v>
      </c>
      <c r="D380" s="445" t="s">
        <v>633</v>
      </c>
      <c r="E380" s="470" t="s">
        <v>1181</v>
      </c>
      <c r="F380" s="446" t="s">
        <v>1183</v>
      </c>
      <c r="G380" s="553">
        <v>9602.76</v>
      </c>
      <c r="H380" s="554"/>
      <c r="I380" s="447">
        <f t="shared" si="3"/>
        <v>9602.76</v>
      </c>
    </row>
    <row r="381" spans="1:9" ht="32.25" customHeight="1">
      <c r="A381" s="451" t="s">
        <v>1184</v>
      </c>
      <c r="B381" s="457" t="s">
        <v>1205</v>
      </c>
      <c r="C381" s="445" t="s">
        <v>1185</v>
      </c>
      <c r="D381" s="445"/>
      <c r="E381" s="445"/>
      <c r="F381" s="446"/>
      <c r="G381" s="553">
        <f aca="true" t="shared" si="4" ref="G381:G386">G382</f>
        <v>7768331</v>
      </c>
      <c r="H381" s="554"/>
      <c r="I381" s="447">
        <f t="shared" si="3"/>
        <v>7768331</v>
      </c>
    </row>
    <row r="382" spans="1:9" ht="41.25" customHeight="1">
      <c r="A382" s="451" t="s">
        <v>1186</v>
      </c>
      <c r="B382" s="445" t="s">
        <v>1205</v>
      </c>
      <c r="C382" s="445" t="s">
        <v>1185</v>
      </c>
      <c r="D382" s="445" t="s">
        <v>633</v>
      </c>
      <c r="E382" s="445"/>
      <c r="F382" s="446"/>
      <c r="G382" s="553">
        <f t="shared" si="4"/>
        <v>7768331</v>
      </c>
      <c r="H382" s="554"/>
      <c r="I382" s="447">
        <f aca="true" t="shared" si="5" ref="I382:I456">G382+H382</f>
        <v>7768331</v>
      </c>
    </row>
    <row r="383" spans="1:9" ht="48.75" customHeight="1">
      <c r="A383" s="465" t="s">
        <v>1187</v>
      </c>
      <c r="B383" s="445" t="s">
        <v>1205</v>
      </c>
      <c r="C383" s="445" t="s">
        <v>1185</v>
      </c>
      <c r="D383" s="445" t="s">
        <v>633</v>
      </c>
      <c r="E383" s="445" t="s">
        <v>1175</v>
      </c>
      <c r="F383" s="446"/>
      <c r="G383" s="553">
        <f t="shared" si="4"/>
        <v>7768331</v>
      </c>
      <c r="H383" s="554"/>
      <c r="I383" s="447">
        <f t="shared" si="5"/>
        <v>7768331</v>
      </c>
    </row>
    <row r="384" spans="1:9" ht="65.25" customHeight="1">
      <c r="A384" s="444" t="s">
        <v>1188</v>
      </c>
      <c r="B384" s="445" t="s">
        <v>1205</v>
      </c>
      <c r="C384" s="457" t="s">
        <v>1185</v>
      </c>
      <c r="D384" s="457" t="s">
        <v>633</v>
      </c>
      <c r="E384" s="457" t="s">
        <v>1189</v>
      </c>
      <c r="F384" s="464"/>
      <c r="G384" s="555">
        <f t="shared" si="4"/>
        <v>7768331</v>
      </c>
      <c r="H384" s="554"/>
      <c r="I384" s="447">
        <f t="shared" si="5"/>
        <v>7768331</v>
      </c>
    </row>
    <row r="385" spans="1:9" ht="33.75" customHeight="1">
      <c r="A385" s="465" t="s">
        <v>1190</v>
      </c>
      <c r="B385" s="445" t="s">
        <v>1205</v>
      </c>
      <c r="C385" s="445" t="s">
        <v>1185</v>
      </c>
      <c r="D385" s="445" t="s">
        <v>633</v>
      </c>
      <c r="E385" s="445" t="s">
        <v>1191</v>
      </c>
      <c r="F385" s="446"/>
      <c r="G385" s="553">
        <f t="shared" si="4"/>
        <v>7768331</v>
      </c>
      <c r="H385" s="554"/>
      <c r="I385" s="447">
        <f t="shared" si="5"/>
        <v>7768331</v>
      </c>
    </row>
    <row r="386" spans="1:9" ht="39">
      <c r="A386" s="556" t="s">
        <v>1192</v>
      </c>
      <c r="B386" s="445" t="s">
        <v>1205</v>
      </c>
      <c r="C386" s="445" t="s">
        <v>1185</v>
      </c>
      <c r="D386" s="445" t="s">
        <v>633</v>
      </c>
      <c r="E386" s="445" t="s">
        <v>1193</v>
      </c>
      <c r="F386" s="446"/>
      <c r="G386" s="553">
        <f t="shared" si="4"/>
        <v>7768331</v>
      </c>
      <c r="H386" s="554"/>
      <c r="I386" s="447">
        <f t="shared" si="5"/>
        <v>7768331</v>
      </c>
    </row>
    <row r="387" spans="1:9" ht="15">
      <c r="A387" s="502" t="s">
        <v>814</v>
      </c>
      <c r="B387" s="445" t="s">
        <v>1205</v>
      </c>
      <c r="C387" s="445" t="s">
        <v>1185</v>
      </c>
      <c r="D387" s="445" t="s">
        <v>633</v>
      </c>
      <c r="E387" s="445" t="s">
        <v>1193</v>
      </c>
      <c r="F387" s="456" t="s">
        <v>815</v>
      </c>
      <c r="G387" s="553">
        <v>7768331</v>
      </c>
      <c r="H387" s="562"/>
      <c r="I387" s="447">
        <f t="shared" si="5"/>
        <v>7768331</v>
      </c>
    </row>
    <row r="388" spans="1:9" ht="31.5" customHeight="1">
      <c r="A388" s="552" t="s">
        <v>1219</v>
      </c>
      <c r="B388" s="445" t="s">
        <v>1220</v>
      </c>
      <c r="C388" s="445"/>
      <c r="D388" s="445"/>
      <c r="E388" s="474"/>
      <c r="F388" s="481"/>
      <c r="G388" s="578">
        <f>G389+G396+G524</f>
        <v>381148446.4</v>
      </c>
      <c r="H388" s="562">
        <f>H389+H396+H524</f>
        <v>15615340.14</v>
      </c>
      <c r="I388" s="447">
        <f t="shared" si="5"/>
        <v>396763786.53999996</v>
      </c>
    </row>
    <row r="389" spans="1:9" ht="15" hidden="1">
      <c r="A389" s="451" t="s">
        <v>850</v>
      </c>
      <c r="B389" s="445" t="s">
        <v>1220</v>
      </c>
      <c r="C389" s="445" t="s">
        <v>658</v>
      </c>
      <c r="D389" s="445"/>
      <c r="E389" s="445"/>
      <c r="F389" s="446"/>
      <c r="G389" s="553">
        <f>G390</f>
        <v>0</v>
      </c>
      <c r="H389" s="554">
        <f>H390</f>
        <v>0</v>
      </c>
      <c r="I389" s="447">
        <f t="shared" si="5"/>
        <v>0</v>
      </c>
    </row>
    <row r="390" spans="1:9" ht="15" hidden="1">
      <c r="A390" s="451" t="s">
        <v>891</v>
      </c>
      <c r="B390" s="445" t="s">
        <v>1220</v>
      </c>
      <c r="C390" s="445" t="s">
        <v>658</v>
      </c>
      <c r="D390" s="445" t="s">
        <v>892</v>
      </c>
      <c r="E390" s="445"/>
      <c r="F390" s="446"/>
      <c r="G390" s="553">
        <f>G391</f>
        <v>0</v>
      </c>
      <c r="H390" s="554">
        <f>H391</f>
        <v>0</v>
      </c>
      <c r="I390" s="447">
        <f t="shared" si="5"/>
        <v>0</v>
      </c>
    </row>
    <row r="391" spans="1:9" ht="39" hidden="1">
      <c r="A391" s="570" t="s">
        <v>1221</v>
      </c>
      <c r="B391" s="445" t="s">
        <v>1220</v>
      </c>
      <c r="C391" s="445" t="s">
        <v>658</v>
      </c>
      <c r="D391" s="445" t="s">
        <v>892</v>
      </c>
      <c r="E391" s="500" t="s">
        <v>904</v>
      </c>
      <c r="F391" s="446"/>
      <c r="G391" s="553">
        <f>G392</f>
        <v>0</v>
      </c>
      <c r="H391" s="554"/>
      <c r="I391" s="447">
        <f t="shared" si="5"/>
        <v>0</v>
      </c>
    </row>
    <row r="392" spans="1:9" ht="72" customHeight="1" hidden="1">
      <c r="A392" s="490" t="s">
        <v>1222</v>
      </c>
      <c r="B392" s="445" t="s">
        <v>1220</v>
      </c>
      <c r="C392" s="445" t="s">
        <v>658</v>
      </c>
      <c r="D392" s="445" t="s">
        <v>892</v>
      </c>
      <c r="E392" s="500" t="s">
        <v>906</v>
      </c>
      <c r="F392" s="446"/>
      <c r="G392" s="553">
        <f>G393</f>
        <v>0</v>
      </c>
      <c r="H392" s="554"/>
      <c r="I392" s="447">
        <f t="shared" si="5"/>
        <v>0</v>
      </c>
    </row>
    <row r="393" spans="1:9" ht="30.75" customHeight="1" hidden="1">
      <c r="A393" s="466" t="s">
        <v>907</v>
      </c>
      <c r="B393" s="445" t="s">
        <v>1220</v>
      </c>
      <c r="C393" s="445" t="s">
        <v>658</v>
      </c>
      <c r="D393" s="445" t="s">
        <v>892</v>
      </c>
      <c r="E393" s="500" t="s">
        <v>908</v>
      </c>
      <c r="F393" s="446"/>
      <c r="G393" s="553">
        <f>G394</f>
        <v>0</v>
      </c>
      <c r="H393" s="554"/>
      <c r="I393" s="447">
        <f>I394</f>
        <v>0</v>
      </c>
    </row>
    <row r="394" spans="1:9" ht="19.5" customHeight="1" hidden="1">
      <c r="A394" s="444" t="s">
        <v>909</v>
      </c>
      <c r="B394" s="445" t="s">
        <v>1220</v>
      </c>
      <c r="C394" s="445" t="s">
        <v>658</v>
      </c>
      <c r="D394" s="445" t="s">
        <v>892</v>
      </c>
      <c r="E394" s="500" t="s">
        <v>910</v>
      </c>
      <c r="F394" s="446"/>
      <c r="G394" s="553">
        <f>G395</f>
        <v>0</v>
      </c>
      <c r="H394" s="554"/>
      <c r="I394" s="447">
        <f t="shared" si="5"/>
        <v>0</v>
      </c>
    </row>
    <row r="395" spans="1:9" ht="24.75" hidden="1">
      <c r="A395" s="571" t="s">
        <v>654</v>
      </c>
      <c r="B395" s="445" t="s">
        <v>1220</v>
      </c>
      <c r="C395" s="445" t="s">
        <v>658</v>
      </c>
      <c r="D395" s="445" t="s">
        <v>892</v>
      </c>
      <c r="E395" s="500" t="s">
        <v>910</v>
      </c>
      <c r="F395" s="446" t="s">
        <v>655</v>
      </c>
      <c r="G395" s="553"/>
      <c r="H395" s="554"/>
      <c r="I395" s="447">
        <f t="shared" si="5"/>
        <v>0</v>
      </c>
    </row>
    <row r="396" spans="1:9" ht="16.5" customHeight="1">
      <c r="A396" s="451" t="s">
        <v>980</v>
      </c>
      <c r="B396" s="445" t="s">
        <v>1220</v>
      </c>
      <c r="C396" s="445" t="s">
        <v>721</v>
      </c>
      <c r="D396" s="445"/>
      <c r="E396" s="474"/>
      <c r="F396" s="481"/>
      <c r="G396" s="553">
        <f>G397+G422+G482+G491+G507</f>
        <v>350647461.4</v>
      </c>
      <c r="H396" s="553">
        <f>H397+H422+H482+H491+H507</f>
        <v>15615340.14</v>
      </c>
      <c r="I396" s="447">
        <f t="shared" si="5"/>
        <v>366262801.53999996</v>
      </c>
    </row>
    <row r="397" spans="1:9" ht="18" customHeight="1">
      <c r="A397" s="451" t="s">
        <v>981</v>
      </c>
      <c r="B397" s="445" t="s">
        <v>1220</v>
      </c>
      <c r="C397" s="445" t="s">
        <v>721</v>
      </c>
      <c r="D397" s="445" t="s">
        <v>633</v>
      </c>
      <c r="E397" s="474"/>
      <c r="F397" s="481"/>
      <c r="G397" s="553">
        <f>G398+G415</f>
        <v>83336148</v>
      </c>
      <c r="H397" s="553">
        <f>H398+H415</f>
        <v>6901615.81</v>
      </c>
      <c r="I397" s="447">
        <f t="shared" si="5"/>
        <v>90237763.81</v>
      </c>
    </row>
    <row r="398" spans="1:9" ht="29.25" customHeight="1">
      <c r="A398" s="451" t="s">
        <v>982</v>
      </c>
      <c r="B398" s="445" t="s">
        <v>1220</v>
      </c>
      <c r="C398" s="445" t="s">
        <v>721</v>
      </c>
      <c r="D398" s="445" t="s">
        <v>633</v>
      </c>
      <c r="E398" s="445" t="s">
        <v>983</v>
      </c>
      <c r="F398" s="446"/>
      <c r="G398" s="553">
        <f>G399</f>
        <v>81127508</v>
      </c>
      <c r="H398" s="554">
        <f>H399</f>
        <v>6901615.81</v>
      </c>
      <c r="I398" s="447">
        <f t="shared" si="5"/>
        <v>88029123.81</v>
      </c>
    </row>
    <row r="399" spans="1:9" ht="41.25" customHeight="1">
      <c r="A399" s="509" t="s">
        <v>984</v>
      </c>
      <c r="B399" s="445" t="s">
        <v>1220</v>
      </c>
      <c r="C399" s="457" t="s">
        <v>721</v>
      </c>
      <c r="D399" s="457" t="s">
        <v>633</v>
      </c>
      <c r="E399" s="457" t="s">
        <v>985</v>
      </c>
      <c r="F399" s="464"/>
      <c r="G399" s="555">
        <f>G400</f>
        <v>81127508</v>
      </c>
      <c r="H399" s="555">
        <f>H400</f>
        <v>6901615.81</v>
      </c>
      <c r="I399" s="447">
        <f t="shared" si="5"/>
        <v>88029123.81</v>
      </c>
    </row>
    <row r="400" spans="1:9" ht="27.75" customHeight="1">
      <c r="A400" s="466" t="s">
        <v>986</v>
      </c>
      <c r="B400" s="445" t="s">
        <v>1220</v>
      </c>
      <c r="C400" s="445" t="s">
        <v>721</v>
      </c>
      <c r="D400" s="445" t="s">
        <v>633</v>
      </c>
      <c r="E400" s="445" t="s">
        <v>987</v>
      </c>
      <c r="F400" s="446"/>
      <c r="G400" s="553">
        <f>G401+G408+G410+G406+G404</f>
        <v>81127508</v>
      </c>
      <c r="H400" s="554">
        <f>H401+H410</f>
        <v>6901615.81</v>
      </c>
      <c r="I400" s="447">
        <f t="shared" si="5"/>
        <v>88029123.81</v>
      </c>
    </row>
    <row r="401" spans="1:9" ht="67.5" customHeight="1">
      <c r="A401" s="556" t="s">
        <v>988</v>
      </c>
      <c r="B401" s="445" t="s">
        <v>1220</v>
      </c>
      <c r="C401" s="445" t="s">
        <v>721</v>
      </c>
      <c r="D401" s="445" t="s">
        <v>633</v>
      </c>
      <c r="E401" s="445" t="s">
        <v>989</v>
      </c>
      <c r="F401" s="446"/>
      <c r="G401" s="553">
        <f>G402+G403</f>
        <v>45980129</v>
      </c>
      <c r="H401" s="554"/>
      <c r="I401" s="447">
        <f t="shared" si="5"/>
        <v>45980129</v>
      </c>
    </row>
    <row r="402" spans="1:9" ht="45" customHeight="1">
      <c r="A402" s="507" t="s">
        <v>642</v>
      </c>
      <c r="B402" s="445" t="s">
        <v>1220</v>
      </c>
      <c r="C402" s="445" t="s">
        <v>721</v>
      </c>
      <c r="D402" s="445" t="s">
        <v>633</v>
      </c>
      <c r="E402" s="445" t="s">
        <v>989</v>
      </c>
      <c r="F402" s="446" t="s">
        <v>643</v>
      </c>
      <c r="G402" s="553">
        <v>45470627</v>
      </c>
      <c r="H402" s="562"/>
      <c r="I402" s="447">
        <f t="shared" si="5"/>
        <v>45470627</v>
      </c>
    </row>
    <row r="403" spans="1:9" ht="24" customHeight="1">
      <c r="A403" s="454" t="s">
        <v>654</v>
      </c>
      <c r="B403" s="445" t="s">
        <v>1220</v>
      </c>
      <c r="C403" s="445" t="s">
        <v>721</v>
      </c>
      <c r="D403" s="445" t="s">
        <v>633</v>
      </c>
      <c r="E403" s="445" t="s">
        <v>989</v>
      </c>
      <c r="F403" s="446" t="s">
        <v>655</v>
      </c>
      <c r="G403" s="553">
        <v>509502</v>
      </c>
      <c r="H403" s="562"/>
      <c r="I403" s="447">
        <f t="shared" si="5"/>
        <v>509502</v>
      </c>
    </row>
    <row r="404" spans="1:9" ht="0.75" customHeight="1" hidden="1">
      <c r="A404" s="556" t="s">
        <v>1006</v>
      </c>
      <c r="B404" s="445" t="s">
        <v>1220</v>
      </c>
      <c r="C404" s="445" t="s">
        <v>721</v>
      </c>
      <c r="D404" s="445" t="s">
        <v>633</v>
      </c>
      <c r="E404" s="445" t="s">
        <v>1223</v>
      </c>
      <c r="F404" s="446"/>
      <c r="G404" s="553">
        <f>G405</f>
        <v>0</v>
      </c>
      <c r="H404" s="554"/>
      <c r="I404" s="447">
        <f>G404+H404</f>
        <v>0</v>
      </c>
    </row>
    <row r="405" spans="1:9" ht="26.25" hidden="1">
      <c r="A405" s="454" t="s">
        <v>654</v>
      </c>
      <c r="B405" s="445" t="s">
        <v>1220</v>
      </c>
      <c r="C405" s="445" t="s">
        <v>721</v>
      </c>
      <c r="D405" s="445" t="s">
        <v>633</v>
      </c>
      <c r="E405" s="445" t="s">
        <v>1223</v>
      </c>
      <c r="F405" s="446" t="s">
        <v>655</v>
      </c>
      <c r="G405" s="553"/>
      <c r="H405" s="554"/>
      <c r="I405" s="447">
        <f>G405+H405</f>
        <v>0</v>
      </c>
    </row>
    <row r="406" spans="1:9" ht="0.75" customHeight="1" hidden="1">
      <c r="A406" s="556" t="s">
        <v>1008</v>
      </c>
      <c r="B406" s="445" t="s">
        <v>1220</v>
      </c>
      <c r="C406" s="445" t="s">
        <v>721</v>
      </c>
      <c r="D406" s="445" t="s">
        <v>633</v>
      </c>
      <c r="E406" s="445" t="s">
        <v>1224</v>
      </c>
      <c r="F406" s="446"/>
      <c r="G406" s="553">
        <f>G407</f>
        <v>0</v>
      </c>
      <c r="H406" s="554"/>
      <c r="I406" s="447">
        <f t="shared" si="5"/>
        <v>0</v>
      </c>
    </row>
    <row r="407" spans="1:9" ht="26.25" hidden="1">
      <c r="A407" s="454" t="s">
        <v>654</v>
      </c>
      <c r="B407" s="445" t="s">
        <v>1220</v>
      </c>
      <c r="C407" s="445" t="s">
        <v>721</v>
      </c>
      <c r="D407" s="445" t="s">
        <v>633</v>
      </c>
      <c r="E407" s="445" t="s">
        <v>1224</v>
      </c>
      <c r="F407" s="446" t="s">
        <v>655</v>
      </c>
      <c r="G407" s="553">
        <f>175343-175343</f>
        <v>0</v>
      </c>
      <c r="H407" s="554"/>
      <c r="I407" s="447">
        <f t="shared" si="5"/>
        <v>0</v>
      </c>
    </row>
    <row r="408" spans="1:9" ht="26.25" hidden="1">
      <c r="A408" s="556" t="s">
        <v>1225</v>
      </c>
      <c r="B408" s="445" t="s">
        <v>1220</v>
      </c>
      <c r="C408" s="445" t="s">
        <v>721</v>
      </c>
      <c r="D408" s="445" t="s">
        <v>633</v>
      </c>
      <c r="E408" s="445" t="s">
        <v>1226</v>
      </c>
      <c r="F408" s="446"/>
      <c r="G408" s="553">
        <f>G409</f>
        <v>0</v>
      </c>
      <c r="H408" s="562"/>
      <c r="I408" s="447">
        <f t="shared" si="5"/>
        <v>0</v>
      </c>
    </row>
    <row r="409" spans="1:9" ht="26.25" hidden="1">
      <c r="A409" s="454" t="s">
        <v>654</v>
      </c>
      <c r="B409" s="445" t="s">
        <v>1220</v>
      </c>
      <c r="C409" s="445" t="s">
        <v>721</v>
      </c>
      <c r="D409" s="445" t="s">
        <v>633</v>
      </c>
      <c r="E409" s="445" t="s">
        <v>1226</v>
      </c>
      <c r="F409" s="446" t="s">
        <v>655</v>
      </c>
      <c r="G409" s="553"/>
      <c r="H409" s="562"/>
      <c r="I409" s="447">
        <f t="shared" si="5"/>
        <v>0</v>
      </c>
    </row>
    <row r="410" spans="1:9" ht="25.5" customHeight="1">
      <c r="A410" s="466" t="s">
        <v>816</v>
      </c>
      <c r="B410" s="445" t="s">
        <v>1220</v>
      </c>
      <c r="C410" s="445" t="s">
        <v>721</v>
      </c>
      <c r="D410" s="445" t="s">
        <v>633</v>
      </c>
      <c r="E410" s="445" t="s">
        <v>990</v>
      </c>
      <c r="F410" s="446"/>
      <c r="G410" s="553">
        <f>G411+G412+G414+G413</f>
        <v>35147379</v>
      </c>
      <c r="H410" s="553">
        <f>H411+H412+H414+H413</f>
        <v>6901615.81</v>
      </c>
      <c r="I410" s="447">
        <f t="shared" si="5"/>
        <v>42048994.81</v>
      </c>
    </row>
    <row r="411" spans="1:9" ht="45" customHeight="1">
      <c r="A411" s="454" t="s">
        <v>642</v>
      </c>
      <c r="B411" s="445" t="s">
        <v>1220</v>
      </c>
      <c r="C411" s="445" t="s">
        <v>721</v>
      </c>
      <c r="D411" s="445" t="s">
        <v>633</v>
      </c>
      <c r="E411" s="445" t="s">
        <v>990</v>
      </c>
      <c r="F411" s="446" t="s">
        <v>643</v>
      </c>
      <c r="G411" s="553">
        <v>22202400</v>
      </c>
      <c r="H411" s="554"/>
      <c r="I411" s="447">
        <f t="shared" si="5"/>
        <v>22202400</v>
      </c>
    </row>
    <row r="412" spans="1:9" ht="28.5" customHeight="1">
      <c r="A412" s="454" t="s">
        <v>654</v>
      </c>
      <c r="B412" s="445" t="s">
        <v>1220</v>
      </c>
      <c r="C412" s="445" t="s">
        <v>721</v>
      </c>
      <c r="D412" s="445" t="s">
        <v>633</v>
      </c>
      <c r="E412" s="445" t="s">
        <v>990</v>
      </c>
      <c r="F412" s="446" t="s">
        <v>655</v>
      </c>
      <c r="G412" s="553">
        <f>8276200+91350+910203+1530537+167564</f>
        <v>10975854</v>
      </c>
      <c r="H412" s="554">
        <f>6390555+158331+342729.81+10000</f>
        <v>6901615.81</v>
      </c>
      <c r="I412" s="447">
        <f t="shared" si="5"/>
        <v>17877469.81</v>
      </c>
    </row>
    <row r="413" spans="1:9" ht="28.5" customHeight="1">
      <c r="A413" s="491" t="s">
        <v>870</v>
      </c>
      <c r="B413" s="445" t="s">
        <v>1220</v>
      </c>
      <c r="C413" s="445" t="s">
        <v>721</v>
      </c>
      <c r="D413" s="445" t="s">
        <v>633</v>
      </c>
      <c r="E413" s="445" t="s">
        <v>990</v>
      </c>
      <c r="F413" s="446" t="s">
        <v>871</v>
      </c>
      <c r="G413" s="553">
        <f>25872</f>
        <v>25872</v>
      </c>
      <c r="H413" s="554"/>
      <c r="I413" s="447">
        <f t="shared" si="5"/>
        <v>25872</v>
      </c>
    </row>
    <row r="414" spans="1:9" ht="15">
      <c r="A414" s="466" t="s">
        <v>696</v>
      </c>
      <c r="B414" s="445" t="s">
        <v>1220</v>
      </c>
      <c r="C414" s="445" t="s">
        <v>721</v>
      </c>
      <c r="D414" s="445" t="s">
        <v>633</v>
      </c>
      <c r="E414" s="445" t="s">
        <v>990</v>
      </c>
      <c r="F414" s="446" t="s">
        <v>697</v>
      </c>
      <c r="G414" s="553">
        <f>1924385+16368+2500</f>
        <v>1943253</v>
      </c>
      <c r="H414" s="554"/>
      <c r="I414" s="447">
        <f t="shared" si="5"/>
        <v>1943253</v>
      </c>
    </row>
    <row r="415" spans="1:9" ht="38.25">
      <c r="A415" s="508" t="s">
        <v>911</v>
      </c>
      <c r="B415" s="445" t="s">
        <v>1220</v>
      </c>
      <c r="C415" s="445" t="s">
        <v>721</v>
      </c>
      <c r="D415" s="445" t="s">
        <v>633</v>
      </c>
      <c r="E415" s="445" t="s">
        <v>912</v>
      </c>
      <c r="F415" s="446"/>
      <c r="G415" s="553">
        <f>G416</f>
        <v>2208640</v>
      </c>
      <c r="H415" s="554"/>
      <c r="I415" s="447">
        <f t="shared" si="5"/>
        <v>2208640</v>
      </c>
    </row>
    <row r="416" spans="1:9" ht="63.75">
      <c r="A416" s="490" t="s">
        <v>913</v>
      </c>
      <c r="B416" s="445" t="s">
        <v>1220</v>
      </c>
      <c r="C416" s="445" t="s">
        <v>721</v>
      </c>
      <c r="D416" s="445" t="s">
        <v>633</v>
      </c>
      <c r="E416" s="457" t="s">
        <v>914</v>
      </c>
      <c r="F416" s="446"/>
      <c r="G416" s="553">
        <f>G417</f>
        <v>2208640</v>
      </c>
      <c r="H416" s="554"/>
      <c r="I416" s="447">
        <f t="shared" si="5"/>
        <v>2208640</v>
      </c>
    </row>
    <row r="417" spans="1:9" ht="38.25">
      <c r="A417" s="466" t="s">
        <v>991</v>
      </c>
      <c r="B417" s="445" t="s">
        <v>1220</v>
      </c>
      <c r="C417" s="445" t="s">
        <v>721</v>
      </c>
      <c r="D417" s="445" t="s">
        <v>633</v>
      </c>
      <c r="E417" s="445" t="s">
        <v>992</v>
      </c>
      <c r="F417" s="446"/>
      <c r="G417" s="553">
        <f>G420+G418</f>
        <v>2208640</v>
      </c>
      <c r="H417" s="554"/>
      <c r="I417" s="447">
        <f t="shared" si="5"/>
        <v>2208640</v>
      </c>
    </row>
    <row r="418" spans="1:9" ht="24">
      <c r="A418" s="579" t="s">
        <v>993</v>
      </c>
      <c r="B418" s="445" t="s">
        <v>1220</v>
      </c>
      <c r="C418" s="445" t="s">
        <v>721</v>
      </c>
      <c r="D418" s="445" t="s">
        <v>633</v>
      </c>
      <c r="E418" s="445" t="s">
        <v>994</v>
      </c>
      <c r="F418" s="446"/>
      <c r="G418" s="553">
        <f>G419</f>
        <v>1748640</v>
      </c>
      <c r="H418" s="554"/>
      <c r="I418" s="447">
        <f>G418+H418</f>
        <v>1748640</v>
      </c>
    </row>
    <row r="419" spans="1:9" ht="26.25">
      <c r="A419" s="491" t="s">
        <v>870</v>
      </c>
      <c r="B419" s="445" t="s">
        <v>1220</v>
      </c>
      <c r="C419" s="445" t="s">
        <v>721</v>
      </c>
      <c r="D419" s="445" t="s">
        <v>633</v>
      </c>
      <c r="E419" s="445" t="s">
        <v>994</v>
      </c>
      <c r="F419" s="446" t="s">
        <v>871</v>
      </c>
      <c r="G419" s="553">
        <f>1748640</f>
        <v>1748640</v>
      </c>
      <c r="H419" s="554"/>
      <c r="I419" s="447">
        <f>G419+H419</f>
        <v>1748640</v>
      </c>
    </row>
    <row r="420" spans="1:9" ht="25.5">
      <c r="A420" s="466" t="s">
        <v>995</v>
      </c>
      <c r="B420" s="445" t="s">
        <v>1220</v>
      </c>
      <c r="C420" s="445" t="s">
        <v>721</v>
      </c>
      <c r="D420" s="445" t="s">
        <v>633</v>
      </c>
      <c r="E420" s="445" t="s">
        <v>996</v>
      </c>
      <c r="F420" s="446"/>
      <c r="G420" s="553">
        <f>G421</f>
        <v>460000</v>
      </c>
      <c r="H420" s="554"/>
      <c r="I420" s="447">
        <f t="shared" si="5"/>
        <v>460000</v>
      </c>
    </row>
    <row r="421" spans="1:9" ht="26.25">
      <c r="A421" s="491" t="s">
        <v>870</v>
      </c>
      <c r="B421" s="445" t="s">
        <v>1220</v>
      </c>
      <c r="C421" s="445" t="s">
        <v>721</v>
      </c>
      <c r="D421" s="445" t="s">
        <v>633</v>
      </c>
      <c r="E421" s="445" t="s">
        <v>996</v>
      </c>
      <c r="F421" s="446" t="s">
        <v>871</v>
      </c>
      <c r="G421" s="553">
        <v>460000</v>
      </c>
      <c r="H421" s="554"/>
      <c r="I421" s="447">
        <f t="shared" si="5"/>
        <v>460000</v>
      </c>
    </row>
    <row r="422" spans="1:9" ht="15">
      <c r="A422" s="451" t="s">
        <v>997</v>
      </c>
      <c r="B422" s="445" t="s">
        <v>1220</v>
      </c>
      <c r="C422" s="445" t="s">
        <v>721</v>
      </c>
      <c r="D422" s="445" t="s">
        <v>635</v>
      </c>
      <c r="E422" s="445"/>
      <c r="F422" s="446"/>
      <c r="G422" s="553">
        <f>G423+G469+G477+G462</f>
        <v>233513206.4</v>
      </c>
      <c r="H422" s="553">
        <f>H423+H469+H477+H462</f>
        <v>7472921.9399999995</v>
      </c>
      <c r="I422" s="553">
        <f>I423+I469+I477+I462</f>
        <v>240986128.34</v>
      </c>
    </row>
    <row r="423" spans="1:9" ht="26.25">
      <c r="A423" s="451" t="s">
        <v>982</v>
      </c>
      <c r="B423" s="445" t="s">
        <v>1220</v>
      </c>
      <c r="C423" s="445" t="s">
        <v>721</v>
      </c>
      <c r="D423" s="445" t="s">
        <v>635</v>
      </c>
      <c r="E423" s="445" t="s">
        <v>983</v>
      </c>
      <c r="F423" s="446"/>
      <c r="G423" s="553">
        <f>G424</f>
        <v>233335406.4</v>
      </c>
      <c r="H423" s="577">
        <f>H424</f>
        <v>7472921.9399999995</v>
      </c>
      <c r="I423" s="447">
        <f t="shared" si="5"/>
        <v>240808328.34</v>
      </c>
    </row>
    <row r="424" spans="1:9" ht="39">
      <c r="A424" s="509" t="s">
        <v>984</v>
      </c>
      <c r="B424" s="445" t="s">
        <v>1220</v>
      </c>
      <c r="C424" s="445" t="s">
        <v>721</v>
      </c>
      <c r="D424" s="445" t="s">
        <v>635</v>
      </c>
      <c r="E424" s="445" t="s">
        <v>985</v>
      </c>
      <c r="F424" s="446"/>
      <c r="G424" s="553">
        <f>G428+G457+G425</f>
        <v>233335406.4</v>
      </c>
      <c r="H424" s="553">
        <f>H428+H457+H425</f>
        <v>7472921.9399999995</v>
      </c>
      <c r="I424" s="447">
        <f t="shared" si="5"/>
        <v>240808328.34</v>
      </c>
    </row>
    <row r="425" spans="1:9" ht="15">
      <c r="A425" s="509" t="s">
        <v>998</v>
      </c>
      <c r="B425" s="445" t="s">
        <v>1220</v>
      </c>
      <c r="C425" s="445" t="s">
        <v>721</v>
      </c>
      <c r="D425" s="445" t="s">
        <v>635</v>
      </c>
      <c r="E425" s="445" t="s">
        <v>999</v>
      </c>
      <c r="F425" s="464"/>
      <c r="G425" s="553">
        <f>G426</f>
        <v>2000000</v>
      </c>
      <c r="H425" s="580"/>
      <c r="I425" s="447">
        <f t="shared" si="5"/>
        <v>2000000</v>
      </c>
    </row>
    <row r="426" spans="1:9" ht="26.25">
      <c r="A426" s="509" t="s">
        <v>1000</v>
      </c>
      <c r="B426" s="445" t="s">
        <v>1220</v>
      </c>
      <c r="C426" s="445" t="s">
        <v>721</v>
      </c>
      <c r="D426" s="445" t="s">
        <v>635</v>
      </c>
      <c r="E426" s="445" t="s">
        <v>1001</v>
      </c>
      <c r="F426" s="464"/>
      <c r="G426" s="553">
        <f>G427</f>
        <v>2000000</v>
      </c>
      <c r="H426" s="580"/>
      <c r="I426" s="447">
        <f t="shared" si="5"/>
        <v>2000000</v>
      </c>
    </row>
    <row r="427" spans="1:9" ht="26.25">
      <c r="A427" s="454" t="s">
        <v>654</v>
      </c>
      <c r="B427" s="445" t="s">
        <v>1220</v>
      </c>
      <c r="C427" s="445" t="s">
        <v>721</v>
      </c>
      <c r="D427" s="445" t="s">
        <v>635</v>
      </c>
      <c r="E427" s="445" t="s">
        <v>1001</v>
      </c>
      <c r="F427" s="446" t="s">
        <v>655</v>
      </c>
      <c r="G427" s="553">
        <f>786836.4+1300000-86836.4</f>
        <v>2000000</v>
      </c>
      <c r="H427" s="580"/>
      <c r="I427" s="447">
        <f t="shared" si="5"/>
        <v>2000000</v>
      </c>
    </row>
    <row r="428" spans="1:9" ht="33.75" customHeight="1">
      <c r="A428" s="466" t="s">
        <v>1002</v>
      </c>
      <c r="B428" s="445" t="s">
        <v>1220</v>
      </c>
      <c r="C428" s="445" t="s">
        <v>721</v>
      </c>
      <c r="D428" s="445" t="s">
        <v>635</v>
      </c>
      <c r="E428" s="445" t="s">
        <v>1003</v>
      </c>
      <c r="F428" s="446"/>
      <c r="G428" s="553">
        <f>G433+G441+G443+G445+G447+G449+G451+G455+G436+G438+G429+G431</f>
        <v>231335406.4</v>
      </c>
      <c r="H428" s="553">
        <f>H433+H441+H443+H445+H447+H449+H451+H455+H436+H438+H429+H431</f>
        <v>7472921.9399999995</v>
      </c>
      <c r="I428" s="447">
        <f t="shared" si="5"/>
        <v>238808328.34</v>
      </c>
    </row>
    <row r="429" spans="1:9" ht="38.25" customHeight="1" hidden="1">
      <c r="A429" s="466" t="s">
        <v>1227</v>
      </c>
      <c r="B429" s="445" t="s">
        <v>1220</v>
      </c>
      <c r="C429" s="445" t="s">
        <v>721</v>
      </c>
      <c r="D429" s="445" t="s">
        <v>635</v>
      </c>
      <c r="E429" s="445" t="s">
        <v>1228</v>
      </c>
      <c r="F429" s="446"/>
      <c r="G429" s="553">
        <f>G430</f>
        <v>0</v>
      </c>
      <c r="H429" s="577"/>
      <c r="I429" s="447">
        <f t="shared" si="5"/>
        <v>0</v>
      </c>
    </row>
    <row r="430" spans="1:9" ht="26.25" hidden="1">
      <c r="A430" s="454" t="s">
        <v>654</v>
      </c>
      <c r="B430" s="445" t="s">
        <v>1220</v>
      </c>
      <c r="C430" s="445" t="s">
        <v>721</v>
      </c>
      <c r="D430" s="445" t="s">
        <v>635</v>
      </c>
      <c r="E430" s="445" t="s">
        <v>1228</v>
      </c>
      <c r="F430" s="446" t="s">
        <v>655</v>
      </c>
      <c r="G430" s="553"/>
      <c r="H430" s="577"/>
      <c r="I430" s="447">
        <f t="shared" si="5"/>
        <v>0</v>
      </c>
    </row>
    <row r="431" spans="1:9" ht="33" customHeight="1" hidden="1">
      <c r="A431" s="581" t="s">
        <v>1000</v>
      </c>
      <c r="B431" s="445" t="s">
        <v>1220</v>
      </c>
      <c r="C431" s="445" t="s">
        <v>721</v>
      </c>
      <c r="D431" s="445" t="s">
        <v>635</v>
      </c>
      <c r="E431" s="445" t="s">
        <v>1229</v>
      </c>
      <c r="F431" s="446"/>
      <c r="G431" s="553">
        <f>G432</f>
        <v>0</v>
      </c>
      <c r="H431" s="553"/>
      <c r="I431" s="447">
        <f t="shared" si="5"/>
        <v>0</v>
      </c>
    </row>
    <row r="432" spans="1:9" ht="30" customHeight="1" hidden="1">
      <c r="A432" s="454" t="s">
        <v>654</v>
      </c>
      <c r="B432" s="445" t="s">
        <v>1220</v>
      </c>
      <c r="C432" s="445" t="s">
        <v>721</v>
      </c>
      <c r="D432" s="445" t="s">
        <v>635</v>
      </c>
      <c r="E432" s="445" t="s">
        <v>1229</v>
      </c>
      <c r="F432" s="446" t="s">
        <v>655</v>
      </c>
      <c r="G432" s="553"/>
      <c r="H432" s="553"/>
      <c r="I432" s="447">
        <f t="shared" si="5"/>
        <v>0</v>
      </c>
    </row>
    <row r="433" spans="1:9" ht="81" customHeight="1">
      <c r="A433" s="556" t="s">
        <v>1004</v>
      </c>
      <c r="B433" s="445" t="s">
        <v>1220</v>
      </c>
      <c r="C433" s="445" t="s">
        <v>721</v>
      </c>
      <c r="D433" s="445" t="s">
        <v>635</v>
      </c>
      <c r="E433" s="445" t="s">
        <v>1005</v>
      </c>
      <c r="F433" s="446"/>
      <c r="G433" s="553">
        <f>G434+G435</f>
        <v>193829050</v>
      </c>
      <c r="H433" s="554"/>
      <c r="I433" s="447">
        <f t="shared" si="5"/>
        <v>193829050</v>
      </c>
    </row>
    <row r="434" spans="1:9" ht="47.25" customHeight="1">
      <c r="A434" s="454" t="s">
        <v>642</v>
      </c>
      <c r="B434" s="445" t="s">
        <v>1220</v>
      </c>
      <c r="C434" s="445" t="s">
        <v>721</v>
      </c>
      <c r="D434" s="445" t="s">
        <v>635</v>
      </c>
      <c r="E434" s="445" t="s">
        <v>1005</v>
      </c>
      <c r="F434" s="446" t="s">
        <v>643</v>
      </c>
      <c r="G434" s="553">
        <v>186909233</v>
      </c>
      <c r="H434" s="554"/>
      <c r="I434" s="447">
        <f t="shared" si="5"/>
        <v>186909233</v>
      </c>
    </row>
    <row r="435" spans="1:9" ht="25.5" customHeight="1">
      <c r="A435" s="454" t="s">
        <v>654</v>
      </c>
      <c r="B435" s="445" t="s">
        <v>1220</v>
      </c>
      <c r="C435" s="445" t="s">
        <v>721</v>
      </c>
      <c r="D435" s="445" t="s">
        <v>635</v>
      </c>
      <c r="E435" s="445" t="s">
        <v>1005</v>
      </c>
      <c r="F435" s="446" t="s">
        <v>655</v>
      </c>
      <c r="G435" s="553">
        <v>6919817</v>
      </c>
      <c r="H435" s="554"/>
      <c r="I435" s="447">
        <f t="shared" si="5"/>
        <v>6919817</v>
      </c>
    </row>
    <row r="436" spans="1:9" ht="26.25">
      <c r="A436" s="556" t="s">
        <v>1006</v>
      </c>
      <c r="B436" s="445" t="s">
        <v>1220</v>
      </c>
      <c r="C436" s="445" t="s">
        <v>721</v>
      </c>
      <c r="D436" s="445" t="s">
        <v>635</v>
      </c>
      <c r="E436" s="445" t="s">
        <v>1007</v>
      </c>
      <c r="F436" s="446"/>
      <c r="G436" s="553">
        <f>G437</f>
        <v>1607171</v>
      </c>
      <c r="H436" s="554"/>
      <c r="I436" s="447">
        <f t="shared" si="5"/>
        <v>1607171</v>
      </c>
    </row>
    <row r="437" spans="1:9" ht="26.25">
      <c r="A437" s="454" t="s">
        <v>654</v>
      </c>
      <c r="B437" s="445" t="s">
        <v>1220</v>
      </c>
      <c r="C437" s="445" t="s">
        <v>721</v>
      </c>
      <c r="D437" s="445" t="s">
        <v>635</v>
      </c>
      <c r="E437" s="445" t="s">
        <v>1007</v>
      </c>
      <c r="F437" s="446" t="s">
        <v>655</v>
      </c>
      <c r="G437" s="553">
        <f>1607171</f>
        <v>1607171</v>
      </c>
      <c r="H437" s="554"/>
      <c r="I437" s="447">
        <f t="shared" si="5"/>
        <v>1607171</v>
      </c>
    </row>
    <row r="438" spans="1:9" ht="26.25">
      <c r="A438" s="556" t="s">
        <v>1008</v>
      </c>
      <c r="B438" s="445" t="s">
        <v>1220</v>
      </c>
      <c r="C438" s="445" t="s">
        <v>721</v>
      </c>
      <c r="D438" s="445" t="s">
        <v>635</v>
      </c>
      <c r="E438" s="445" t="s">
        <v>1009</v>
      </c>
      <c r="F438" s="446"/>
      <c r="G438" s="553">
        <f>G439</f>
        <v>865399</v>
      </c>
      <c r="H438" s="554"/>
      <c r="I438" s="447">
        <f t="shared" si="5"/>
        <v>865399</v>
      </c>
    </row>
    <row r="439" spans="1:9" ht="25.5" customHeight="1">
      <c r="A439" s="454" t="s">
        <v>654</v>
      </c>
      <c r="B439" s="445" t="s">
        <v>1220</v>
      </c>
      <c r="C439" s="445" t="s">
        <v>721</v>
      </c>
      <c r="D439" s="445" t="s">
        <v>635</v>
      </c>
      <c r="E439" s="445" t="s">
        <v>1009</v>
      </c>
      <c r="F439" s="446" t="s">
        <v>655</v>
      </c>
      <c r="G439" s="553">
        <f>826214.9+39184.1</f>
        <v>865399</v>
      </c>
      <c r="H439" s="554"/>
      <c r="I439" s="447">
        <f t="shared" si="5"/>
        <v>865399</v>
      </c>
    </row>
    <row r="440" spans="1:9" ht="26.25" hidden="1">
      <c r="A440" s="454" t="s">
        <v>654</v>
      </c>
      <c r="B440" s="445" t="s">
        <v>1220</v>
      </c>
      <c r="C440" s="445" t="s">
        <v>721</v>
      </c>
      <c r="D440" s="445" t="s">
        <v>635</v>
      </c>
      <c r="E440" s="445" t="s">
        <v>1230</v>
      </c>
      <c r="F440" s="446" t="s">
        <v>655</v>
      </c>
      <c r="G440" s="553"/>
      <c r="H440" s="554"/>
      <c r="I440" s="447">
        <f t="shared" si="5"/>
        <v>0</v>
      </c>
    </row>
    <row r="441" spans="1:9" ht="38.25">
      <c r="A441" s="496" t="s">
        <v>1231</v>
      </c>
      <c r="B441" s="445" t="s">
        <v>1220</v>
      </c>
      <c r="C441" s="445" t="s">
        <v>721</v>
      </c>
      <c r="D441" s="445" t="s">
        <v>635</v>
      </c>
      <c r="E441" s="445" t="s">
        <v>1011</v>
      </c>
      <c r="F441" s="446"/>
      <c r="G441" s="553">
        <f>G442</f>
        <v>889886</v>
      </c>
      <c r="H441" s="554"/>
      <c r="I441" s="447">
        <f t="shared" si="5"/>
        <v>889886</v>
      </c>
    </row>
    <row r="442" spans="1:9" ht="26.25">
      <c r="A442" s="454" t="s">
        <v>654</v>
      </c>
      <c r="B442" s="445" t="s">
        <v>1220</v>
      </c>
      <c r="C442" s="445" t="s">
        <v>721</v>
      </c>
      <c r="D442" s="445" t="s">
        <v>635</v>
      </c>
      <c r="E442" s="445" t="s">
        <v>1011</v>
      </c>
      <c r="F442" s="446" t="s">
        <v>655</v>
      </c>
      <c r="G442" s="553">
        <f>889886</f>
        <v>889886</v>
      </c>
      <c r="H442" s="554"/>
      <c r="I442" s="447">
        <f t="shared" si="5"/>
        <v>889886</v>
      </c>
    </row>
    <row r="443" spans="1:9" ht="38.25">
      <c r="A443" s="496" t="s">
        <v>1012</v>
      </c>
      <c r="B443" s="445" t="s">
        <v>1220</v>
      </c>
      <c r="C443" s="445" t="s">
        <v>721</v>
      </c>
      <c r="D443" s="445" t="s">
        <v>635</v>
      </c>
      <c r="E443" s="445" t="s">
        <v>1013</v>
      </c>
      <c r="F443" s="446"/>
      <c r="G443" s="553">
        <f>G444</f>
        <v>1468800</v>
      </c>
      <c r="H443" s="554"/>
      <c r="I443" s="447">
        <f t="shared" si="5"/>
        <v>1468800</v>
      </c>
    </row>
    <row r="444" spans="1:9" ht="25.5" customHeight="1">
      <c r="A444" s="454" t="s">
        <v>654</v>
      </c>
      <c r="B444" s="445" t="s">
        <v>1220</v>
      </c>
      <c r="C444" s="445" t="s">
        <v>721</v>
      </c>
      <c r="D444" s="445" t="s">
        <v>635</v>
      </c>
      <c r="E444" s="445" t="s">
        <v>1013</v>
      </c>
      <c r="F444" s="446" t="s">
        <v>655</v>
      </c>
      <c r="G444" s="553">
        <v>1468800</v>
      </c>
      <c r="H444" s="554"/>
      <c r="I444" s="447">
        <f t="shared" si="5"/>
        <v>1468800</v>
      </c>
    </row>
    <row r="445" spans="1:9" ht="51.75">
      <c r="A445" s="556" t="s">
        <v>1014</v>
      </c>
      <c r="B445" s="445" t="s">
        <v>1220</v>
      </c>
      <c r="C445" s="445" t="s">
        <v>721</v>
      </c>
      <c r="D445" s="445" t="s">
        <v>635</v>
      </c>
      <c r="E445" s="445" t="s">
        <v>1015</v>
      </c>
      <c r="F445" s="446"/>
      <c r="G445" s="553">
        <f>G446</f>
        <v>48449</v>
      </c>
      <c r="H445" s="554"/>
      <c r="I445" s="447">
        <f t="shared" si="5"/>
        <v>48449</v>
      </c>
    </row>
    <row r="446" spans="1:9" ht="26.25">
      <c r="A446" s="454" t="s">
        <v>654</v>
      </c>
      <c r="B446" s="445" t="s">
        <v>1220</v>
      </c>
      <c r="C446" s="445" t="s">
        <v>721</v>
      </c>
      <c r="D446" s="445" t="s">
        <v>635</v>
      </c>
      <c r="E446" s="445" t="s">
        <v>1015</v>
      </c>
      <c r="F446" s="446" t="s">
        <v>655</v>
      </c>
      <c r="G446" s="553">
        <f>48449</f>
        <v>48449</v>
      </c>
      <c r="H446" s="554"/>
      <c r="I446" s="447">
        <f t="shared" si="5"/>
        <v>48449</v>
      </c>
    </row>
    <row r="447" spans="1:9" ht="39">
      <c r="A447" s="556" t="s">
        <v>1016</v>
      </c>
      <c r="B447" s="445" t="s">
        <v>1220</v>
      </c>
      <c r="C447" s="445" t="s">
        <v>721</v>
      </c>
      <c r="D447" s="445" t="s">
        <v>635</v>
      </c>
      <c r="E447" s="445" t="s">
        <v>1017</v>
      </c>
      <c r="F447" s="446"/>
      <c r="G447" s="553">
        <f>G448</f>
        <v>500000</v>
      </c>
      <c r="H447" s="554"/>
      <c r="I447" s="447">
        <f t="shared" si="5"/>
        <v>500000</v>
      </c>
    </row>
    <row r="448" spans="1:9" ht="25.5" customHeight="1">
      <c r="A448" s="454" t="s">
        <v>654</v>
      </c>
      <c r="B448" s="445" t="s">
        <v>1220</v>
      </c>
      <c r="C448" s="445" t="s">
        <v>721</v>
      </c>
      <c r="D448" s="445" t="s">
        <v>635</v>
      </c>
      <c r="E448" s="445" t="s">
        <v>1017</v>
      </c>
      <c r="F448" s="446" t="s">
        <v>655</v>
      </c>
      <c r="G448" s="553">
        <f>500000</f>
        <v>500000</v>
      </c>
      <c r="H448" s="554"/>
      <c r="I448" s="447">
        <f t="shared" si="5"/>
        <v>500000</v>
      </c>
    </row>
    <row r="449" spans="1:9" ht="15" hidden="1">
      <c r="A449" s="502" t="s">
        <v>1018</v>
      </c>
      <c r="B449" s="445" t="s">
        <v>1220</v>
      </c>
      <c r="C449" s="445" t="s">
        <v>721</v>
      </c>
      <c r="D449" s="445" t="s">
        <v>635</v>
      </c>
      <c r="E449" s="445" t="s">
        <v>1019</v>
      </c>
      <c r="F449" s="446"/>
      <c r="G449" s="553">
        <f>G450</f>
        <v>0</v>
      </c>
      <c r="H449" s="554"/>
      <c r="I449" s="447">
        <f t="shared" si="5"/>
        <v>0</v>
      </c>
    </row>
    <row r="450" spans="1:9" ht="39" hidden="1">
      <c r="A450" s="454" t="s">
        <v>642</v>
      </c>
      <c r="B450" s="445" t="s">
        <v>1220</v>
      </c>
      <c r="C450" s="445" t="s">
        <v>721</v>
      </c>
      <c r="D450" s="445" t="s">
        <v>635</v>
      </c>
      <c r="E450" s="445" t="s">
        <v>1019</v>
      </c>
      <c r="F450" s="446" t="s">
        <v>643</v>
      </c>
      <c r="G450" s="553"/>
      <c r="H450" s="562"/>
      <c r="I450" s="447">
        <f t="shared" si="5"/>
        <v>0</v>
      </c>
    </row>
    <row r="451" spans="1:9" ht="27" customHeight="1">
      <c r="A451" s="466" t="s">
        <v>816</v>
      </c>
      <c r="B451" s="445" t="s">
        <v>1220</v>
      </c>
      <c r="C451" s="445" t="s">
        <v>721</v>
      </c>
      <c r="D451" s="445" t="s">
        <v>635</v>
      </c>
      <c r="E451" s="445" t="s">
        <v>1020</v>
      </c>
      <c r="F451" s="446"/>
      <c r="G451" s="553">
        <f>G452+G454+G453</f>
        <v>31949051.4</v>
      </c>
      <c r="H451" s="553">
        <f>H452+H454+H453</f>
        <v>7472921.9399999995</v>
      </c>
      <c r="I451" s="447">
        <f t="shared" si="5"/>
        <v>39421973.339999996</v>
      </c>
    </row>
    <row r="452" spans="1:9" ht="26.25">
      <c r="A452" s="454" t="s">
        <v>654</v>
      </c>
      <c r="B452" s="445" t="s">
        <v>1220</v>
      </c>
      <c r="C452" s="445" t="s">
        <v>721</v>
      </c>
      <c r="D452" s="445" t="s">
        <v>635</v>
      </c>
      <c r="E452" s="445" t="s">
        <v>1020</v>
      </c>
      <c r="F452" s="446" t="s">
        <v>655</v>
      </c>
      <c r="G452" s="553">
        <f>19425845+89480+1288450+248104.4+5038916+1989489</f>
        <v>28080284.4</v>
      </c>
      <c r="H452" s="566">
        <f>6327341+930000+172569.38+43011.56</f>
        <v>7472921.9399999995</v>
      </c>
      <c r="I452" s="447">
        <f t="shared" si="5"/>
        <v>35553206.339999996</v>
      </c>
    </row>
    <row r="453" spans="1:9" ht="26.25">
      <c r="A453" s="491" t="s">
        <v>870</v>
      </c>
      <c r="B453" s="445" t="s">
        <v>1220</v>
      </c>
      <c r="C453" s="445" t="s">
        <v>721</v>
      </c>
      <c r="D453" s="445" t="s">
        <v>635</v>
      </c>
      <c r="E453" s="445" t="s">
        <v>1020</v>
      </c>
      <c r="F453" s="446" t="s">
        <v>871</v>
      </c>
      <c r="G453" s="553">
        <f>600000</f>
        <v>600000</v>
      </c>
      <c r="H453" s="566"/>
      <c r="I453" s="447">
        <f t="shared" si="5"/>
        <v>600000</v>
      </c>
    </row>
    <row r="454" spans="1:9" ht="15">
      <c r="A454" s="466" t="s">
        <v>696</v>
      </c>
      <c r="B454" s="445" t="s">
        <v>1220</v>
      </c>
      <c r="C454" s="445" t="s">
        <v>721</v>
      </c>
      <c r="D454" s="445" t="s">
        <v>635</v>
      </c>
      <c r="E454" s="445" t="s">
        <v>1020</v>
      </c>
      <c r="F454" s="446" t="s">
        <v>697</v>
      </c>
      <c r="G454" s="553">
        <f>2072738+4000+53000+4000+1135029</f>
        <v>3268767</v>
      </c>
      <c r="H454" s="554"/>
      <c r="I454" s="447">
        <f t="shared" si="5"/>
        <v>3268767</v>
      </c>
    </row>
    <row r="455" spans="1:9" ht="15">
      <c r="A455" s="454" t="s">
        <v>1021</v>
      </c>
      <c r="B455" s="445" t="s">
        <v>1220</v>
      </c>
      <c r="C455" s="445" t="s">
        <v>721</v>
      </c>
      <c r="D455" s="445" t="s">
        <v>635</v>
      </c>
      <c r="E455" s="445" t="s">
        <v>1022</v>
      </c>
      <c r="F455" s="446"/>
      <c r="G455" s="553">
        <f>G456</f>
        <v>177600</v>
      </c>
      <c r="H455" s="554"/>
      <c r="I455" s="447">
        <f t="shared" si="5"/>
        <v>177600</v>
      </c>
    </row>
    <row r="456" spans="1:9" ht="25.5" customHeight="1">
      <c r="A456" s="454" t="s">
        <v>654</v>
      </c>
      <c r="B456" s="445" t="s">
        <v>1220</v>
      </c>
      <c r="C456" s="445" t="s">
        <v>721</v>
      </c>
      <c r="D456" s="445" t="s">
        <v>635</v>
      </c>
      <c r="E456" s="445" t="s">
        <v>1022</v>
      </c>
      <c r="F456" s="446" t="s">
        <v>655</v>
      </c>
      <c r="G456" s="553">
        <f>177600</f>
        <v>177600</v>
      </c>
      <c r="H456" s="562"/>
      <c r="I456" s="447">
        <f t="shared" si="5"/>
        <v>177600</v>
      </c>
    </row>
    <row r="457" spans="1:9" ht="25.5" hidden="1">
      <c r="A457" s="466" t="s">
        <v>1145</v>
      </c>
      <c r="B457" s="445" t="s">
        <v>1220</v>
      </c>
      <c r="C457" s="445" t="s">
        <v>721</v>
      </c>
      <c r="D457" s="445" t="s">
        <v>635</v>
      </c>
      <c r="E457" s="445" t="s">
        <v>1146</v>
      </c>
      <c r="F457" s="446"/>
      <c r="G457" s="553">
        <f>G458+G460</f>
        <v>0</v>
      </c>
      <c r="H457" s="554"/>
      <c r="I457" s="447">
        <f>G457+H457</f>
        <v>0</v>
      </c>
    </row>
    <row r="458" spans="1:9" ht="26.25" hidden="1">
      <c r="A458" s="556" t="s">
        <v>1232</v>
      </c>
      <c r="B458" s="445" t="s">
        <v>1220</v>
      </c>
      <c r="C458" s="445" t="s">
        <v>721</v>
      </c>
      <c r="D458" s="445" t="s">
        <v>635</v>
      </c>
      <c r="E458" s="445" t="s">
        <v>1233</v>
      </c>
      <c r="F458" s="446"/>
      <c r="G458" s="553">
        <f>G459</f>
        <v>0</v>
      </c>
      <c r="H458" s="554"/>
      <c r="I458" s="447">
        <f>G458+H458</f>
        <v>0</v>
      </c>
    </row>
    <row r="459" spans="1:9" ht="39" hidden="1">
      <c r="A459" s="454" t="s">
        <v>642</v>
      </c>
      <c r="B459" s="445" t="s">
        <v>1220</v>
      </c>
      <c r="C459" s="445" t="s">
        <v>721</v>
      </c>
      <c r="D459" s="445" t="s">
        <v>635</v>
      </c>
      <c r="E459" s="445" t="s">
        <v>1233</v>
      </c>
      <c r="F459" s="446" t="s">
        <v>643</v>
      </c>
      <c r="G459" s="553"/>
      <c r="H459" s="554"/>
      <c r="I459" s="447">
        <f>G459+H459</f>
        <v>0</v>
      </c>
    </row>
    <row r="460" spans="1:9" ht="26.25" hidden="1">
      <c r="A460" s="556" t="s">
        <v>1234</v>
      </c>
      <c r="B460" s="445" t="s">
        <v>1220</v>
      </c>
      <c r="C460" s="445" t="s">
        <v>721</v>
      </c>
      <c r="D460" s="445" t="s">
        <v>635</v>
      </c>
      <c r="E460" s="445" t="s">
        <v>1235</v>
      </c>
      <c r="F460" s="446"/>
      <c r="G460" s="553">
        <f>G461</f>
        <v>0</v>
      </c>
      <c r="H460" s="554"/>
      <c r="I460" s="447">
        <f aca="true" t="shared" si="6" ref="I460:I528">G460+H460</f>
        <v>0</v>
      </c>
    </row>
    <row r="461" spans="1:9" ht="39" hidden="1">
      <c r="A461" s="454" t="s">
        <v>642</v>
      </c>
      <c r="B461" s="445" t="s">
        <v>1220</v>
      </c>
      <c r="C461" s="445" t="s">
        <v>721</v>
      </c>
      <c r="D461" s="445" t="s">
        <v>635</v>
      </c>
      <c r="E461" s="445" t="s">
        <v>1235</v>
      </c>
      <c r="F461" s="446" t="s">
        <v>643</v>
      </c>
      <c r="G461" s="553">
        <f>100000-100000</f>
        <v>0</v>
      </c>
      <c r="H461" s="554"/>
      <c r="I461" s="447">
        <f>G461+H461</f>
        <v>0</v>
      </c>
    </row>
    <row r="462" spans="1:9" ht="39" hidden="1">
      <c r="A462" s="572" t="s">
        <v>1236</v>
      </c>
      <c r="B462" s="445" t="s">
        <v>1220</v>
      </c>
      <c r="C462" s="445" t="s">
        <v>721</v>
      </c>
      <c r="D462" s="445" t="s">
        <v>635</v>
      </c>
      <c r="E462" s="474" t="s">
        <v>912</v>
      </c>
      <c r="F462" s="446"/>
      <c r="G462" s="553">
        <f>G463</f>
        <v>0</v>
      </c>
      <c r="H462" s="554"/>
      <c r="I462" s="447">
        <f aca="true" t="shared" si="7" ref="I462:I468">G462+H462</f>
        <v>0</v>
      </c>
    </row>
    <row r="463" spans="1:9" ht="18" customHeight="1" hidden="1">
      <c r="A463" s="582" t="s">
        <v>1237</v>
      </c>
      <c r="B463" s="445" t="s">
        <v>1220</v>
      </c>
      <c r="C463" s="445" t="s">
        <v>721</v>
      </c>
      <c r="D463" s="445" t="s">
        <v>635</v>
      </c>
      <c r="E463" s="482" t="s">
        <v>959</v>
      </c>
      <c r="F463" s="446"/>
      <c r="G463" s="553">
        <f>G464</f>
        <v>0</v>
      </c>
      <c r="H463" s="554"/>
      <c r="I463" s="447">
        <f t="shared" si="7"/>
        <v>0</v>
      </c>
    </row>
    <row r="464" spans="1:9" ht="38.25" hidden="1">
      <c r="A464" s="466" t="s">
        <v>991</v>
      </c>
      <c r="B464" s="445" t="s">
        <v>1220</v>
      </c>
      <c r="C464" s="445" t="s">
        <v>721</v>
      </c>
      <c r="D464" s="445" t="s">
        <v>635</v>
      </c>
      <c r="E464" s="470" t="s">
        <v>992</v>
      </c>
      <c r="F464" s="446"/>
      <c r="G464" s="553">
        <f>G467+G465</f>
        <v>0</v>
      </c>
      <c r="H464" s="554"/>
      <c r="I464" s="447">
        <f t="shared" si="7"/>
        <v>0</v>
      </c>
    </row>
    <row r="465" spans="1:9" ht="24" hidden="1">
      <c r="A465" s="505" t="s">
        <v>993</v>
      </c>
      <c r="B465" s="445" t="s">
        <v>1220</v>
      </c>
      <c r="C465" s="445" t="s">
        <v>721</v>
      </c>
      <c r="D465" s="445" t="s">
        <v>635</v>
      </c>
      <c r="E465" s="470" t="s">
        <v>994</v>
      </c>
      <c r="F465" s="446"/>
      <c r="G465" s="553">
        <f>G466</f>
        <v>0</v>
      </c>
      <c r="H465" s="554"/>
      <c r="I465" s="447">
        <f>G465+H465</f>
        <v>0</v>
      </c>
    </row>
    <row r="466" spans="1:9" ht="26.25" hidden="1">
      <c r="A466" s="454" t="s">
        <v>870</v>
      </c>
      <c r="B466" s="445" t="s">
        <v>1220</v>
      </c>
      <c r="C466" s="445" t="s">
        <v>721</v>
      </c>
      <c r="D466" s="445" t="s">
        <v>635</v>
      </c>
      <c r="E466" s="470" t="s">
        <v>994</v>
      </c>
      <c r="F466" s="446" t="s">
        <v>871</v>
      </c>
      <c r="G466" s="553"/>
      <c r="H466" s="554"/>
      <c r="I466" s="447">
        <f>G466+H466</f>
        <v>0</v>
      </c>
    </row>
    <row r="467" spans="1:9" ht="24" hidden="1">
      <c r="A467" s="505" t="s">
        <v>995</v>
      </c>
      <c r="B467" s="445" t="s">
        <v>1220</v>
      </c>
      <c r="C467" s="445" t="s">
        <v>721</v>
      </c>
      <c r="D467" s="445" t="s">
        <v>635</v>
      </c>
      <c r="E467" s="470" t="s">
        <v>996</v>
      </c>
      <c r="F467" s="446"/>
      <c r="G467" s="553">
        <f>G468</f>
        <v>0</v>
      </c>
      <c r="H467" s="554"/>
      <c r="I467" s="447">
        <f t="shared" si="7"/>
        <v>0</v>
      </c>
    </row>
    <row r="468" spans="1:9" ht="26.25" hidden="1">
      <c r="A468" s="454" t="s">
        <v>870</v>
      </c>
      <c r="B468" s="445" t="s">
        <v>1220</v>
      </c>
      <c r="C468" s="445" t="s">
        <v>721</v>
      </c>
      <c r="D468" s="445" t="s">
        <v>635</v>
      </c>
      <c r="E468" s="470" t="s">
        <v>996</v>
      </c>
      <c r="F468" s="446" t="s">
        <v>871</v>
      </c>
      <c r="G468" s="553"/>
      <c r="H468" s="554"/>
      <c r="I468" s="447">
        <f t="shared" si="7"/>
        <v>0</v>
      </c>
    </row>
    <row r="469" spans="1:9" ht="54.75" customHeight="1">
      <c r="A469" s="489" t="s">
        <v>770</v>
      </c>
      <c r="B469" s="445" t="s">
        <v>1220</v>
      </c>
      <c r="C469" s="445" t="s">
        <v>721</v>
      </c>
      <c r="D469" s="445" t="s">
        <v>635</v>
      </c>
      <c r="E469" s="474" t="s">
        <v>771</v>
      </c>
      <c r="F469" s="446"/>
      <c r="G469" s="553">
        <f>G470</f>
        <v>167800</v>
      </c>
      <c r="H469" s="554"/>
      <c r="I469" s="447">
        <f t="shared" si="6"/>
        <v>167800</v>
      </c>
    </row>
    <row r="470" spans="1:9" ht="75.75" customHeight="1">
      <c r="A470" s="494" t="s">
        <v>772</v>
      </c>
      <c r="B470" s="445" t="s">
        <v>1220</v>
      </c>
      <c r="C470" s="457" t="s">
        <v>721</v>
      </c>
      <c r="D470" s="457" t="s">
        <v>635</v>
      </c>
      <c r="E470" s="482" t="s">
        <v>773</v>
      </c>
      <c r="F470" s="464"/>
      <c r="G470" s="555">
        <f>G471+G474</f>
        <v>167800</v>
      </c>
      <c r="H470" s="554"/>
      <c r="I470" s="447">
        <f t="shared" si="6"/>
        <v>167800</v>
      </c>
    </row>
    <row r="471" spans="1:9" ht="25.5" hidden="1">
      <c r="A471" s="569" t="s">
        <v>774</v>
      </c>
      <c r="B471" s="445" t="s">
        <v>1220</v>
      </c>
      <c r="C471" s="445" t="s">
        <v>721</v>
      </c>
      <c r="D471" s="445" t="s">
        <v>635</v>
      </c>
      <c r="E471" s="474" t="s">
        <v>775</v>
      </c>
      <c r="F471" s="446"/>
      <c r="G471" s="553">
        <f>G472</f>
        <v>0</v>
      </c>
      <c r="H471" s="554"/>
      <c r="I471" s="447">
        <f t="shared" si="6"/>
        <v>0</v>
      </c>
    </row>
    <row r="472" spans="1:9" ht="25.5" hidden="1">
      <c r="A472" s="466" t="s">
        <v>776</v>
      </c>
      <c r="B472" s="445" t="s">
        <v>1220</v>
      </c>
      <c r="C472" s="445" t="s">
        <v>721</v>
      </c>
      <c r="D472" s="445" t="s">
        <v>635</v>
      </c>
      <c r="E472" s="474" t="s">
        <v>777</v>
      </c>
      <c r="F472" s="446"/>
      <c r="G472" s="553">
        <f>G473</f>
        <v>0</v>
      </c>
      <c r="H472" s="554"/>
      <c r="I472" s="447">
        <f t="shared" si="6"/>
        <v>0</v>
      </c>
    </row>
    <row r="473" spans="1:9" ht="26.25" hidden="1">
      <c r="A473" s="454" t="s">
        <v>654</v>
      </c>
      <c r="B473" s="445" t="s">
        <v>1220</v>
      </c>
      <c r="C473" s="445" t="s">
        <v>721</v>
      </c>
      <c r="D473" s="445" t="s">
        <v>635</v>
      </c>
      <c r="E473" s="474" t="s">
        <v>777</v>
      </c>
      <c r="F473" s="446" t="s">
        <v>655</v>
      </c>
      <c r="G473" s="553"/>
      <c r="H473" s="562"/>
      <c r="I473" s="447">
        <f t="shared" si="6"/>
        <v>0</v>
      </c>
    </row>
    <row r="474" spans="1:9" ht="63.75" customHeight="1">
      <c r="A474" s="569" t="s">
        <v>1023</v>
      </c>
      <c r="B474" s="445" t="s">
        <v>1220</v>
      </c>
      <c r="C474" s="445" t="s">
        <v>721</v>
      </c>
      <c r="D474" s="445" t="s">
        <v>635</v>
      </c>
      <c r="E474" s="474" t="s">
        <v>1024</v>
      </c>
      <c r="F474" s="446"/>
      <c r="G474" s="553">
        <f>G475</f>
        <v>167800</v>
      </c>
      <c r="H474" s="554"/>
      <c r="I474" s="447">
        <f t="shared" si="6"/>
        <v>167800</v>
      </c>
    </row>
    <row r="475" spans="1:9" ht="30.75" customHeight="1">
      <c r="A475" s="466" t="s">
        <v>776</v>
      </c>
      <c r="B475" s="445" t="s">
        <v>1220</v>
      </c>
      <c r="C475" s="445" t="s">
        <v>721</v>
      </c>
      <c r="D475" s="445" t="s">
        <v>635</v>
      </c>
      <c r="E475" s="474" t="s">
        <v>1025</v>
      </c>
      <c r="F475" s="446"/>
      <c r="G475" s="553">
        <f>G476</f>
        <v>167800</v>
      </c>
      <c r="H475" s="554"/>
      <c r="I475" s="447">
        <f t="shared" si="6"/>
        <v>167800</v>
      </c>
    </row>
    <row r="476" spans="1:9" ht="34.5" customHeight="1">
      <c r="A476" s="454" t="s">
        <v>654</v>
      </c>
      <c r="B476" s="445" t="s">
        <v>1220</v>
      </c>
      <c r="C476" s="445" t="s">
        <v>721</v>
      </c>
      <c r="D476" s="445" t="s">
        <v>635</v>
      </c>
      <c r="E476" s="474" t="s">
        <v>1025</v>
      </c>
      <c r="F476" s="446" t="s">
        <v>655</v>
      </c>
      <c r="G476" s="553">
        <v>167800</v>
      </c>
      <c r="H476" s="562"/>
      <c r="I476" s="447">
        <f t="shared" si="6"/>
        <v>167800</v>
      </c>
    </row>
    <row r="477" spans="1:9" ht="42" customHeight="1">
      <c r="A477" s="508" t="s">
        <v>1026</v>
      </c>
      <c r="B477" s="445" t="s">
        <v>1220</v>
      </c>
      <c r="C477" s="445" t="s">
        <v>721</v>
      </c>
      <c r="D477" s="445" t="s">
        <v>635</v>
      </c>
      <c r="E477" s="445" t="s">
        <v>1027</v>
      </c>
      <c r="F477" s="456"/>
      <c r="G477" s="553">
        <f>G478</f>
        <v>10000</v>
      </c>
      <c r="H477" s="554"/>
      <c r="I477" s="447">
        <f t="shared" si="6"/>
        <v>10000</v>
      </c>
    </row>
    <row r="478" spans="1:9" s="461" customFormat="1" ht="60" customHeight="1">
      <c r="A478" s="465" t="s">
        <v>1028</v>
      </c>
      <c r="B478" s="445" t="s">
        <v>1220</v>
      </c>
      <c r="C478" s="457" t="s">
        <v>721</v>
      </c>
      <c r="D478" s="457" t="s">
        <v>635</v>
      </c>
      <c r="E478" s="457" t="s">
        <v>1029</v>
      </c>
      <c r="F478" s="459"/>
      <c r="G478" s="555">
        <f>G479</f>
        <v>10000</v>
      </c>
      <c r="H478" s="557"/>
      <c r="I478" s="460">
        <f t="shared" si="6"/>
        <v>10000</v>
      </c>
    </row>
    <row r="479" spans="1:9" ht="25.5">
      <c r="A479" s="496" t="s">
        <v>1030</v>
      </c>
      <c r="B479" s="445" t="s">
        <v>1220</v>
      </c>
      <c r="C479" s="445" t="s">
        <v>721</v>
      </c>
      <c r="D479" s="445" t="s">
        <v>635</v>
      </c>
      <c r="E479" s="445" t="s">
        <v>1031</v>
      </c>
      <c r="F479" s="456"/>
      <c r="G479" s="553">
        <f>G480</f>
        <v>10000</v>
      </c>
      <c r="H479" s="554"/>
      <c r="I479" s="447">
        <f t="shared" si="6"/>
        <v>10000</v>
      </c>
    </row>
    <row r="480" spans="1:9" ht="15">
      <c r="A480" s="496" t="s">
        <v>1032</v>
      </c>
      <c r="B480" s="445" t="s">
        <v>1220</v>
      </c>
      <c r="C480" s="445" t="s">
        <v>721</v>
      </c>
      <c r="D480" s="445" t="s">
        <v>635</v>
      </c>
      <c r="E480" s="445" t="s">
        <v>1033</v>
      </c>
      <c r="F480" s="456"/>
      <c r="G480" s="553">
        <f>G481</f>
        <v>10000</v>
      </c>
      <c r="H480" s="554"/>
      <c r="I480" s="447">
        <f t="shared" si="6"/>
        <v>10000</v>
      </c>
    </row>
    <row r="481" spans="1:9" ht="33.75" customHeight="1">
      <c r="A481" s="571" t="s">
        <v>654</v>
      </c>
      <c r="B481" s="445" t="s">
        <v>1220</v>
      </c>
      <c r="C481" s="445" t="s">
        <v>721</v>
      </c>
      <c r="D481" s="445" t="s">
        <v>635</v>
      </c>
      <c r="E481" s="445" t="s">
        <v>1033</v>
      </c>
      <c r="F481" s="446" t="s">
        <v>655</v>
      </c>
      <c r="G481" s="553">
        <f>10000</f>
        <v>10000</v>
      </c>
      <c r="H481" s="562"/>
      <c r="I481" s="447">
        <f t="shared" si="6"/>
        <v>10000</v>
      </c>
    </row>
    <row r="482" spans="1:9" ht="21" customHeight="1">
      <c r="A482" s="493" t="s">
        <v>1034</v>
      </c>
      <c r="B482" s="445" t="s">
        <v>1220</v>
      </c>
      <c r="C482" s="445" t="s">
        <v>721</v>
      </c>
      <c r="D482" s="445" t="s">
        <v>645</v>
      </c>
      <c r="E482" s="445"/>
      <c r="F482" s="446"/>
      <c r="G482" s="553">
        <f>G483</f>
        <v>23143897</v>
      </c>
      <c r="H482" s="554"/>
      <c r="I482" s="447">
        <f t="shared" si="6"/>
        <v>23143897</v>
      </c>
    </row>
    <row r="483" spans="1:9" ht="39" customHeight="1">
      <c r="A483" s="451" t="s">
        <v>982</v>
      </c>
      <c r="B483" s="457" t="s">
        <v>1220</v>
      </c>
      <c r="C483" s="445" t="s">
        <v>721</v>
      </c>
      <c r="D483" s="445" t="s">
        <v>645</v>
      </c>
      <c r="E483" s="445" t="s">
        <v>983</v>
      </c>
      <c r="F483" s="446"/>
      <c r="G483" s="553">
        <f>G484</f>
        <v>23143897</v>
      </c>
      <c r="H483" s="554"/>
      <c r="I483" s="447">
        <f t="shared" si="6"/>
        <v>23143897</v>
      </c>
    </row>
    <row r="484" spans="1:9" s="461" customFormat="1" ht="51.75">
      <c r="A484" s="454" t="s">
        <v>1035</v>
      </c>
      <c r="B484" s="445" t="s">
        <v>1220</v>
      </c>
      <c r="C484" s="457" t="s">
        <v>721</v>
      </c>
      <c r="D484" s="457" t="s">
        <v>645</v>
      </c>
      <c r="E484" s="457" t="s">
        <v>1036</v>
      </c>
      <c r="F484" s="464"/>
      <c r="G484" s="555">
        <f>G485</f>
        <v>23143897</v>
      </c>
      <c r="H484" s="557"/>
      <c r="I484" s="460">
        <f t="shared" si="6"/>
        <v>23143897</v>
      </c>
    </row>
    <row r="485" spans="1:9" ht="25.5">
      <c r="A485" s="466" t="s">
        <v>1037</v>
      </c>
      <c r="B485" s="445" t="s">
        <v>1220</v>
      </c>
      <c r="C485" s="445" t="s">
        <v>721</v>
      </c>
      <c r="D485" s="445" t="s">
        <v>645</v>
      </c>
      <c r="E485" s="445" t="s">
        <v>1038</v>
      </c>
      <c r="F485" s="446"/>
      <c r="G485" s="553">
        <f>G486</f>
        <v>23143897</v>
      </c>
      <c r="H485" s="554"/>
      <c r="I485" s="447">
        <f t="shared" si="6"/>
        <v>23143897</v>
      </c>
    </row>
    <row r="486" spans="1:9" ht="25.5">
      <c r="A486" s="466" t="s">
        <v>816</v>
      </c>
      <c r="B486" s="445" t="s">
        <v>1220</v>
      </c>
      <c r="C486" s="445" t="s">
        <v>721</v>
      </c>
      <c r="D486" s="445" t="s">
        <v>645</v>
      </c>
      <c r="E486" s="445" t="s">
        <v>1039</v>
      </c>
      <c r="F486" s="446"/>
      <c r="G486" s="553">
        <f>G487+G488+G490+G489</f>
        <v>23143897</v>
      </c>
      <c r="H486" s="554"/>
      <c r="I486" s="447">
        <f t="shared" si="6"/>
        <v>23143897</v>
      </c>
    </row>
    <row r="487" spans="1:9" ht="43.5" customHeight="1">
      <c r="A487" s="454" t="s">
        <v>642</v>
      </c>
      <c r="B487" s="445" t="s">
        <v>1220</v>
      </c>
      <c r="C487" s="445" t="s">
        <v>721</v>
      </c>
      <c r="D487" s="445" t="s">
        <v>645</v>
      </c>
      <c r="E487" s="445" t="s">
        <v>1039</v>
      </c>
      <c r="F487" s="446" t="s">
        <v>643</v>
      </c>
      <c r="G487" s="553">
        <v>14400300</v>
      </c>
      <c r="H487" s="554"/>
      <c r="I487" s="447">
        <f t="shared" si="6"/>
        <v>14400300</v>
      </c>
    </row>
    <row r="488" spans="1:9" ht="26.25" customHeight="1">
      <c r="A488" s="454" t="s">
        <v>654</v>
      </c>
      <c r="B488" s="445" t="s">
        <v>1220</v>
      </c>
      <c r="C488" s="445" t="s">
        <v>721</v>
      </c>
      <c r="D488" s="445" t="s">
        <v>645</v>
      </c>
      <c r="E488" s="445" t="s">
        <v>1039</v>
      </c>
      <c r="F488" s="446" t="s">
        <v>655</v>
      </c>
      <c r="G488" s="553">
        <f>644300+5760+3675000+798279+367800</f>
        <v>5491139</v>
      </c>
      <c r="H488" s="554"/>
      <c r="I488" s="447">
        <f t="shared" si="6"/>
        <v>5491139</v>
      </c>
    </row>
    <row r="489" spans="1:9" ht="29.25" customHeight="1">
      <c r="A489" s="491" t="s">
        <v>870</v>
      </c>
      <c r="B489" s="457" t="s">
        <v>1220</v>
      </c>
      <c r="C489" s="445" t="s">
        <v>721</v>
      </c>
      <c r="D489" s="445" t="s">
        <v>645</v>
      </c>
      <c r="E489" s="445" t="s">
        <v>1039</v>
      </c>
      <c r="F489" s="446" t="s">
        <v>871</v>
      </c>
      <c r="G489" s="553">
        <f>1510000+1640000</f>
        <v>3150000</v>
      </c>
      <c r="H489" s="554"/>
      <c r="I489" s="447">
        <f>G489+H489</f>
        <v>3150000</v>
      </c>
    </row>
    <row r="490" spans="1:9" ht="22.5" customHeight="1">
      <c r="A490" s="466" t="s">
        <v>696</v>
      </c>
      <c r="B490" s="457" t="s">
        <v>1220</v>
      </c>
      <c r="C490" s="445" t="s">
        <v>721</v>
      </c>
      <c r="D490" s="445" t="s">
        <v>645</v>
      </c>
      <c r="E490" s="445" t="s">
        <v>1039</v>
      </c>
      <c r="F490" s="446" t="s">
        <v>697</v>
      </c>
      <c r="G490" s="553">
        <f>115463-13005</f>
        <v>102458</v>
      </c>
      <c r="H490" s="554"/>
      <c r="I490" s="447">
        <f t="shared" si="6"/>
        <v>102458</v>
      </c>
    </row>
    <row r="491" spans="1:9" ht="15">
      <c r="A491" s="451" t="s">
        <v>1214</v>
      </c>
      <c r="B491" s="445" t="s">
        <v>1220</v>
      </c>
      <c r="C491" s="445" t="s">
        <v>721</v>
      </c>
      <c r="D491" s="445" t="s">
        <v>721</v>
      </c>
      <c r="E491" s="445"/>
      <c r="F491" s="446"/>
      <c r="G491" s="553">
        <f>G492</f>
        <v>1643360</v>
      </c>
      <c r="H491" s="554">
        <f>H492</f>
        <v>1240802.39</v>
      </c>
      <c r="I491" s="447">
        <f t="shared" si="6"/>
        <v>2884162.3899999997</v>
      </c>
    </row>
    <row r="492" spans="1:9" ht="53.25" customHeight="1">
      <c r="A492" s="466" t="s">
        <v>1044</v>
      </c>
      <c r="B492" s="445" t="s">
        <v>1220</v>
      </c>
      <c r="C492" s="445" t="s">
        <v>721</v>
      </c>
      <c r="D492" s="445" t="s">
        <v>721</v>
      </c>
      <c r="E492" s="474" t="s">
        <v>1045</v>
      </c>
      <c r="F492" s="446"/>
      <c r="G492" s="553">
        <f>G493</f>
        <v>1643360</v>
      </c>
      <c r="H492" s="554">
        <f>H493</f>
        <v>1240802.39</v>
      </c>
      <c r="I492" s="447">
        <f t="shared" si="6"/>
        <v>2884162.3899999997</v>
      </c>
    </row>
    <row r="493" spans="1:9" ht="60" customHeight="1">
      <c r="A493" s="490" t="s">
        <v>1052</v>
      </c>
      <c r="B493" s="445" t="s">
        <v>1220</v>
      </c>
      <c r="C493" s="445" t="s">
        <v>721</v>
      </c>
      <c r="D493" s="445" t="s">
        <v>721</v>
      </c>
      <c r="E493" s="474" t="s">
        <v>1053</v>
      </c>
      <c r="F493" s="481"/>
      <c r="G493" s="553">
        <f>G494+G502+G499</f>
        <v>1643360</v>
      </c>
      <c r="H493" s="554">
        <f>H495+H503</f>
        <v>1240802.39</v>
      </c>
      <c r="I493" s="447">
        <f t="shared" si="6"/>
        <v>2884162.3899999997</v>
      </c>
    </row>
    <row r="494" spans="1:9" ht="31.5" customHeight="1">
      <c r="A494" s="466" t="s">
        <v>1054</v>
      </c>
      <c r="B494" s="445" t="s">
        <v>1220</v>
      </c>
      <c r="C494" s="445" t="s">
        <v>721</v>
      </c>
      <c r="D494" s="445" t="s">
        <v>721</v>
      </c>
      <c r="E494" s="474" t="s">
        <v>1055</v>
      </c>
      <c r="F494" s="481"/>
      <c r="G494" s="553">
        <f>G495+G497</f>
        <v>758160</v>
      </c>
      <c r="H494" s="554"/>
      <c r="I494" s="447">
        <f t="shared" si="6"/>
        <v>758160</v>
      </c>
    </row>
    <row r="495" spans="1:9" ht="15">
      <c r="A495" s="451" t="s">
        <v>1056</v>
      </c>
      <c r="B495" s="445" t="s">
        <v>1220</v>
      </c>
      <c r="C495" s="445" t="s">
        <v>721</v>
      </c>
      <c r="D495" s="445" t="s">
        <v>721</v>
      </c>
      <c r="E495" s="474" t="s">
        <v>1057</v>
      </c>
      <c r="F495" s="446"/>
      <c r="G495" s="553">
        <f>G496</f>
        <v>237417</v>
      </c>
      <c r="H495" s="554"/>
      <c r="I495" s="447">
        <f t="shared" si="6"/>
        <v>237417</v>
      </c>
    </row>
    <row r="496" spans="1:9" ht="24.75">
      <c r="A496" s="571" t="s">
        <v>654</v>
      </c>
      <c r="B496" s="445" t="s">
        <v>1220</v>
      </c>
      <c r="C496" s="445" t="s">
        <v>721</v>
      </c>
      <c r="D496" s="445" t="s">
        <v>721</v>
      </c>
      <c r="E496" s="474" t="s">
        <v>1057</v>
      </c>
      <c r="F496" s="481" t="s">
        <v>655</v>
      </c>
      <c r="G496" s="575">
        <f>237417</f>
        <v>237417</v>
      </c>
      <c r="H496" s="554"/>
      <c r="I496" s="447">
        <f t="shared" si="6"/>
        <v>237417</v>
      </c>
    </row>
    <row r="497" spans="1:9" ht="15">
      <c r="A497" s="510" t="s">
        <v>1058</v>
      </c>
      <c r="B497" s="445" t="s">
        <v>1220</v>
      </c>
      <c r="C497" s="445" t="s">
        <v>721</v>
      </c>
      <c r="D497" s="445" t="s">
        <v>721</v>
      </c>
      <c r="E497" s="474" t="s">
        <v>1059</v>
      </c>
      <c r="F497" s="446"/>
      <c r="G497" s="575">
        <f>G498</f>
        <v>520743</v>
      </c>
      <c r="H497" s="554"/>
      <c r="I497" s="447">
        <f t="shared" si="6"/>
        <v>520743</v>
      </c>
    </row>
    <row r="498" spans="1:9" ht="24.75">
      <c r="A498" s="571" t="s">
        <v>654</v>
      </c>
      <c r="B498" s="445" t="s">
        <v>1220</v>
      </c>
      <c r="C498" s="445" t="s">
        <v>721</v>
      </c>
      <c r="D498" s="445" t="s">
        <v>721</v>
      </c>
      <c r="E498" s="474" t="s">
        <v>1059</v>
      </c>
      <c r="F498" s="481" t="s">
        <v>655</v>
      </c>
      <c r="G498" s="553">
        <f>500331+20412</f>
        <v>520743</v>
      </c>
      <c r="H498" s="562"/>
      <c r="I498" s="447">
        <f t="shared" si="6"/>
        <v>520743</v>
      </c>
    </row>
    <row r="499" spans="1:9" ht="22.5" customHeight="1">
      <c r="A499" s="466" t="s">
        <v>1062</v>
      </c>
      <c r="B499" s="445" t="s">
        <v>1220</v>
      </c>
      <c r="C499" s="445" t="s">
        <v>721</v>
      </c>
      <c r="D499" s="445" t="s">
        <v>721</v>
      </c>
      <c r="E499" s="474" t="s">
        <v>1063</v>
      </c>
      <c r="F499" s="481"/>
      <c r="G499" s="575">
        <f>G500</f>
        <v>36000</v>
      </c>
      <c r="H499" s="554"/>
      <c r="I499" s="447">
        <f t="shared" si="6"/>
        <v>36000</v>
      </c>
    </row>
    <row r="500" spans="1:9" ht="15" customHeight="1">
      <c r="A500" s="571" t="s">
        <v>1060</v>
      </c>
      <c r="B500" s="445" t="s">
        <v>1220</v>
      </c>
      <c r="C500" s="445" t="s">
        <v>721</v>
      </c>
      <c r="D500" s="445" t="s">
        <v>721</v>
      </c>
      <c r="E500" s="474" t="s">
        <v>1064</v>
      </c>
      <c r="F500" s="481"/>
      <c r="G500" s="575">
        <f>G501</f>
        <v>36000</v>
      </c>
      <c r="H500" s="554"/>
      <c r="I500" s="447">
        <f t="shared" si="6"/>
        <v>36000</v>
      </c>
    </row>
    <row r="501" spans="1:9" ht="24.75">
      <c r="A501" s="571" t="s">
        <v>654</v>
      </c>
      <c r="B501" s="445" t="s">
        <v>1220</v>
      </c>
      <c r="C501" s="445" t="s">
        <v>721</v>
      </c>
      <c r="D501" s="445" t="s">
        <v>721</v>
      </c>
      <c r="E501" s="474" t="s">
        <v>1064</v>
      </c>
      <c r="F501" s="481" t="s">
        <v>655</v>
      </c>
      <c r="G501" s="553">
        <f>36000</f>
        <v>36000</v>
      </c>
      <c r="H501" s="562"/>
      <c r="I501" s="447">
        <f t="shared" si="6"/>
        <v>36000</v>
      </c>
    </row>
    <row r="502" spans="1:9" ht="39.75" customHeight="1">
      <c r="A502" s="466" t="s">
        <v>1065</v>
      </c>
      <c r="B502" s="445" t="s">
        <v>1220</v>
      </c>
      <c r="C502" s="445" t="s">
        <v>721</v>
      </c>
      <c r="D502" s="445" t="s">
        <v>721</v>
      </c>
      <c r="E502" s="474" t="s">
        <v>1066</v>
      </c>
      <c r="F502" s="481"/>
      <c r="G502" s="553">
        <f>G503</f>
        <v>849200</v>
      </c>
      <c r="H502" s="554">
        <f>H503</f>
        <v>1240802.39</v>
      </c>
      <c r="I502" s="447">
        <f t="shared" si="6"/>
        <v>2090002.39</v>
      </c>
    </row>
    <row r="503" spans="1:9" ht="29.25" customHeight="1">
      <c r="A503" s="583" t="s">
        <v>816</v>
      </c>
      <c r="B503" s="445" t="s">
        <v>1220</v>
      </c>
      <c r="C503" s="445" t="s">
        <v>721</v>
      </c>
      <c r="D503" s="445" t="s">
        <v>721</v>
      </c>
      <c r="E503" s="474" t="s">
        <v>1067</v>
      </c>
      <c r="F503" s="481"/>
      <c r="G503" s="553">
        <f>G504+G505+G506</f>
        <v>849200</v>
      </c>
      <c r="H503" s="562">
        <f>H504+H505+H506</f>
        <v>1240802.39</v>
      </c>
      <c r="I503" s="447">
        <f t="shared" si="6"/>
        <v>2090002.39</v>
      </c>
    </row>
    <row r="504" spans="1:9" ht="27.75" customHeight="1">
      <c r="A504" s="451" t="s">
        <v>1068</v>
      </c>
      <c r="B504" s="445" t="s">
        <v>1220</v>
      </c>
      <c r="C504" s="445" t="s">
        <v>721</v>
      </c>
      <c r="D504" s="445" t="s">
        <v>721</v>
      </c>
      <c r="E504" s="474" t="s">
        <v>1067</v>
      </c>
      <c r="F504" s="446" t="s">
        <v>643</v>
      </c>
      <c r="G504" s="553">
        <v>616000</v>
      </c>
      <c r="H504" s="562"/>
      <c r="I504" s="447">
        <f t="shared" si="6"/>
        <v>616000</v>
      </c>
    </row>
    <row r="505" spans="1:9" ht="29.25" customHeight="1">
      <c r="A505" s="454" t="s">
        <v>654</v>
      </c>
      <c r="B505" s="445" t="s">
        <v>1220</v>
      </c>
      <c r="C505" s="445" t="s">
        <v>721</v>
      </c>
      <c r="D505" s="445" t="s">
        <v>721</v>
      </c>
      <c r="E505" s="474" t="s">
        <v>1067</v>
      </c>
      <c r="F505" s="481" t="s">
        <v>655</v>
      </c>
      <c r="G505" s="553">
        <f>123200+40000</f>
        <v>163200</v>
      </c>
      <c r="H505" s="562">
        <f>1231440+9362.39</f>
        <v>1240802.39</v>
      </c>
      <c r="I505" s="447">
        <f t="shared" si="6"/>
        <v>1404002.39</v>
      </c>
    </row>
    <row r="506" spans="1:9" ht="15">
      <c r="A506" s="466" t="s">
        <v>696</v>
      </c>
      <c r="B506" s="445" t="s">
        <v>1220</v>
      </c>
      <c r="C506" s="445" t="s">
        <v>721</v>
      </c>
      <c r="D506" s="445" t="s">
        <v>721</v>
      </c>
      <c r="E506" s="474" t="s">
        <v>1067</v>
      </c>
      <c r="F506" s="481" t="s">
        <v>697</v>
      </c>
      <c r="G506" s="553">
        <v>70000</v>
      </c>
      <c r="H506" s="562"/>
      <c r="I506" s="447">
        <f t="shared" si="6"/>
        <v>70000</v>
      </c>
    </row>
    <row r="507" spans="1:9" ht="15">
      <c r="A507" s="451" t="s">
        <v>1069</v>
      </c>
      <c r="B507" s="445" t="s">
        <v>1220</v>
      </c>
      <c r="C507" s="445" t="s">
        <v>721</v>
      </c>
      <c r="D507" s="445" t="s">
        <v>832</v>
      </c>
      <c r="E507" s="445"/>
      <c r="F507" s="446"/>
      <c r="G507" s="553">
        <f>G508+G520</f>
        <v>9010850</v>
      </c>
      <c r="H507" s="562"/>
      <c r="I507" s="447">
        <f t="shared" si="6"/>
        <v>9010850</v>
      </c>
    </row>
    <row r="508" spans="1:9" ht="36" customHeight="1">
      <c r="A508" s="451" t="s">
        <v>982</v>
      </c>
      <c r="B508" s="445" t="s">
        <v>1220</v>
      </c>
      <c r="C508" s="445" t="s">
        <v>721</v>
      </c>
      <c r="D508" s="445" t="s">
        <v>832</v>
      </c>
      <c r="E508" s="445" t="s">
        <v>983</v>
      </c>
      <c r="F508" s="446"/>
      <c r="G508" s="553">
        <f>G509</f>
        <v>9010850</v>
      </c>
      <c r="H508" s="562"/>
      <c r="I508" s="447">
        <f t="shared" si="6"/>
        <v>9010850</v>
      </c>
    </row>
    <row r="509" spans="1:9" ht="58.5" customHeight="1">
      <c r="A509" s="508" t="s">
        <v>1070</v>
      </c>
      <c r="B509" s="445" t="s">
        <v>1220</v>
      </c>
      <c r="C509" s="457" t="s">
        <v>721</v>
      </c>
      <c r="D509" s="457" t="s">
        <v>832</v>
      </c>
      <c r="E509" s="457" t="s">
        <v>1071</v>
      </c>
      <c r="F509" s="464"/>
      <c r="G509" s="555">
        <f>G510+G515</f>
        <v>9010850</v>
      </c>
      <c r="H509" s="554"/>
      <c r="I509" s="447">
        <f t="shared" si="6"/>
        <v>9010850</v>
      </c>
    </row>
    <row r="510" spans="1:9" ht="32.25" customHeight="1">
      <c r="A510" s="466" t="s">
        <v>1072</v>
      </c>
      <c r="B510" s="445" t="s">
        <v>1220</v>
      </c>
      <c r="C510" s="445" t="s">
        <v>721</v>
      </c>
      <c r="D510" s="445" t="s">
        <v>832</v>
      </c>
      <c r="E510" s="445" t="s">
        <v>1073</v>
      </c>
      <c r="F510" s="446"/>
      <c r="G510" s="553">
        <f>G511</f>
        <v>8787798</v>
      </c>
      <c r="H510" s="554"/>
      <c r="I510" s="447">
        <f t="shared" si="6"/>
        <v>8787798</v>
      </c>
    </row>
    <row r="511" spans="1:9" ht="28.5" customHeight="1">
      <c r="A511" s="466" t="s">
        <v>816</v>
      </c>
      <c r="B511" s="445" t="s">
        <v>1220</v>
      </c>
      <c r="C511" s="445" t="s">
        <v>721</v>
      </c>
      <c r="D511" s="445" t="s">
        <v>832</v>
      </c>
      <c r="E511" s="445" t="s">
        <v>1074</v>
      </c>
      <c r="F511" s="446"/>
      <c r="G511" s="553">
        <f>G512+G513+G514</f>
        <v>8787798</v>
      </c>
      <c r="H511" s="554"/>
      <c r="I511" s="447">
        <f t="shared" si="6"/>
        <v>8787798</v>
      </c>
    </row>
    <row r="512" spans="1:9" ht="42.75" customHeight="1">
      <c r="A512" s="454" t="s">
        <v>642</v>
      </c>
      <c r="B512" s="445" t="s">
        <v>1220</v>
      </c>
      <c r="C512" s="445" t="s">
        <v>721</v>
      </c>
      <c r="D512" s="445" t="s">
        <v>832</v>
      </c>
      <c r="E512" s="445" t="s">
        <v>1074</v>
      </c>
      <c r="F512" s="446" t="s">
        <v>643</v>
      </c>
      <c r="G512" s="553">
        <v>7573300</v>
      </c>
      <c r="H512" s="554"/>
      <c r="I512" s="447">
        <f t="shared" si="6"/>
        <v>7573300</v>
      </c>
    </row>
    <row r="513" spans="1:9" ht="26.25">
      <c r="A513" s="454" t="s">
        <v>654</v>
      </c>
      <c r="B513" s="445" t="s">
        <v>1220</v>
      </c>
      <c r="C513" s="445" t="s">
        <v>721</v>
      </c>
      <c r="D513" s="445" t="s">
        <v>832</v>
      </c>
      <c r="E513" s="445" t="s">
        <v>1074</v>
      </c>
      <c r="F513" s="446" t="s">
        <v>655</v>
      </c>
      <c r="G513" s="553">
        <f>517200+35500+100000+467547+60000</f>
        <v>1180247</v>
      </c>
      <c r="H513" s="554"/>
      <c r="I513" s="447">
        <f t="shared" si="6"/>
        <v>1180247</v>
      </c>
    </row>
    <row r="514" spans="1:9" ht="15.75" customHeight="1">
      <c r="A514" s="466" t="s">
        <v>696</v>
      </c>
      <c r="B514" s="445" t="s">
        <v>1220</v>
      </c>
      <c r="C514" s="445" t="s">
        <v>721</v>
      </c>
      <c r="D514" s="445" t="s">
        <v>832</v>
      </c>
      <c r="E514" s="445" t="s">
        <v>1074</v>
      </c>
      <c r="F514" s="446" t="s">
        <v>697</v>
      </c>
      <c r="G514" s="553">
        <f>35314-1063</f>
        <v>34251</v>
      </c>
      <c r="H514" s="554"/>
      <c r="I514" s="447">
        <f t="shared" si="6"/>
        <v>34251</v>
      </c>
    </row>
    <row r="515" spans="1:9" ht="29.25" customHeight="1">
      <c r="A515" s="466" t="s">
        <v>1075</v>
      </c>
      <c r="B515" s="445" t="s">
        <v>1220</v>
      </c>
      <c r="C515" s="445" t="s">
        <v>721</v>
      </c>
      <c r="D515" s="445" t="s">
        <v>832</v>
      </c>
      <c r="E515" s="445" t="s">
        <v>1076</v>
      </c>
      <c r="F515" s="446"/>
      <c r="G515" s="553">
        <f>G516+G518</f>
        <v>223052</v>
      </c>
      <c r="H515" s="554"/>
      <c r="I515" s="447">
        <f t="shared" si="6"/>
        <v>223052</v>
      </c>
    </row>
    <row r="516" spans="1:9" ht="34.5" customHeight="1">
      <c r="A516" s="511" t="s">
        <v>1077</v>
      </c>
      <c r="B516" s="445" t="s">
        <v>1220</v>
      </c>
      <c r="C516" s="445" t="s">
        <v>721</v>
      </c>
      <c r="D516" s="445" t="s">
        <v>832</v>
      </c>
      <c r="E516" s="445" t="s">
        <v>1078</v>
      </c>
      <c r="F516" s="446"/>
      <c r="G516" s="553">
        <f>G517</f>
        <v>223052</v>
      </c>
      <c r="H516" s="554"/>
      <c r="I516" s="447">
        <f t="shared" si="6"/>
        <v>223052</v>
      </c>
    </row>
    <row r="517" spans="1:9" ht="44.25" customHeight="1">
      <c r="A517" s="454" t="s">
        <v>642</v>
      </c>
      <c r="B517" s="445" t="s">
        <v>1220</v>
      </c>
      <c r="C517" s="445" t="s">
        <v>721</v>
      </c>
      <c r="D517" s="445" t="s">
        <v>832</v>
      </c>
      <c r="E517" s="445" t="s">
        <v>1078</v>
      </c>
      <c r="F517" s="446" t="s">
        <v>643</v>
      </c>
      <c r="G517" s="553">
        <v>223052</v>
      </c>
      <c r="H517" s="554"/>
      <c r="I517" s="447">
        <f t="shared" si="6"/>
        <v>223052</v>
      </c>
    </row>
    <row r="518" spans="1:9" ht="15" hidden="1">
      <c r="A518" s="454" t="s">
        <v>1021</v>
      </c>
      <c r="B518" s="445" t="s">
        <v>1220</v>
      </c>
      <c r="C518" s="445" t="s">
        <v>721</v>
      </c>
      <c r="D518" s="445" t="s">
        <v>832</v>
      </c>
      <c r="E518" s="445" t="s">
        <v>1079</v>
      </c>
      <c r="F518" s="446"/>
      <c r="G518" s="553">
        <f>G519</f>
        <v>0</v>
      </c>
      <c r="H518" s="562"/>
      <c r="I518" s="447">
        <f t="shared" si="6"/>
        <v>0</v>
      </c>
    </row>
    <row r="519" spans="1:9" ht="26.25" hidden="1">
      <c r="A519" s="454" t="s">
        <v>654</v>
      </c>
      <c r="B519" s="445" t="s">
        <v>1220</v>
      </c>
      <c r="C519" s="445" t="s">
        <v>721</v>
      </c>
      <c r="D519" s="445" t="s">
        <v>832</v>
      </c>
      <c r="E519" s="445" t="s">
        <v>1079</v>
      </c>
      <c r="F519" s="446" t="s">
        <v>655</v>
      </c>
      <c r="G519" s="553"/>
      <c r="H519" s="562"/>
      <c r="I519" s="447">
        <f t="shared" si="6"/>
        <v>0</v>
      </c>
    </row>
    <row r="520" spans="1:9" ht="25.5" hidden="1">
      <c r="A520" s="466" t="s">
        <v>1080</v>
      </c>
      <c r="B520" s="445" t="s">
        <v>1220</v>
      </c>
      <c r="C520" s="445" t="s">
        <v>721</v>
      </c>
      <c r="D520" s="445" t="s">
        <v>832</v>
      </c>
      <c r="E520" s="455" t="s">
        <v>1081</v>
      </c>
      <c r="F520" s="446"/>
      <c r="G520" s="553">
        <f>G521</f>
        <v>0</v>
      </c>
      <c r="H520" s="562"/>
      <c r="I520" s="447">
        <f t="shared" si="6"/>
        <v>0</v>
      </c>
    </row>
    <row r="521" spans="1:9" ht="26.25" customHeight="1" hidden="1">
      <c r="A521" s="466" t="s">
        <v>1082</v>
      </c>
      <c r="B521" s="445" t="s">
        <v>1220</v>
      </c>
      <c r="C521" s="445" t="s">
        <v>721</v>
      </c>
      <c r="D521" s="445" t="s">
        <v>832</v>
      </c>
      <c r="E521" s="455" t="s">
        <v>1083</v>
      </c>
      <c r="F521" s="446"/>
      <c r="G521" s="553">
        <f>G522</f>
        <v>0</v>
      </c>
      <c r="H521" s="562"/>
      <c r="I521" s="447">
        <f t="shared" si="6"/>
        <v>0</v>
      </c>
    </row>
    <row r="522" spans="1:9" ht="17.25" customHeight="1" hidden="1">
      <c r="A522" s="466" t="s">
        <v>1084</v>
      </c>
      <c r="B522" s="445" t="s">
        <v>1220</v>
      </c>
      <c r="C522" s="445" t="s">
        <v>721</v>
      </c>
      <c r="D522" s="445" t="s">
        <v>832</v>
      </c>
      <c r="E522" s="512" t="s">
        <v>1085</v>
      </c>
      <c r="F522" s="446"/>
      <c r="G522" s="553">
        <f>G523</f>
        <v>0</v>
      </c>
      <c r="H522" s="562"/>
      <c r="I522" s="447">
        <f t="shared" si="6"/>
        <v>0</v>
      </c>
    </row>
    <row r="523" spans="1:9" ht="26.25" hidden="1">
      <c r="A523" s="454" t="s">
        <v>654</v>
      </c>
      <c r="B523" s="445" t="s">
        <v>1220</v>
      </c>
      <c r="C523" s="445" t="s">
        <v>721</v>
      </c>
      <c r="D523" s="445" t="s">
        <v>832</v>
      </c>
      <c r="E523" s="455" t="s">
        <v>1085</v>
      </c>
      <c r="F523" s="446" t="s">
        <v>655</v>
      </c>
      <c r="G523" s="553"/>
      <c r="H523" s="562"/>
      <c r="I523" s="447">
        <f t="shared" si="6"/>
        <v>0</v>
      </c>
    </row>
    <row r="524" spans="1:9" ht="17.25" customHeight="1">
      <c r="A524" s="451" t="s">
        <v>1118</v>
      </c>
      <c r="B524" s="445" t="s">
        <v>1220</v>
      </c>
      <c r="C524" s="445">
        <v>10</v>
      </c>
      <c r="D524" s="445"/>
      <c r="E524" s="445"/>
      <c r="F524" s="446"/>
      <c r="G524" s="553">
        <f>G525+G537</f>
        <v>30500985</v>
      </c>
      <c r="H524" s="562"/>
      <c r="I524" s="447">
        <f t="shared" si="6"/>
        <v>30500985</v>
      </c>
    </row>
    <row r="525" spans="1:9" ht="16.5" customHeight="1">
      <c r="A525" s="451" t="s">
        <v>1128</v>
      </c>
      <c r="B525" s="445" t="s">
        <v>1220</v>
      </c>
      <c r="C525" s="445">
        <v>10</v>
      </c>
      <c r="D525" s="445" t="s">
        <v>645</v>
      </c>
      <c r="E525" s="445"/>
      <c r="F525" s="446"/>
      <c r="G525" s="553">
        <f>G526</f>
        <v>19366008</v>
      </c>
      <c r="H525" s="562"/>
      <c r="I525" s="447">
        <f t="shared" si="6"/>
        <v>19366008</v>
      </c>
    </row>
    <row r="526" spans="1:9" ht="27.75" customHeight="1">
      <c r="A526" s="451" t="s">
        <v>982</v>
      </c>
      <c r="B526" s="445" t="s">
        <v>1220</v>
      </c>
      <c r="C526" s="445">
        <v>10</v>
      </c>
      <c r="D526" s="445" t="s">
        <v>645</v>
      </c>
      <c r="E526" s="445" t="s">
        <v>983</v>
      </c>
      <c r="F526" s="446"/>
      <c r="G526" s="553">
        <f>G527+G532</f>
        <v>19366008</v>
      </c>
      <c r="H526" s="562"/>
      <c r="I526" s="447">
        <f t="shared" si="6"/>
        <v>19366008</v>
      </c>
    </row>
    <row r="527" spans="1:9" ht="45" customHeight="1">
      <c r="A527" s="509" t="s">
        <v>984</v>
      </c>
      <c r="B527" s="445" t="s">
        <v>1220</v>
      </c>
      <c r="C527" s="457">
        <v>10</v>
      </c>
      <c r="D527" s="457" t="s">
        <v>645</v>
      </c>
      <c r="E527" s="457" t="s">
        <v>985</v>
      </c>
      <c r="F527" s="464"/>
      <c r="G527" s="555">
        <f>G528</f>
        <v>18966008</v>
      </c>
      <c r="H527" s="562"/>
      <c r="I527" s="447">
        <f t="shared" si="6"/>
        <v>18966008</v>
      </c>
    </row>
    <row r="528" spans="1:9" ht="28.5" customHeight="1">
      <c r="A528" s="466" t="s">
        <v>1145</v>
      </c>
      <c r="B528" s="445" t="s">
        <v>1220</v>
      </c>
      <c r="C528" s="445">
        <v>10</v>
      </c>
      <c r="D528" s="445" t="s">
        <v>645</v>
      </c>
      <c r="E528" s="445" t="s">
        <v>1146</v>
      </c>
      <c r="F528" s="446"/>
      <c r="G528" s="553">
        <f>G529</f>
        <v>18966008</v>
      </c>
      <c r="H528" s="562"/>
      <c r="I528" s="447">
        <f t="shared" si="6"/>
        <v>18966008</v>
      </c>
    </row>
    <row r="529" spans="1:9" ht="53.25" customHeight="1">
      <c r="A529" s="556" t="s">
        <v>1147</v>
      </c>
      <c r="B529" s="445" t="s">
        <v>1220</v>
      </c>
      <c r="C529" s="445">
        <v>10</v>
      </c>
      <c r="D529" s="445" t="s">
        <v>645</v>
      </c>
      <c r="E529" s="445" t="s">
        <v>1148</v>
      </c>
      <c r="F529" s="446"/>
      <c r="G529" s="553">
        <f>G530+G531</f>
        <v>18966008</v>
      </c>
      <c r="H529" s="562"/>
      <c r="I529" s="447">
        <f aca="true" t="shared" si="8" ref="I529:I594">G529+H529</f>
        <v>18966008</v>
      </c>
    </row>
    <row r="530" spans="1:9" ht="26.25" hidden="1">
      <c r="A530" s="454" t="s">
        <v>654</v>
      </c>
      <c r="B530" s="445" t="s">
        <v>1220</v>
      </c>
      <c r="C530" s="445">
        <v>10</v>
      </c>
      <c r="D530" s="445" t="s">
        <v>645</v>
      </c>
      <c r="E530" s="445" t="s">
        <v>1148</v>
      </c>
      <c r="F530" s="446" t="s">
        <v>655</v>
      </c>
      <c r="G530" s="553"/>
      <c r="H530" s="562"/>
      <c r="I530" s="447">
        <f>G530+H530</f>
        <v>0</v>
      </c>
    </row>
    <row r="531" spans="1:9" ht="19.5" customHeight="1">
      <c r="A531" s="517" t="s">
        <v>827</v>
      </c>
      <c r="B531" s="445" t="s">
        <v>1220</v>
      </c>
      <c r="C531" s="445">
        <v>10</v>
      </c>
      <c r="D531" s="445" t="s">
        <v>645</v>
      </c>
      <c r="E531" s="445" t="s">
        <v>1148</v>
      </c>
      <c r="F531" s="446" t="s">
        <v>828</v>
      </c>
      <c r="G531" s="553">
        <v>18966008</v>
      </c>
      <c r="H531" s="562"/>
      <c r="I531" s="447">
        <f t="shared" si="8"/>
        <v>18966008</v>
      </c>
    </row>
    <row r="532" spans="1:9" ht="57.75" customHeight="1">
      <c r="A532" s="454" t="s">
        <v>1035</v>
      </c>
      <c r="B532" s="445" t="s">
        <v>1220</v>
      </c>
      <c r="C532" s="457">
        <v>10</v>
      </c>
      <c r="D532" s="457" t="s">
        <v>645</v>
      </c>
      <c r="E532" s="457" t="s">
        <v>1036</v>
      </c>
      <c r="F532" s="464"/>
      <c r="G532" s="555">
        <f>G533</f>
        <v>400000</v>
      </c>
      <c r="H532" s="562"/>
      <c r="I532" s="447">
        <f>G532+H532</f>
        <v>400000</v>
      </c>
    </row>
    <row r="533" spans="1:9" ht="29.25" customHeight="1">
      <c r="A533" s="518" t="s">
        <v>1149</v>
      </c>
      <c r="B533" s="445" t="s">
        <v>1220</v>
      </c>
      <c r="C533" s="445">
        <v>10</v>
      </c>
      <c r="D533" s="445" t="s">
        <v>645</v>
      </c>
      <c r="E533" s="445" t="s">
        <v>1150</v>
      </c>
      <c r="F533" s="446"/>
      <c r="G533" s="553">
        <f>G534</f>
        <v>400000</v>
      </c>
      <c r="H533" s="554"/>
      <c r="I533" s="447">
        <f>G533+H533</f>
        <v>400000</v>
      </c>
    </row>
    <row r="534" spans="1:9" ht="52.5" customHeight="1">
      <c r="A534" s="502" t="s">
        <v>1151</v>
      </c>
      <c r="B534" s="445" t="s">
        <v>1220</v>
      </c>
      <c r="C534" s="445">
        <v>10</v>
      </c>
      <c r="D534" s="445" t="s">
        <v>645</v>
      </c>
      <c r="E534" s="445" t="s">
        <v>1152</v>
      </c>
      <c r="F534" s="446"/>
      <c r="G534" s="553">
        <f>G536</f>
        <v>400000</v>
      </c>
      <c r="H534" s="554"/>
      <c r="I534" s="447">
        <f>G534+H534</f>
        <v>400000</v>
      </c>
    </row>
    <row r="535" spans="1:9" ht="26.25" hidden="1">
      <c r="A535" s="454" t="s">
        <v>654</v>
      </c>
      <c r="B535" s="445" t="s">
        <v>1220</v>
      </c>
      <c r="C535" s="445">
        <v>10</v>
      </c>
      <c r="D535" s="445" t="s">
        <v>645</v>
      </c>
      <c r="E535" s="445" t="s">
        <v>1152</v>
      </c>
      <c r="F535" s="446" t="s">
        <v>655</v>
      </c>
      <c r="G535" s="553"/>
      <c r="H535" s="554"/>
      <c r="I535" s="447">
        <f>G535+H535</f>
        <v>0</v>
      </c>
    </row>
    <row r="536" spans="1:9" ht="19.5" customHeight="1">
      <c r="A536" s="517" t="s">
        <v>827</v>
      </c>
      <c r="B536" s="445" t="s">
        <v>1220</v>
      </c>
      <c r="C536" s="445">
        <v>10</v>
      </c>
      <c r="D536" s="445" t="s">
        <v>645</v>
      </c>
      <c r="E536" s="445" t="s">
        <v>1152</v>
      </c>
      <c r="F536" s="446" t="s">
        <v>828</v>
      </c>
      <c r="G536" s="584">
        <v>400000</v>
      </c>
      <c r="H536" s="554"/>
      <c r="I536" s="447">
        <f>G536+H536</f>
        <v>400000</v>
      </c>
    </row>
    <row r="537" spans="1:9" ht="19.5" customHeight="1">
      <c r="A537" s="451" t="s">
        <v>1153</v>
      </c>
      <c r="B537" s="445" t="s">
        <v>1220</v>
      </c>
      <c r="C537" s="445">
        <v>10</v>
      </c>
      <c r="D537" s="445" t="s">
        <v>658</v>
      </c>
      <c r="E537" s="445"/>
      <c r="F537" s="446"/>
      <c r="G537" s="553">
        <f>G543+G538</f>
        <v>11134977</v>
      </c>
      <c r="H537" s="554"/>
      <c r="I537" s="447">
        <f t="shared" si="8"/>
        <v>11134977</v>
      </c>
    </row>
    <row r="538" spans="1:9" ht="47.25" customHeight="1">
      <c r="A538" s="451" t="s">
        <v>1206</v>
      </c>
      <c r="B538" s="445" t="s">
        <v>1220</v>
      </c>
      <c r="C538" s="445">
        <v>10</v>
      </c>
      <c r="D538" s="445" t="s">
        <v>658</v>
      </c>
      <c r="E538" s="520" t="s">
        <v>660</v>
      </c>
      <c r="F538" s="446"/>
      <c r="G538" s="553">
        <f>G539</f>
        <v>9054167</v>
      </c>
      <c r="H538" s="554"/>
      <c r="I538" s="447">
        <f t="shared" si="8"/>
        <v>9054167</v>
      </c>
    </row>
    <row r="539" spans="1:9" ht="58.5" customHeight="1">
      <c r="A539" s="490" t="s">
        <v>1156</v>
      </c>
      <c r="B539" s="445" t="s">
        <v>1220</v>
      </c>
      <c r="C539" s="445">
        <v>10</v>
      </c>
      <c r="D539" s="445" t="s">
        <v>658</v>
      </c>
      <c r="E539" s="445" t="s">
        <v>662</v>
      </c>
      <c r="F539" s="446"/>
      <c r="G539" s="553">
        <f>G541</f>
        <v>9054167</v>
      </c>
      <c r="H539" s="554"/>
      <c r="I539" s="447">
        <f t="shared" si="8"/>
        <v>9054167</v>
      </c>
    </row>
    <row r="540" spans="1:9" ht="40.5" customHeight="1">
      <c r="A540" s="466" t="s">
        <v>1157</v>
      </c>
      <c r="B540" s="445" t="s">
        <v>1220</v>
      </c>
      <c r="C540" s="445">
        <v>10</v>
      </c>
      <c r="D540" s="445" t="s">
        <v>658</v>
      </c>
      <c r="E540" s="445" t="s">
        <v>1158</v>
      </c>
      <c r="F540" s="446"/>
      <c r="G540" s="553">
        <f>G541</f>
        <v>9054167</v>
      </c>
      <c r="H540" s="554"/>
      <c r="I540" s="447">
        <f t="shared" si="8"/>
        <v>9054167</v>
      </c>
    </row>
    <row r="541" spans="1:9" ht="30.75" customHeight="1">
      <c r="A541" s="452" t="s">
        <v>1159</v>
      </c>
      <c r="B541" s="445" t="s">
        <v>1220</v>
      </c>
      <c r="C541" s="445">
        <v>10</v>
      </c>
      <c r="D541" s="445" t="s">
        <v>658</v>
      </c>
      <c r="E541" s="445" t="s">
        <v>1160</v>
      </c>
      <c r="F541" s="446"/>
      <c r="G541" s="553">
        <f>G542</f>
        <v>9054167</v>
      </c>
      <c r="H541" s="554"/>
      <c r="I541" s="447">
        <f t="shared" si="8"/>
        <v>9054167</v>
      </c>
    </row>
    <row r="542" spans="1:9" ht="19.5" customHeight="1">
      <c r="A542" s="517" t="s">
        <v>827</v>
      </c>
      <c r="B542" s="445" t="s">
        <v>1220</v>
      </c>
      <c r="C542" s="445">
        <v>10</v>
      </c>
      <c r="D542" s="445" t="s">
        <v>658</v>
      </c>
      <c r="E542" s="445" t="s">
        <v>1160</v>
      </c>
      <c r="F542" s="446" t="s">
        <v>828</v>
      </c>
      <c r="G542" s="553">
        <v>9054167</v>
      </c>
      <c r="H542" s="554"/>
      <c r="I542" s="447">
        <f t="shared" si="8"/>
        <v>9054167</v>
      </c>
    </row>
    <row r="543" spans="1:9" ht="32.25" customHeight="1">
      <c r="A543" s="451" t="s">
        <v>1161</v>
      </c>
      <c r="B543" s="445" t="s">
        <v>1220</v>
      </c>
      <c r="C543" s="445">
        <v>10</v>
      </c>
      <c r="D543" s="445" t="s">
        <v>658</v>
      </c>
      <c r="E543" s="520" t="s">
        <v>983</v>
      </c>
      <c r="F543" s="446"/>
      <c r="G543" s="553">
        <f>G544</f>
        <v>2080810</v>
      </c>
      <c r="H543" s="554"/>
      <c r="I543" s="447">
        <f t="shared" si="8"/>
        <v>2080810</v>
      </c>
    </row>
    <row r="544" spans="1:9" ht="48.75" customHeight="1">
      <c r="A544" s="509" t="s">
        <v>984</v>
      </c>
      <c r="B544" s="445" t="s">
        <v>1220</v>
      </c>
      <c r="C544" s="445">
        <v>10</v>
      </c>
      <c r="D544" s="445" t="s">
        <v>658</v>
      </c>
      <c r="E544" s="520" t="s">
        <v>985</v>
      </c>
      <c r="F544" s="446"/>
      <c r="G544" s="553">
        <f>G546</f>
        <v>2080810</v>
      </c>
      <c r="H544" s="554"/>
      <c r="I544" s="447">
        <f t="shared" si="8"/>
        <v>2080810</v>
      </c>
    </row>
    <row r="545" spans="1:9" ht="29.25" customHeight="1">
      <c r="A545" s="466" t="s">
        <v>986</v>
      </c>
      <c r="B545" s="445" t="s">
        <v>1220</v>
      </c>
      <c r="C545" s="445">
        <v>10</v>
      </c>
      <c r="D545" s="445" t="s">
        <v>658</v>
      </c>
      <c r="E545" s="520" t="s">
        <v>987</v>
      </c>
      <c r="F545" s="446"/>
      <c r="G545" s="553">
        <f>G546</f>
        <v>2080810</v>
      </c>
      <c r="H545" s="554"/>
      <c r="I545" s="447">
        <f t="shared" si="8"/>
        <v>2080810</v>
      </c>
    </row>
    <row r="546" spans="1:9" ht="14.25" customHeight="1">
      <c r="A546" s="585" t="s">
        <v>1162</v>
      </c>
      <c r="B546" s="445" t="s">
        <v>1220</v>
      </c>
      <c r="C546" s="445">
        <v>10</v>
      </c>
      <c r="D546" s="445" t="s">
        <v>658</v>
      </c>
      <c r="E546" s="520" t="s">
        <v>1163</v>
      </c>
      <c r="F546" s="446"/>
      <c r="G546" s="553">
        <f>G548+G547</f>
        <v>2080810</v>
      </c>
      <c r="H546" s="554"/>
      <c r="I546" s="447">
        <f t="shared" si="8"/>
        <v>2080810</v>
      </c>
    </row>
    <row r="547" spans="1:9" ht="28.5" customHeight="1" hidden="1">
      <c r="A547" s="571" t="s">
        <v>654</v>
      </c>
      <c r="B547" s="445" t="s">
        <v>1220</v>
      </c>
      <c r="C547" s="445">
        <v>10</v>
      </c>
      <c r="D547" s="445" t="s">
        <v>658</v>
      </c>
      <c r="E547" s="520" t="s">
        <v>1163</v>
      </c>
      <c r="F547" s="446" t="s">
        <v>655</v>
      </c>
      <c r="G547" s="553"/>
      <c r="H547" s="554"/>
      <c r="I547" s="447">
        <f t="shared" si="8"/>
        <v>0</v>
      </c>
    </row>
    <row r="548" spans="1:9" ht="16.5" customHeight="1">
      <c r="A548" s="517" t="s">
        <v>827</v>
      </c>
      <c r="B548" s="445" t="s">
        <v>1220</v>
      </c>
      <c r="C548" s="445">
        <v>10</v>
      </c>
      <c r="D548" s="445" t="s">
        <v>658</v>
      </c>
      <c r="E548" s="520" t="s">
        <v>1163</v>
      </c>
      <c r="F548" s="446" t="s">
        <v>828</v>
      </c>
      <c r="G548" s="553">
        <v>2080810</v>
      </c>
      <c r="H548" s="554"/>
      <c r="I548" s="447">
        <f t="shared" si="8"/>
        <v>2080810</v>
      </c>
    </row>
    <row r="549" spans="1:9" ht="33.75" customHeight="1">
      <c r="A549" s="552" t="s">
        <v>1238</v>
      </c>
      <c r="B549" s="445" t="s">
        <v>1239</v>
      </c>
      <c r="C549" s="445"/>
      <c r="D549" s="445"/>
      <c r="E549" s="445"/>
      <c r="F549" s="446"/>
      <c r="G549" s="553">
        <f>G557+G569+G608+G550</f>
        <v>53969079.04</v>
      </c>
      <c r="H549" s="554">
        <f>H557+H569+H608+H550</f>
        <v>1421790.33</v>
      </c>
      <c r="I549" s="447">
        <f t="shared" si="8"/>
        <v>55390869.37</v>
      </c>
    </row>
    <row r="550" spans="1:9" ht="15" hidden="1">
      <c r="A550" s="451" t="s">
        <v>850</v>
      </c>
      <c r="B550" s="445" t="s">
        <v>1239</v>
      </c>
      <c r="C550" s="445" t="s">
        <v>658</v>
      </c>
      <c r="D550" s="445"/>
      <c r="E550" s="445"/>
      <c r="F550" s="446"/>
      <c r="G550" s="553">
        <f>G551</f>
        <v>0</v>
      </c>
      <c r="H550" s="554">
        <f>H551</f>
        <v>0</v>
      </c>
      <c r="I550" s="447">
        <f t="shared" si="8"/>
        <v>0</v>
      </c>
    </row>
    <row r="551" spans="1:9" ht="15" hidden="1">
      <c r="A551" s="451" t="s">
        <v>891</v>
      </c>
      <c r="B551" s="445" t="s">
        <v>1239</v>
      </c>
      <c r="C551" s="445" t="s">
        <v>658</v>
      </c>
      <c r="D551" s="445" t="s">
        <v>892</v>
      </c>
      <c r="E551" s="445"/>
      <c r="F551" s="446"/>
      <c r="G551" s="553">
        <f>G552</f>
        <v>0</v>
      </c>
      <c r="H551" s="554"/>
      <c r="I551" s="447">
        <f t="shared" si="8"/>
        <v>0</v>
      </c>
    </row>
    <row r="552" spans="1:9" ht="54" customHeight="1" hidden="1">
      <c r="A552" s="570" t="s">
        <v>903</v>
      </c>
      <c r="B552" s="445" t="s">
        <v>1239</v>
      </c>
      <c r="C552" s="445" t="s">
        <v>658</v>
      </c>
      <c r="D552" s="445" t="s">
        <v>892</v>
      </c>
      <c r="E552" s="500" t="s">
        <v>904</v>
      </c>
      <c r="F552" s="446"/>
      <c r="G552" s="553">
        <f>G553</f>
        <v>0</v>
      </c>
      <c r="H552" s="554"/>
      <c r="I552" s="447">
        <f t="shared" si="8"/>
        <v>0</v>
      </c>
    </row>
    <row r="553" spans="1:9" ht="75.75" customHeight="1" hidden="1">
      <c r="A553" s="490" t="s">
        <v>1210</v>
      </c>
      <c r="B553" s="445" t="s">
        <v>1239</v>
      </c>
      <c r="C553" s="445" t="s">
        <v>658</v>
      </c>
      <c r="D553" s="445" t="s">
        <v>892</v>
      </c>
      <c r="E553" s="500" t="s">
        <v>906</v>
      </c>
      <c r="F553" s="446"/>
      <c r="G553" s="553">
        <f>G555</f>
        <v>0</v>
      </c>
      <c r="H553" s="554"/>
      <c r="I553" s="447">
        <f t="shared" si="8"/>
        <v>0</v>
      </c>
    </row>
    <row r="554" spans="1:9" ht="27" customHeight="1" hidden="1">
      <c r="A554" s="466" t="s">
        <v>907</v>
      </c>
      <c r="B554" s="445" t="s">
        <v>1239</v>
      </c>
      <c r="C554" s="445" t="s">
        <v>658</v>
      </c>
      <c r="D554" s="445" t="s">
        <v>892</v>
      </c>
      <c r="E554" s="500" t="s">
        <v>908</v>
      </c>
      <c r="F554" s="446"/>
      <c r="G554" s="553"/>
      <c r="H554" s="554"/>
      <c r="I554" s="447">
        <f>I555</f>
        <v>0</v>
      </c>
    </row>
    <row r="555" spans="1:9" ht="15.75" hidden="1">
      <c r="A555" s="444" t="s">
        <v>909</v>
      </c>
      <c r="B555" s="445" t="s">
        <v>1239</v>
      </c>
      <c r="C555" s="445" t="s">
        <v>658</v>
      </c>
      <c r="D555" s="445" t="s">
        <v>892</v>
      </c>
      <c r="E555" s="500" t="s">
        <v>910</v>
      </c>
      <c r="F555" s="446"/>
      <c r="G555" s="553">
        <f>G556</f>
        <v>0</v>
      </c>
      <c r="H555" s="554"/>
      <c r="I555" s="447">
        <f>G555+H555</f>
        <v>0</v>
      </c>
    </row>
    <row r="556" spans="1:9" ht="28.5" customHeight="1" hidden="1">
      <c r="A556" s="571" t="s">
        <v>654</v>
      </c>
      <c r="B556" s="445" t="s">
        <v>1239</v>
      </c>
      <c r="C556" s="445" t="s">
        <v>658</v>
      </c>
      <c r="D556" s="445" t="s">
        <v>892</v>
      </c>
      <c r="E556" s="500" t="s">
        <v>910</v>
      </c>
      <c r="F556" s="446" t="s">
        <v>655</v>
      </c>
      <c r="G556" s="553"/>
      <c r="H556" s="554"/>
      <c r="I556" s="447">
        <f>G556+H556</f>
        <v>0</v>
      </c>
    </row>
    <row r="557" spans="1:9" ht="15" customHeight="1">
      <c r="A557" s="451" t="s">
        <v>980</v>
      </c>
      <c r="B557" s="445" t="s">
        <v>1239</v>
      </c>
      <c r="C557" s="445" t="s">
        <v>721</v>
      </c>
      <c r="D557" s="445"/>
      <c r="E557" s="445"/>
      <c r="F557" s="446"/>
      <c r="G557" s="553">
        <f aca="true" t="shared" si="9" ref="G557:H559">G558</f>
        <v>19538300.04</v>
      </c>
      <c r="H557" s="554">
        <f t="shared" si="9"/>
        <v>0</v>
      </c>
      <c r="I557" s="447">
        <f t="shared" si="8"/>
        <v>19538300.04</v>
      </c>
    </row>
    <row r="558" spans="1:9" s="434" customFormat="1" ht="15.75">
      <c r="A558" s="493" t="s">
        <v>1034</v>
      </c>
      <c r="B558" s="445" t="s">
        <v>1239</v>
      </c>
      <c r="C558" s="445" t="s">
        <v>721</v>
      </c>
      <c r="D558" s="445" t="s">
        <v>645</v>
      </c>
      <c r="E558" s="445"/>
      <c r="F558" s="446"/>
      <c r="G558" s="553">
        <f t="shared" si="9"/>
        <v>19538300.04</v>
      </c>
      <c r="H558" s="554">
        <f t="shared" si="9"/>
        <v>0</v>
      </c>
      <c r="I558" s="447">
        <f t="shared" si="8"/>
        <v>19538300.04</v>
      </c>
    </row>
    <row r="559" spans="1:9" ht="42" customHeight="1">
      <c r="A559" s="451" t="s">
        <v>982</v>
      </c>
      <c r="B559" s="445" t="s">
        <v>1239</v>
      </c>
      <c r="C559" s="445" t="s">
        <v>721</v>
      </c>
      <c r="D559" s="445" t="s">
        <v>645</v>
      </c>
      <c r="E559" s="445" t="s">
        <v>983</v>
      </c>
      <c r="F559" s="446"/>
      <c r="G559" s="553">
        <f t="shared" si="9"/>
        <v>19538300.04</v>
      </c>
      <c r="H559" s="554">
        <f t="shared" si="9"/>
        <v>0</v>
      </c>
      <c r="I559" s="447">
        <f t="shared" si="8"/>
        <v>19538300.04</v>
      </c>
    </row>
    <row r="560" spans="1:9" ht="45" customHeight="1">
      <c r="A560" s="454" t="s">
        <v>1035</v>
      </c>
      <c r="B560" s="445" t="s">
        <v>1239</v>
      </c>
      <c r="C560" s="445" t="s">
        <v>721</v>
      </c>
      <c r="D560" s="445" t="s">
        <v>645</v>
      </c>
      <c r="E560" s="445" t="s">
        <v>1036</v>
      </c>
      <c r="F560" s="446"/>
      <c r="G560" s="553">
        <f>G561</f>
        <v>19538300.04</v>
      </c>
      <c r="H560" s="554">
        <f>H561</f>
        <v>0</v>
      </c>
      <c r="I560" s="447">
        <f t="shared" si="8"/>
        <v>19538300.04</v>
      </c>
    </row>
    <row r="561" spans="1:9" ht="18.75" customHeight="1">
      <c r="A561" s="466" t="s">
        <v>1040</v>
      </c>
      <c r="B561" s="445" t="s">
        <v>1239</v>
      </c>
      <c r="C561" s="445" t="s">
        <v>721</v>
      </c>
      <c r="D561" s="445" t="s">
        <v>645</v>
      </c>
      <c r="E561" s="445" t="s">
        <v>1041</v>
      </c>
      <c r="F561" s="446"/>
      <c r="G561" s="553">
        <f>G562</f>
        <v>19538300.04</v>
      </c>
      <c r="H561" s="554">
        <f>H562</f>
        <v>0</v>
      </c>
      <c r="I561" s="447">
        <f t="shared" si="8"/>
        <v>19538300.04</v>
      </c>
    </row>
    <row r="562" spans="1:9" ht="29.25" customHeight="1">
      <c r="A562" s="466" t="s">
        <v>816</v>
      </c>
      <c r="B562" s="445" t="s">
        <v>1239</v>
      </c>
      <c r="C562" s="445" t="s">
        <v>721</v>
      </c>
      <c r="D562" s="445" t="s">
        <v>645</v>
      </c>
      <c r="E562" s="445" t="s">
        <v>1042</v>
      </c>
      <c r="F562" s="446"/>
      <c r="G562" s="553">
        <f>G563+G564+G565</f>
        <v>19538300.04</v>
      </c>
      <c r="H562" s="554">
        <f>H563+H564+H565</f>
        <v>0</v>
      </c>
      <c r="I562" s="447">
        <f t="shared" si="8"/>
        <v>19538300.04</v>
      </c>
    </row>
    <row r="563" spans="1:9" ht="41.25" customHeight="1">
      <c r="A563" s="454" t="s">
        <v>642</v>
      </c>
      <c r="B563" s="445" t="s">
        <v>1239</v>
      </c>
      <c r="C563" s="445" t="s">
        <v>721</v>
      </c>
      <c r="D563" s="445" t="s">
        <v>645</v>
      </c>
      <c r="E563" s="445" t="s">
        <v>1042</v>
      </c>
      <c r="F563" s="446" t="s">
        <v>643</v>
      </c>
      <c r="G563" s="553">
        <v>17937600</v>
      </c>
      <c r="H563" s="554"/>
      <c r="I563" s="447">
        <f t="shared" si="8"/>
        <v>17937600</v>
      </c>
    </row>
    <row r="564" spans="1:9" ht="27" customHeight="1">
      <c r="A564" s="454" t="s">
        <v>654</v>
      </c>
      <c r="B564" s="445" t="s">
        <v>1239</v>
      </c>
      <c r="C564" s="445" t="s">
        <v>721</v>
      </c>
      <c r="D564" s="445" t="s">
        <v>645</v>
      </c>
      <c r="E564" s="445" t="s">
        <v>1042</v>
      </c>
      <c r="F564" s="446" t="s">
        <v>655</v>
      </c>
      <c r="G564" s="553">
        <f>688100+61300+400700.04+4900+370000+30000</f>
        <v>1555000.04</v>
      </c>
      <c r="H564" s="554"/>
      <c r="I564" s="447">
        <f t="shared" si="8"/>
        <v>1555000.04</v>
      </c>
    </row>
    <row r="565" spans="1:9" ht="15" customHeight="1">
      <c r="A565" s="466" t="s">
        <v>696</v>
      </c>
      <c r="B565" s="445" t="s">
        <v>1239</v>
      </c>
      <c r="C565" s="445" t="s">
        <v>721</v>
      </c>
      <c r="D565" s="445" t="s">
        <v>645</v>
      </c>
      <c r="E565" s="445" t="s">
        <v>1042</v>
      </c>
      <c r="F565" s="446" t="s">
        <v>697</v>
      </c>
      <c r="G565" s="553">
        <v>45700</v>
      </c>
      <c r="H565" s="554"/>
      <c r="I565" s="447">
        <f t="shared" si="8"/>
        <v>45700</v>
      </c>
    </row>
    <row r="566" spans="1:9" ht="15" customHeight="1" hidden="1">
      <c r="A566" s="466" t="s">
        <v>1240</v>
      </c>
      <c r="B566" s="445" t="s">
        <v>1239</v>
      </c>
      <c r="C566" s="445" t="s">
        <v>721</v>
      </c>
      <c r="D566" s="445" t="s">
        <v>635</v>
      </c>
      <c r="E566" s="445" t="s">
        <v>1241</v>
      </c>
      <c r="F566" s="446"/>
      <c r="G566" s="553">
        <f>G568+G567</f>
        <v>0</v>
      </c>
      <c r="H566" s="554">
        <f>H568+H567</f>
        <v>0</v>
      </c>
      <c r="I566" s="447">
        <f t="shared" si="8"/>
        <v>0</v>
      </c>
    </row>
    <row r="567" spans="1:9" ht="39.75" customHeight="1" hidden="1">
      <c r="A567" s="454" t="s">
        <v>642</v>
      </c>
      <c r="B567" s="445" t="s">
        <v>1239</v>
      </c>
      <c r="C567" s="445" t="s">
        <v>721</v>
      </c>
      <c r="D567" s="445" t="s">
        <v>635</v>
      </c>
      <c r="E567" s="445" t="s">
        <v>1241</v>
      </c>
      <c r="F567" s="446" t="s">
        <v>643</v>
      </c>
      <c r="G567" s="553"/>
      <c r="H567" s="554"/>
      <c r="I567" s="447">
        <f t="shared" si="8"/>
        <v>0</v>
      </c>
    </row>
    <row r="568" spans="1:9" ht="15" customHeight="1" hidden="1">
      <c r="A568" s="454" t="s">
        <v>704</v>
      </c>
      <c r="B568" s="445" t="s">
        <v>1239</v>
      </c>
      <c r="C568" s="445" t="s">
        <v>721</v>
      </c>
      <c r="D568" s="445" t="s">
        <v>635</v>
      </c>
      <c r="E568" s="445" t="s">
        <v>1241</v>
      </c>
      <c r="F568" s="446" t="s">
        <v>655</v>
      </c>
      <c r="G568" s="553"/>
      <c r="H568" s="554"/>
      <c r="I568" s="447">
        <f t="shared" si="8"/>
        <v>0</v>
      </c>
    </row>
    <row r="569" spans="1:9" ht="15.75" customHeight="1">
      <c r="A569" s="451" t="s">
        <v>1086</v>
      </c>
      <c r="B569" s="445" t="s">
        <v>1239</v>
      </c>
      <c r="C569" s="445" t="s">
        <v>852</v>
      </c>
      <c r="D569" s="445"/>
      <c r="E569" s="445"/>
      <c r="F569" s="446"/>
      <c r="G569" s="553">
        <f>G570+G597</f>
        <v>31754872</v>
      </c>
      <c r="H569" s="554">
        <f>H570+H597</f>
        <v>1421790.33</v>
      </c>
      <c r="I569" s="447">
        <f t="shared" si="8"/>
        <v>33176662.33</v>
      </c>
    </row>
    <row r="570" spans="1:9" ht="15">
      <c r="A570" s="451" t="s">
        <v>1242</v>
      </c>
      <c r="B570" s="445" t="s">
        <v>1239</v>
      </c>
      <c r="C570" s="445" t="s">
        <v>852</v>
      </c>
      <c r="D570" s="445" t="s">
        <v>633</v>
      </c>
      <c r="E570" s="445"/>
      <c r="F570" s="446"/>
      <c r="G570" s="553">
        <f>G571+G584</f>
        <v>27794700</v>
      </c>
      <c r="H570" s="553">
        <f>H571+H584</f>
        <v>1421790.33</v>
      </c>
      <c r="I570" s="447">
        <f t="shared" si="8"/>
        <v>29216490.33</v>
      </c>
    </row>
    <row r="571" spans="1:9" ht="31.5" customHeight="1">
      <c r="A571" s="451" t="s">
        <v>1088</v>
      </c>
      <c r="B571" s="445" t="s">
        <v>1239</v>
      </c>
      <c r="C571" s="445" t="s">
        <v>852</v>
      </c>
      <c r="D571" s="445" t="s">
        <v>633</v>
      </c>
      <c r="E571" s="445" t="s">
        <v>1089</v>
      </c>
      <c r="F571" s="446"/>
      <c r="G571" s="553">
        <f>G572+G589</f>
        <v>27789700</v>
      </c>
      <c r="H571" s="554">
        <f>H572+H589</f>
        <v>1421790.33</v>
      </c>
      <c r="I571" s="447">
        <f t="shared" si="8"/>
        <v>29211490.33</v>
      </c>
    </row>
    <row r="572" spans="1:9" s="461" customFormat="1" ht="45.75" customHeight="1">
      <c r="A572" s="451" t="s">
        <v>1090</v>
      </c>
      <c r="B572" s="445" t="s">
        <v>1239</v>
      </c>
      <c r="C572" s="457" t="s">
        <v>1091</v>
      </c>
      <c r="D572" s="457" t="s">
        <v>633</v>
      </c>
      <c r="E572" s="457" t="s">
        <v>1092</v>
      </c>
      <c r="F572" s="464"/>
      <c r="G572" s="555">
        <f>G573</f>
        <v>17388400</v>
      </c>
      <c r="H572" s="555">
        <f>H573</f>
        <v>1421790.33</v>
      </c>
      <c r="I572" s="447">
        <f t="shared" si="8"/>
        <v>18810190.33</v>
      </c>
    </row>
    <row r="573" spans="1:9" ht="39.75" customHeight="1">
      <c r="A573" s="465" t="s">
        <v>1093</v>
      </c>
      <c r="B573" s="445" t="s">
        <v>1239</v>
      </c>
      <c r="C573" s="445" t="s">
        <v>1091</v>
      </c>
      <c r="D573" s="445" t="s">
        <v>633</v>
      </c>
      <c r="E573" s="445" t="s">
        <v>1094</v>
      </c>
      <c r="F573" s="446"/>
      <c r="G573" s="553">
        <f>G574+G578+G576+G582</f>
        <v>17388400</v>
      </c>
      <c r="H573" s="553">
        <f>H574+H578+H576+H582</f>
        <v>1421790.33</v>
      </c>
      <c r="I573" s="447">
        <f t="shared" si="8"/>
        <v>18810190.33</v>
      </c>
    </row>
    <row r="574" spans="1:9" ht="15" hidden="1">
      <c r="A574" s="466" t="s">
        <v>1243</v>
      </c>
      <c r="B574" s="445" t="s">
        <v>1239</v>
      </c>
      <c r="C574" s="445" t="s">
        <v>1091</v>
      </c>
      <c r="D574" s="445" t="s">
        <v>633</v>
      </c>
      <c r="E574" s="445" t="s">
        <v>1244</v>
      </c>
      <c r="F574" s="446"/>
      <c r="G574" s="553">
        <f>G575</f>
        <v>0</v>
      </c>
      <c r="H574" s="553">
        <f>H575</f>
        <v>0</v>
      </c>
      <c r="I574" s="447">
        <f t="shared" si="8"/>
        <v>0</v>
      </c>
    </row>
    <row r="575" spans="1:9" ht="24.75" hidden="1">
      <c r="A575" s="571" t="s">
        <v>654</v>
      </c>
      <c r="B575" s="445" t="s">
        <v>1239</v>
      </c>
      <c r="C575" s="445" t="s">
        <v>1091</v>
      </c>
      <c r="D575" s="445" t="s">
        <v>633</v>
      </c>
      <c r="E575" s="445" t="s">
        <v>1244</v>
      </c>
      <c r="F575" s="446" t="s">
        <v>655</v>
      </c>
      <c r="G575" s="553"/>
      <c r="H575" s="553"/>
      <c r="I575" s="447">
        <f t="shared" si="8"/>
        <v>0</v>
      </c>
    </row>
    <row r="576" spans="1:9" ht="26.25" hidden="1">
      <c r="A576" s="556" t="s">
        <v>1245</v>
      </c>
      <c r="B576" s="445" t="s">
        <v>1239</v>
      </c>
      <c r="C576" s="445" t="s">
        <v>1091</v>
      </c>
      <c r="D576" s="445" t="s">
        <v>633</v>
      </c>
      <c r="E576" s="445" t="s">
        <v>1246</v>
      </c>
      <c r="F576" s="446"/>
      <c r="G576" s="553">
        <f>G577</f>
        <v>0</v>
      </c>
      <c r="H576" s="553">
        <f>H577</f>
        <v>0</v>
      </c>
      <c r="I576" s="447">
        <f t="shared" si="8"/>
        <v>0</v>
      </c>
    </row>
    <row r="577" spans="1:9" ht="26.25" hidden="1">
      <c r="A577" s="454" t="s">
        <v>654</v>
      </c>
      <c r="B577" s="457" t="s">
        <v>1239</v>
      </c>
      <c r="C577" s="445" t="s">
        <v>1091</v>
      </c>
      <c r="D577" s="445" t="s">
        <v>633</v>
      </c>
      <c r="E577" s="445" t="s">
        <v>1246</v>
      </c>
      <c r="F577" s="446" t="s">
        <v>655</v>
      </c>
      <c r="G577" s="553"/>
      <c r="H577" s="553"/>
      <c r="I577" s="447">
        <f t="shared" si="8"/>
        <v>0</v>
      </c>
    </row>
    <row r="578" spans="1:9" ht="26.25">
      <c r="A578" s="451" t="s">
        <v>816</v>
      </c>
      <c r="B578" s="445" t="s">
        <v>1239</v>
      </c>
      <c r="C578" s="445" t="s">
        <v>1091</v>
      </c>
      <c r="D578" s="445" t="s">
        <v>633</v>
      </c>
      <c r="E578" s="445" t="s">
        <v>1095</v>
      </c>
      <c r="F578" s="446"/>
      <c r="G578" s="553">
        <f>G579+G580+G581</f>
        <v>16017400</v>
      </c>
      <c r="H578" s="553">
        <f>H579+H580+H581</f>
        <v>1421790.33</v>
      </c>
      <c r="I578" s="447">
        <f t="shared" si="8"/>
        <v>17439190.33</v>
      </c>
    </row>
    <row r="579" spans="1:9" ht="48" customHeight="1">
      <c r="A579" s="454" t="s">
        <v>642</v>
      </c>
      <c r="B579" s="445" t="s">
        <v>1239</v>
      </c>
      <c r="C579" s="445" t="s">
        <v>1091</v>
      </c>
      <c r="D579" s="445" t="s">
        <v>633</v>
      </c>
      <c r="E579" s="445" t="s">
        <v>1095</v>
      </c>
      <c r="F579" s="446" t="s">
        <v>643</v>
      </c>
      <c r="G579" s="553">
        <v>10765600</v>
      </c>
      <c r="H579" s="554">
        <v>10000</v>
      </c>
      <c r="I579" s="447">
        <f t="shared" si="8"/>
        <v>10775600</v>
      </c>
    </row>
    <row r="580" spans="1:9" ht="26.25" customHeight="1">
      <c r="A580" s="454" t="s">
        <v>654</v>
      </c>
      <c r="B580" s="445" t="s">
        <v>1239</v>
      </c>
      <c r="C580" s="445" t="s">
        <v>1091</v>
      </c>
      <c r="D580" s="445" t="s">
        <v>633</v>
      </c>
      <c r="E580" s="445" t="s">
        <v>1095</v>
      </c>
      <c r="F580" s="446" t="s">
        <v>655</v>
      </c>
      <c r="G580" s="553">
        <f>1009100-20000+20000+800000+1256000+140000+750000+1127800</f>
        <v>5082900</v>
      </c>
      <c r="H580" s="554">
        <f>636648+44690.88+18451.45+712000</f>
        <v>1411790.33</v>
      </c>
      <c r="I580" s="447">
        <f t="shared" si="8"/>
        <v>6494690.33</v>
      </c>
    </row>
    <row r="581" spans="1:9" ht="21" customHeight="1">
      <c r="A581" s="486" t="s">
        <v>696</v>
      </c>
      <c r="B581" s="445" t="s">
        <v>1239</v>
      </c>
      <c r="C581" s="445" t="s">
        <v>1091</v>
      </c>
      <c r="D581" s="445" t="s">
        <v>633</v>
      </c>
      <c r="E581" s="445" t="s">
        <v>1095</v>
      </c>
      <c r="F581" s="446" t="s">
        <v>697</v>
      </c>
      <c r="G581" s="553">
        <f>67400+100000-2500+4000</f>
        <v>168900</v>
      </c>
      <c r="H581" s="554"/>
      <c r="I581" s="447">
        <f t="shared" si="8"/>
        <v>168900</v>
      </c>
    </row>
    <row r="582" spans="1:9" ht="31.5" customHeight="1">
      <c r="A582" s="454" t="s">
        <v>1096</v>
      </c>
      <c r="B582" s="445" t="s">
        <v>1239</v>
      </c>
      <c r="C582" s="445" t="s">
        <v>852</v>
      </c>
      <c r="D582" s="445" t="s">
        <v>633</v>
      </c>
      <c r="E582" s="445" t="s">
        <v>1097</v>
      </c>
      <c r="F582" s="446"/>
      <c r="G582" s="553">
        <f>G583</f>
        <v>1371000</v>
      </c>
      <c r="H582" s="554"/>
      <c r="I582" s="447">
        <f t="shared" si="8"/>
        <v>1371000</v>
      </c>
    </row>
    <row r="583" spans="1:9" ht="28.5" customHeight="1">
      <c r="A583" s="454" t="s">
        <v>654</v>
      </c>
      <c r="B583" s="445" t="s">
        <v>1239</v>
      </c>
      <c r="C583" s="445" t="s">
        <v>852</v>
      </c>
      <c r="D583" s="445" t="s">
        <v>633</v>
      </c>
      <c r="E583" s="445" t="s">
        <v>1097</v>
      </c>
      <c r="F583" s="446" t="s">
        <v>655</v>
      </c>
      <c r="G583" s="553">
        <f>68550+1302450</f>
        <v>1371000</v>
      </c>
      <c r="H583" s="554"/>
      <c r="I583" s="447">
        <f t="shared" si="8"/>
        <v>1371000</v>
      </c>
    </row>
    <row r="584" spans="1:9" ht="35.25" customHeight="1">
      <c r="A584" s="508" t="s">
        <v>1103</v>
      </c>
      <c r="B584" s="445" t="s">
        <v>1239</v>
      </c>
      <c r="C584" s="445" t="s">
        <v>1091</v>
      </c>
      <c r="D584" s="445" t="s">
        <v>633</v>
      </c>
      <c r="E584" s="445" t="s">
        <v>1027</v>
      </c>
      <c r="F584" s="456"/>
      <c r="G584" s="553">
        <f>G585</f>
        <v>5000</v>
      </c>
      <c r="H584" s="554"/>
      <c r="I584" s="447">
        <f t="shared" si="8"/>
        <v>5000</v>
      </c>
    </row>
    <row r="585" spans="1:9" ht="52.5" customHeight="1">
      <c r="A585" s="465" t="s">
        <v>1028</v>
      </c>
      <c r="B585" s="445" t="s">
        <v>1239</v>
      </c>
      <c r="C585" s="445" t="s">
        <v>1091</v>
      </c>
      <c r="D585" s="445" t="s">
        <v>633</v>
      </c>
      <c r="E585" s="445" t="s">
        <v>1029</v>
      </c>
      <c r="F585" s="456"/>
      <c r="G585" s="553">
        <f>G586</f>
        <v>5000</v>
      </c>
      <c r="H585" s="554"/>
      <c r="I585" s="447">
        <f t="shared" si="8"/>
        <v>5000</v>
      </c>
    </row>
    <row r="586" spans="1:9" ht="35.25" customHeight="1">
      <c r="A586" s="496" t="s">
        <v>1030</v>
      </c>
      <c r="B586" s="445" t="s">
        <v>1239</v>
      </c>
      <c r="C586" s="445" t="s">
        <v>1091</v>
      </c>
      <c r="D586" s="445" t="s">
        <v>633</v>
      </c>
      <c r="E586" s="445" t="s">
        <v>1031</v>
      </c>
      <c r="F586" s="456"/>
      <c r="G586" s="553">
        <f>G587</f>
        <v>5000</v>
      </c>
      <c r="H586" s="554"/>
      <c r="I586" s="447">
        <f t="shared" si="8"/>
        <v>5000</v>
      </c>
    </row>
    <row r="587" spans="1:9" ht="24" customHeight="1">
      <c r="A587" s="496" t="s">
        <v>1032</v>
      </c>
      <c r="B587" s="445" t="s">
        <v>1239</v>
      </c>
      <c r="C587" s="445" t="s">
        <v>1091</v>
      </c>
      <c r="D587" s="445" t="s">
        <v>633</v>
      </c>
      <c r="E587" s="445" t="s">
        <v>1033</v>
      </c>
      <c r="F587" s="456"/>
      <c r="G587" s="553">
        <f>G588</f>
        <v>5000</v>
      </c>
      <c r="H587" s="554"/>
      <c r="I587" s="447">
        <f t="shared" si="8"/>
        <v>5000</v>
      </c>
    </row>
    <row r="588" spans="1:9" ht="35.25" customHeight="1">
      <c r="A588" s="571" t="s">
        <v>654</v>
      </c>
      <c r="B588" s="445" t="s">
        <v>1239</v>
      </c>
      <c r="C588" s="445" t="s">
        <v>1091</v>
      </c>
      <c r="D588" s="445" t="s">
        <v>633</v>
      </c>
      <c r="E588" s="445" t="s">
        <v>1033</v>
      </c>
      <c r="F588" s="446" t="s">
        <v>655</v>
      </c>
      <c r="G588" s="553">
        <v>5000</v>
      </c>
      <c r="H588" s="554"/>
      <c r="I588" s="447">
        <f t="shared" si="8"/>
        <v>5000</v>
      </c>
    </row>
    <row r="589" spans="1:9" ht="38.25" customHeight="1">
      <c r="A589" s="451" t="s">
        <v>1098</v>
      </c>
      <c r="B589" s="445" t="s">
        <v>1239</v>
      </c>
      <c r="C589" s="445" t="s">
        <v>1091</v>
      </c>
      <c r="D589" s="445" t="s">
        <v>633</v>
      </c>
      <c r="E589" s="474" t="s">
        <v>1099</v>
      </c>
      <c r="F589" s="446"/>
      <c r="G589" s="553">
        <f>G590</f>
        <v>10401300</v>
      </c>
      <c r="H589" s="554">
        <f>H591+H595</f>
        <v>0</v>
      </c>
      <c r="I589" s="447">
        <f t="shared" si="8"/>
        <v>10401300</v>
      </c>
    </row>
    <row r="590" spans="1:9" ht="28.5" customHeight="1">
      <c r="A590" s="466" t="s">
        <v>1100</v>
      </c>
      <c r="B590" s="445" t="s">
        <v>1239</v>
      </c>
      <c r="C590" s="445" t="s">
        <v>1091</v>
      </c>
      <c r="D590" s="445" t="s">
        <v>633</v>
      </c>
      <c r="E590" s="474" t="s">
        <v>1101</v>
      </c>
      <c r="F590" s="446"/>
      <c r="G590" s="553">
        <f>G591+G595</f>
        <v>10401300</v>
      </c>
      <c r="H590" s="554"/>
      <c r="I590" s="447">
        <f t="shared" si="8"/>
        <v>10401300</v>
      </c>
    </row>
    <row r="591" spans="1:9" ht="26.25">
      <c r="A591" s="451" t="s">
        <v>816</v>
      </c>
      <c r="B591" s="445" t="s">
        <v>1239</v>
      </c>
      <c r="C591" s="445" t="s">
        <v>1091</v>
      </c>
      <c r="D591" s="445" t="s">
        <v>633</v>
      </c>
      <c r="E591" s="474" t="s">
        <v>1102</v>
      </c>
      <c r="F591" s="446"/>
      <c r="G591" s="553">
        <f>G592+G593+G594</f>
        <v>10401300</v>
      </c>
      <c r="H591" s="554">
        <f>H592+H593+H594</f>
        <v>0</v>
      </c>
      <c r="I591" s="447">
        <f t="shared" si="8"/>
        <v>10401300</v>
      </c>
    </row>
    <row r="592" spans="1:9" ht="40.5" customHeight="1">
      <c r="A592" s="454" t="s">
        <v>642</v>
      </c>
      <c r="B592" s="445" t="s">
        <v>1239</v>
      </c>
      <c r="C592" s="445" t="s">
        <v>1091</v>
      </c>
      <c r="D592" s="445" t="s">
        <v>633</v>
      </c>
      <c r="E592" s="474" t="s">
        <v>1102</v>
      </c>
      <c r="F592" s="446" t="s">
        <v>643</v>
      </c>
      <c r="G592" s="553">
        <v>8967000</v>
      </c>
      <c r="H592" s="554"/>
      <c r="I592" s="447">
        <f t="shared" si="8"/>
        <v>8967000</v>
      </c>
    </row>
    <row r="593" spans="1:9" ht="27" customHeight="1">
      <c r="A593" s="571" t="s">
        <v>654</v>
      </c>
      <c r="B593" s="445" t="s">
        <v>1239</v>
      </c>
      <c r="C593" s="445" t="s">
        <v>1091</v>
      </c>
      <c r="D593" s="445" t="s">
        <v>633</v>
      </c>
      <c r="E593" s="474" t="s">
        <v>1102</v>
      </c>
      <c r="F593" s="446" t="s">
        <v>655</v>
      </c>
      <c r="G593" s="553">
        <f>230200+4500+72000+800000+136000+187000</f>
        <v>1429700</v>
      </c>
      <c r="H593" s="554"/>
      <c r="I593" s="447">
        <f t="shared" si="8"/>
        <v>1429700</v>
      </c>
    </row>
    <row r="594" spans="1:9" ht="14.25" customHeight="1">
      <c r="A594" s="486" t="s">
        <v>696</v>
      </c>
      <c r="B594" s="445" t="s">
        <v>1239</v>
      </c>
      <c r="C594" s="445" t="s">
        <v>1091</v>
      </c>
      <c r="D594" s="445" t="s">
        <v>633</v>
      </c>
      <c r="E594" s="474" t="s">
        <v>1102</v>
      </c>
      <c r="F594" s="446" t="s">
        <v>697</v>
      </c>
      <c r="G594" s="553">
        <f>2100+2500</f>
        <v>4600</v>
      </c>
      <c r="H594" s="554"/>
      <c r="I594" s="447">
        <f t="shared" si="8"/>
        <v>4600</v>
      </c>
    </row>
    <row r="595" spans="1:9" ht="15" hidden="1">
      <c r="A595" s="486" t="s">
        <v>1247</v>
      </c>
      <c r="B595" s="445" t="s">
        <v>1239</v>
      </c>
      <c r="C595" s="445" t="s">
        <v>1091</v>
      </c>
      <c r="D595" s="445" t="s">
        <v>633</v>
      </c>
      <c r="E595" s="474" t="s">
        <v>1248</v>
      </c>
      <c r="F595" s="446"/>
      <c r="G595" s="553">
        <f>G596</f>
        <v>0</v>
      </c>
      <c r="H595" s="554">
        <f>H596</f>
        <v>0</v>
      </c>
      <c r="I595" s="447">
        <f aca="true" t="shared" si="10" ref="I595:I620">G595+H595</f>
        <v>0</v>
      </c>
    </row>
    <row r="596" spans="1:9" ht="15" hidden="1">
      <c r="A596" s="454" t="s">
        <v>704</v>
      </c>
      <c r="B596" s="445" t="s">
        <v>1239</v>
      </c>
      <c r="C596" s="445" t="s">
        <v>1091</v>
      </c>
      <c r="D596" s="445" t="s">
        <v>633</v>
      </c>
      <c r="E596" s="474" t="s">
        <v>1248</v>
      </c>
      <c r="F596" s="446" t="s">
        <v>655</v>
      </c>
      <c r="G596" s="553">
        <f>20000-20000</f>
        <v>0</v>
      </c>
      <c r="H596" s="554"/>
      <c r="I596" s="447">
        <f t="shared" si="10"/>
        <v>0</v>
      </c>
    </row>
    <row r="597" spans="1:9" ht="15">
      <c r="A597" s="451" t="s">
        <v>1104</v>
      </c>
      <c r="B597" s="445" t="s">
        <v>1239</v>
      </c>
      <c r="C597" s="445" t="s">
        <v>852</v>
      </c>
      <c r="D597" s="445" t="s">
        <v>658</v>
      </c>
      <c r="E597" s="445"/>
      <c r="F597" s="446"/>
      <c r="G597" s="553">
        <f>G598</f>
        <v>3960172</v>
      </c>
      <c r="H597" s="554"/>
      <c r="I597" s="447">
        <f t="shared" si="10"/>
        <v>3960172</v>
      </c>
    </row>
    <row r="598" spans="1:9" ht="31.5" customHeight="1">
      <c r="A598" s="451" t="s">
        <v>1088</v>
      </c>
      <c r="B598" s="445" t="s">
        <v>1239</v>
      </c>
      <c r="C598" s="445" t="s">
        <v>852</v>
      </c>
      <c r="D598" s="445" t="s">
        <v>658</v>
      </c>
      <c r="E598" s="445" t="s">
        <v>1089</v>
      </c>
      <c r="F598" s="446"/>
      <c r="G598" s="553">
        <f>G599</f>
        <v>3960172</v>
      </c>
      <c r="H598" s="554"/>
      <c r="I598" s="447">
        <f t="shared" si="10"/>
        <v>3960172</v>
      </c>
    </row>
    <row r="599" spans="1:9" ht="58.5" customHeight="1">
      <c r="A599" s="451" t="s">
        <v>1105</v>
      </c>
      <c r="B599" s="445" t="s">
        <v>1239</v>
      </c>
      <c r="C599" s="445" t="s">
        <v>852</v>
      </c>
      <c r="D599" s="445" t="s">
        <v>658</v>
      </c>
      <c r="E599" s="445" t="s">
        <v>1106</v>
      </c>
      <c r="F599" s="446"/>
      <c r="G599" s="553">
        <f>G600+G605</f>
        <v>3960172</v>
      </c>
      <c r="H599" s="562"/>
      <c r="I599" s="447">
        <f t="shared" si="10"/>
        <v>3960172</v>
      </c>
    </row>
    <row r="600" spans="1:9" ht="32.25" customHeight="1">
      <c r="A600" s="513" t="s">
        <v>1107</v>
      </c>
      <c r="B600" s="445" t="s">
        <v>1239</v>
      </c>
      <c r="C600" s="445" t="s">
        <v>852</v>
      </c>
      <c r="D600" s="445" t="s">
        <v>658</v>
      </c>
      <c r="E600" s="445" t="s">
        <v>1108</v>
      </c>
      <c r="F600" s="446"/>
      <c r="G600" s="553">
        <f>G601</f>
        <v>3907300</v>
      </c>
      <c r="H600" s="554"/>
      <c r="I600" s="447">
        <f t="shared" si="10"/>
        <v>3907300</v>
      </c>
    </row>
    <row r="601" spans="1:9" ht="32.25" customHeight="1">
      <c r="A601" s="451" t="s">
        <v>816</v>
      </c>
      <c r="B601" s="445" t="s">
        <v>1239</v>
      </c>
      <c r="C601" s="445" t="s">
        <v>852</v>
      </c>
      <c r="D601" s="445" t="s">
        <v>658</v>
      </c>
      <c r="E601" s="445" t="s">
        <v>1109</v>
      </c>
      <c r="F601" s="446"/>
      <c r="G601" s="553">
        <f>G602+G603+G604</f>
        <v>3907300</v>
      </c>
      <c r="H601" s="554"/>
      <c r="I601" s="447">
        <f t="shared" si="10"/>
        <v>3907300</v>
      </c>
    </row>
    <row r="602" spans="1:9" ht="42.75" customHeight="1">
      <c r="A602" s="454" t="s">
        <v>642</v>
      </c>
      <c r="B602" s="445" t="s">
        <v>1239</v>
      </c>
      <c r="C602" s="445" t="s">
        <v>852</v>
      </c>
      <c r="D602" s="445" t="s">
        <v>658</v>
      </c>
      <c r="E602" s="445" t="s">
        <v>1109</v>
      </c>
      <c r="F602" s="446" t="s">
        <v>643</v>
      </c>
      <c r="G602" s="553">
        <v>3411200</v>
      </c>
      <c r="H602" s="554"/>
      <c r="I602" s="447">
        <f t="shared" si="10"/>
        <v>3411200</v>
      </c>
    </row>
    <row r="603" spans="1:9" ht="26.25" customHeight="1">
      <c r="A603" s="571" t="s">
        <v>654</v>
      </c>
      <c r="B603" s="445" t="s">
        <v>1239</v>
      </c>
      <c r="C603" s="445" t="s">
        <v>852</v>
      </c>
      <c r="D603" s="445" t="s">
        <v>658</v>
      </c>
      <c r="E603" s="445" t="s">
        <v>1109</v>
      </c>
      <c r="F603" s="446" t="s">
        <v>655</v>
      </c>
      <c r="G603" s="553">
        <f>230100-80000+15000+310000+19000</f>
        <v>494100</v>
      </c>
      <c r="H603" s="554"/>
      <c r="I603" s="447">
        <f t="shared" si="10"/>
        <v>494100</v>
      </c>
    </row>
    <row r="604" spans="1:9" ht="16.5" customHeight="1">
      <c r="A604" s="486" t="s">
        <v>696</v>
      </c>
      <c r="B604" s="445" t="s">
        <v>1239</v>
      </c>
      <c r="C604" s="445" t="s">
        <v>852</v>
      </c>
      <c r="D604" s="445" t="s">
        <v>658</v>
      </c>
      <c r="E604" s="445" t="s">
        <v>1109</v>
      </c>
      <c r="F604" s="446" t="s">
        <v>697</v>
      </c>
      <c r="G604" s="553">
        <v>2000</v>
      </c>
      <c r="H604" s="554"/>
      <c r="I604" s="447">
        <f t="shared" si="10"/>
        <v>2000</v>
      </c>
    </row>
    <row r="605" spans="1:9" ht="41.25" customHeight="1">
      <c r="A605" s="514" t="s">
        <v>1110</v>
      </c>
      <c r="B605" s="445" t="s">
        <v>1239</v>
      </c>
      <c r="C605" s="445" t="s">
        <v>852</v>
      </c>
      <c r="D605" s="445" t="s">
        <v>658</v>
      </c>
      <c r="E605" s="445" t="s">
        <v>1111</v>
      </c>
      <c r="F605" s="446"/>
      <c r="G605" s="553">
        <f>G606</f>
        <v>52872</v>
      </c>
      <c r="H605" s="554"/>
      <c r="I605" s="447">
        <f t="shared" si="10"/>
        <v>52872</v>
      </c>
    </row>
    <row r="606" spans="1:9" ht="42.75" customHeight="1">
      <c r="A606" s="452" t="s">
        <v>1112</v>
      </c>
      <c r="B606" s="445" t="s">
        <v>1239</v>
      </c>
      <c r="C606" s="445" t="s">
        <v>852</v>
      </c>
      <c r="D606" s="445" t="s">
        <v>658</v>
      </c>
      <c r="E606" s="445" t="s">
        <v>1113</v>
      </c>
      <c r="F606" s="446"/>
      <c r="G606" s="553">
        <f>G607</f>
        <v>52872</v>
      </c>
      <c r="H606" s="554"/>
      <c r="I606" s="447">
        <f t="shared" si="10"/>
        <v>52872</v>
      </c>
    </row>
    <row r="607" spans="1:9" ht="42" customHeight="1">
      <c r="A607" s="454" t="s">
        <v>642</v>
      </c>
      <c r="B607" s="445" t="s">
        <v>1239</v>
      </c>
      <c r="C607" s="445" t="s">
        <v>852</v>
      </c>
      <c r="D607" s="445" t="s">
        <v>658</v>
      </c>
      <c r="E607" s="445" t="s">
        <v>1113</v>
      </c>
      <c r="F607" s="446" t="s">
        <v>643</v>
      </c>
      <c r="G607" s="553">
        <v>52872</v>
      </c>
      <c r="H607" s="562"/>
      <c r="I607" s="447">
        <f t="shared" si="10"/>
        <v>52872</v>
      </c>
    </row>
    <row r="608" spans="1:9" ht="15">
      <c r="A608" s="451" t="s">
        <v>1118</v>
      </c>
      <c r="B608" s="445" t="s">
        <v>1239</v>
      </c>
      <c r="C608" s="445">
        <v>10</v>
      </c>
      <c r="D608" s="445"/>
      <c r="E608" s="445"/>
      <c r="F608" s="446"/>
      <c r="G608" s="553">
        <f>G609</f>
        <v>2675907</v>
      </c>
      <c r="H608" s="554"/>
      <c r="I608" s="447">
        <f t="shared" si="10"/>
        <v>2675907</v>
      </c>
    </row>
    <row r="609" spans="1:9" ht="15">
      <c r="A609" s="451" t="s">
        <v>1128</v>
      </c>
      <c r="B609" s="445" t="s">
        <v>1239</v>
      </c>
      <c r="C609" s="445">
        <v>10</v>
      </c>
      <c r="D609" s="445" t="s">
        <v>645</v>
      </c>
      <c r="E609" s="445"/>
      <c r="F609" s="446"/>
      <c r="G609" s="553">
        <f>G615+G610</f>
        <v>2675907</v>
      </c>
      <c r="H609" s="554"/>
      <c r="I609" s="447">
        <f t="shared" si="10"/>
        <v>2675907</v>
      </c>
    </row>
    <row r="610" spans="1:9" ht="33.75" customHeight="1">
      <c r="A610" s="451" t="s">
        <v>1088</v>
      </c>
      <c r="B610" s="445" t="s">
        <v>1239</v>
      </c>
      <c r="C610" s="445">
        <v>10</v>
      </c>
      <c r="D610" s="445" t="s">
        <v>645</v>
      </c>
      <c r="E610" s="445" t="s">
        <v>1089</v>
      </c>
      <c r="F610" s="446"/>
      <c r="G610" s="553">
        <f>G611</f>
        <v>1575907</v>
      </c>
      <c r="H610" s="554"/>
      <c r="I610" s="447">
        <f>G610+H610</f>
        <v>1575907</v>
      </c>
    </row>
    <row r="611" spans="1:9" ht="57.75" customHeight="1">
      <c r="A611" s="451" t="s">
        <v>1105</v>
      </c>
      <c r="B611" s="445" t="s">
        <v>1239</v>
      </c>
      <c r="C611" s="445">
        <v>10</v>
      </c>
      <c r="D611" s="445" t="s">
        <v>645</v>
      </c>
      <c r="E611" s="445" t="s">
        <v>1106</v>
      </c>
      <c r="F611" s="446"/>
      <c r="G611" s="553">
        <f>G612</f>
        <v>1575907</v>
      </c>
      <c r="H611" s="554"/>
      <c r="I611" s="447">
        <f>G611+H611</f>
        <v>1575907</v>
      </c>
    </row>
    <row r="612" spans="1:9" ht="30" customHeight="1">
      <c r="A612" s="480" t="s">
        <v>1129</v>
      </c>
      <c r="B612" s="445" t="s">
        <v>1239</v>
      </c>
      <c r="C612" s="445">
        <v>10</v>
      </c>
      <c r="D612" s="445" t="s">
        <v>645</v>
      </c>
      <c r="E612" s="445" t="s">
        <v>1130</v>
      </c>
      <c r="F612" s="446"/>
      <c r="G612" s="553">
        <f>G613</f>
        <v>1575907</v>
      </c>
      <c r="H612" s="554"/>
      <c r="I612" s="447">
        <f>G612+H612</f>
        <v>1575907</v>
      </c>
    </row>
    <row r="613" spans="1:9" ht="47.25" customHeight="1">
      <c r="A613" s="556" t="s">
        <v>1131</v>
      </c>
      <c r="B613" s="445" t="s">
        <v>1239</v>
      </c>
      <c r="C613" s="445">
        <v>10</v>
      </c>
      <c r="D613" s="445" t="s">
        <v>645</v>
      </c>
      <c r="E613" s="470" t="s">
        <v>1132</v>
      </c>
      <c r="F613" s="446"/>
      <c r="G613" s="553">
        <f>G614</f>
        <v>1575907</v>
      </c>
      <c r="H613" s="554"/>
      <c r="I613" s="447">
        <f>G613+H613</f>
        <v>1575907</v>
      </c>
    </row>
    <row r="614" spans="1:9" ht="18" customHeight="1">
      <c r="A614" s="486" t="s">
        <v>827</v>
      </c>
      <c r="B614" s="445" t="s">
        <v>1239</v>
      </c>
      <c r="C614" s="445">
        <v>10</v>
      </c>
      <c r="D614" s="445" t="s">
        <v>645</v>
      </c>
      <c r="E614" s="470" t="s">
        <v>1132</v>
      </c>
      <c r="F614" s="446" t="s">
        <v>828</v>
      </c>
      <c r="G614" s="553">
        <v>1575907</v>
      </c>
      <c r="H614" s="562"/>
      <c r="I614" s="447">
        <f>G614+H614</f>
        <v>1575907</v>
      </c>
    </row>
    <row r="615" spans="1:9" ht="31.5" customHeight="1">
      <c r="A615" s="586" t="s">
        <v>982</v>
      </c>
      <c r="B615" s="445" t="s">
        <v>1239</v>
      </c>
      <c r="C615" s="587">
        <v>10</v>
      </c>
      <c r="D615" s="587" t="s">
        <v>645</v>
      </c>
      <c r="E615" s="587" t="s">
        <v>983</v>
      </c>
      <c r="F615" s="588"/>
      <c r="G615" s="553">
        <f>G616</f>
        <v>1100000</v>
      </c>
      <c r="H615" s="554"/>
      <c r="I615" s="589">
        <f t="shared" si="10"/>
        <v>1100000</v>
      </c>
    </row>
    <row r="616" spans="1:9" ht="54.75" customHeight="1">
      <c r="A616" s="454" t="s">
        <v>1035</v>
      </c>
      <c r="B616" s="445" t="s">
        <v>1239</v>
      </c>
      <c r="C616" s="445" t="s">
        <v>1119</v>
      </c>
      <c r="D616" s="445" t="s">
        <v>645</v>
      </c>
      <c r="E616" s="445" t="s">
        <v>1036</v>
      </c>
      <c r="F616" s="446"/>
      <c r="G616" s="553">
        <f>G617</f>
        <v>1100000</v>
      </c>
      <c r="H616" s="554"/>
      <c r="I616" s="447">
        <f t="shared" si="10"/>
        <v>1100000</v>
      </c>
    </row>
    <row r="617" spans="1:9" ht="29.25" customHeight="1">
      <c r="A617" s="518" t="s">
        <v>1149</v>
      </c>
      <c r="B617" s="445" t="s">
        <v>1239</v>
      </c>
      <c r="C617" s="445" t="s">
        <v>1119</v>
      </c>
      <c r="D617" s="445" t="s">
        <v>645</v>
      </c>
      <c r="E617" s="445" t="s">
        <v>1150</v>
      </c>
      <c r="F617" s="446"/>
      <c r="G617" s="553">
        <f>G618</f>
        <v>1100000</v>
      </c>
      <c r="H617" s="554"/>
      <c r="I617" s="447">
        <f t="shared" si="10"/>
        <v>1100000</v>
      </c>
    </row>
    <row r="618" spans="1:9" ht="53.25" customHeight="1">
      <c r="A618" s="502" t="s">
        <v>1151</v>
      </c>
      <c r="B618" s="445" t="s">
        <v>1239</v>
      </c>
      <c r="C618" s="445" t="s">
        <v>1119</v>
      </c>
      <c r="D618" s="445" t="s">
        <v>645</v>
      </c>
      <c r="E618" s="445" t="s">
        <v>1152</v>
      </c>
      <c r="F618" s="446"/>
      <c r="G618" s="553">
        <f>G619+G620</f>
        <v>1100000</v>
      </c>
      <c r="H618" s="554"/>
      <c r="I618" s="447">
        <f t="shared" si="10"/>
        <v>1100000</v>
      </c>
    </row>
    <row r="619" spans="1:9" ht="20.25" customHeight="1" hidden="1">
      <c r="A619" s="454" t="s">
        <v>704</v>
      </c>
      <c r="B619" s="445" t="s">
        <v>1239</v>
      </c>
      <c r="C619" s="445">
        <v>10</v>
      </c>
      <c r="D619" s="445" t="s">
        <v>645</v>
      </c>
      <c r="E619" s="445" t="s">
        <v>1249</v>
      </c>
      <c r="F619" s="446" t="s">
        <v>655</v>
      </c>
      <c r="G619" s="553"/>
      <c r="H619" s="554"/>
      <c r="I619" s="447">
        <f t="shared" si="10"/>
        <v>0</v>
      </c>
    </row>
    <row r="620" spans="1:9" ht="19.5" customHeight="1" thickBot="1">
      <c r="A620" s="590" t="s">
        <v>827</v>
      </c>
      <c r="B620" s="524" t="s">
        <v>1239</v>
      </c>
      <c r="C620" s="524">
        <v>10</v>
      </c>
      <c r="D620" s="524" t="s">
        <v>645</v>
      </c>
      <c r="E620" s="524" t="s">
        <v>1152</v>
      </c>
      <c r="F620" s="591" t="s">
        <v>828</v>
      </c>
      <c r="G620" s="592">
        <v>1100000</v>
      </c>
      <c r="H620" s="593"/>
      <c r="I620" s="526">
        <f t="shared" si="10"/>
        <v>1100000</v>
      </c>
    </row>
    <row r="621" spans="2:6" ht="15">
      <c r="B621" s="527"/>
      <c r="C621" s="527"/>
      <c r="D621" s="527"/>
      <c r="E621" s="527"/>
      <c r="F621" s="528"/>
    </row>
    <row r="622" spans="2:6" ht="15">
      <c r="B622" s="527"/>
      <c r="C622" s="527"/>
      <c r="D622" s="527"/>
      <c r="E622" s="527"/>
      <c r="F622" s="528"/>
    </row>
    <row r="623" spans="2:6" ht="15">
      <c r="B623" s="527"/>
      <c r="C623" s="527"/>
      <c r="D623" s="527"/>
      <c r="E623" s="527"/>
      <c r="F623" s="528"/>
    </row>
    <row r="624" spans="2:6" ht="15">
      <c r="B624" s="527"/>
      <c r="C624" s="527"/>
      <c r="D624" s="527"/>
      <c r="E624" s="527"/>
      <c r="F624" s="528"/>
    </row>
    <row r="625" spans="2:6" ht="15">
      <c r="B625" s="527"/>
      <c r="C625" s="527"/>
      <c r="D625" s="527"/>
      <c r="E625" s="527"/>
      <c r="F625" s="528"/>
    </row>
    <row r="626" spans="2:6" ht="15">
      <c r="B626" s="527"/>
      <c r="C626" s="527"/>
      <c r="D626" s="527"/>
      <c r="E626" s="527"/>
      <c r="F626" s="528"/>
    </row>
    <row r="627" spans="2:6" ht="15">
      <c r="B627" s="527"/>
      <c r="C627" s="527"/>
      <c r="D627" s="527"/>
      <c r="E627" s="527"/>
      <c r="F627" s="528"/>
    </row>
    <row r="628" spans="2:6" ht="15">
      <c r="B628" s="527"/>
      <c r="C628" s="527"/>
      <c r="D628" s="527"/>
      <c r="E628" s="527"/>
      <c r="F628" s="528"/>
    </row>
    <row r="629" spans="2:6" ht="15">
      <c r="B629" s="527"/>
      <c r="C629" s="527"/>
      <c r="D629" s="527"/>
      <c r="E629" s="527"/>
      <c r="F629" s="528"/>
    </row>
    <row r="630" spans="2:6" ht="15">
      <c r="B630" s="527"/>
      <c r="C630" s="527"/>
      <c r="D630" s="527"/>
      <c r="E630" s="527"/>
      <c r="F630" s="528"/>
    </row>
    <row r="631" spans="2:6" ht="15">
      <c r="B631" s="527"/>
      <c r="C631" s="527"/>
      <c r="D631" s="527"/>
      <c r="E631" s="527"/>
      <c r="F631" s="528"/>
    </row>
    <row r="632" ht="15">
      <c r="B632" s="527"/>
    </row>
    <row r="633" ht="15">
      <c r="B633" s="527"/>
    </row>
    <row r="634" ht="15">
      <c r="B634" s="527"/>
    </row>
    <row r="635" ht="15">
      <c r="B635" s="527"/>
    </row>
    <row r="636" ht="15">
      <c r="B636" s="527"/>
    </row>
  </sheetData>
  <sheetProtection/>
  <mergeCells count="12">
    <mergeCell ref="H10:H11"/>
    <mergeCell ref="I10:I11"/>
    <mergeCell ref="B5:I5"/>
    <mergeCell ref="B6:I6"/>
    <mergeCell ref="A8:I8"/>
    <mergeCell ref="A10:A11"/>
    <mergeCell ref="B10:B11"/>
    <mergeCell ref="C10:C11"/>
    <mergeCell ref="D10:D11"/>
    <mergeCell ref="E10:E11"/>
    <mergeCell ref="F10:F11"/>
    <mergeCell ref="G10:G11"/>
  </mergeCells>
  <hyperlinks>
    <hyperlink ref="A275" r:id="rId1" display="consultantplus://offline/ref=C6EF3AE28B6C46D1117CBBA251A07B11C6C7C5768D606C8B0E322DA1BBA42282C9440EEF08E6CC43400230U6VFM"/>
  </hyperlinks>
  <printOptions/>
  <pageMargins left="0.7086614173228347" right="0.23" top="0.41" bottom="0.37" header="0.31496062992125984" footer="0.31496062992125984"/>
  <pageSetup horizontalDpi="600" verticalDpi="600" orientation="portrait" paperSize="9" scale="79" r:id="rId2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604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62.625" style="417" customWidth="1"/>
    <col min="2" max="2" width="5.125" style="427" customWidth="1"/>
    <col min="3" max="3" width="4.875" style="427" customWidth="1"/>
    <col min="4" max="4" width="5.00390625" style="427" customWidth="1"/>
    <col min="5" max="5" width="16.875" style="427" customWidth="1"/>
    <col min="6" max="6" width="4.875" style="530" customWidth="1"/>
    <col min="7" max="7" width="0.74609375" style="529" hidden="1" customWidth="1"/>
    <col min="8" max="8" width="13.75390625" style="541" hidden="1" customWidth="1"/>
    <col min="9" max="9" width="15.875" style="529" customWidth="1"/>
    <col min="10" max="10" width="16.75390625" style="529" hidden="1" customWidth="1"/>
    <col min="11" max="11" width="13.75390625" style="541" hidden="1" customWidth="1"/>
    <col min="12" max="12" width="16.00390625" style="529" customWidth="1"/>
    <col min="13" max="13" width="11.625" style="413" customWidth="1"/>
    <col min="14" max="16384" width="9.125" style="413" customWidth="1"/>
  </cols>
  <sheetData>
    <row r="1" spans="1:11" ht="15">
      <c r="A1" s="1"/>
      <c r="B1" s="414" t="s">
        <v>1250</v>
      </c>
      <c r="D1" s="414"/>
      <c r="E1" s="414"/>
      <c r="F1" s="415"/>
      <c r="H1" s="532"/>
      <c r="K1" s="532"/>
    </row>
    <row r="2" spans="2:11" ht="18" customHeight="1">
      <c r="B2" s="414" t="s">
        <v>1251</v>
      </c>
      <c r="C2" s="414"/>
      <c r="D2" s="414"/>
      <c r="E2" s="414"/>
      <c r="F2" s="415"/>
      <c r="H2" s="533"/>
      <c r="K2" s="533"/>
    </row>
    <row r="3" spans="2:11" ht="11.25" customHeight="1">
      <c r="B3" s="420"/>
      <c r="C3" s="420"/>
      <c r="D3" s="420"/>
      <c r="E3" s="534"/>
      <c r="F3" s="421"/>
      <c r="H3" s="533"/>
      <c r="K3" s="533"/>
    </row>
    <row r="4" spans="2:11" ht="20.25" customHeight="1" hidden="1">
      <c r="B4" s="420" t="s">
        <v>1252</v>
      </c>
      <c r="C4" s="420"/>
      <c r="D4" s="420"/>
      <c r="E4" s="534"/>
      <c r="F4" s="421"/>
      <c r="H4" s="533"/>
      <c r="K4" s="533"/>
    </row>
    <row r="5" spans="2:12" ht="30" customHeight="1">
      <c r="B5" s="537" t="s">
        <v>1253</v>
      </c>
      <c r="C5" s="537"/>
      <c r="D5" s="537"/>
      <c r="E5" s="537"/>
      <c r="F5" s="537"/>
      <c r="G5" s="537"/>
      <c r="H5" s="537"/>
      <c r="I5" s="537"/>
      <c r="J5" s="537"/>
      <c r="K5" s="537"/>
      <c r="L5" s="537"/>
    </row>
    <row r="6" spans="2:12" ht="29.25" customHeight="1">
      <c r="B6" s="424" t="s">
        <v>1254</v>
      </c>
      <c r="C6" s="424"/>
      <c r="D6" s="424"/>
      <c r="E6" s="424"/>
      <c r="F6" s="424"/>
      <c r="G6" s="424"/>
      <c r="H6" s="424"/>
      <c r="I6" s="424"/>
      <c r="J6" s="424"/>
      <c r="K6" s="424"/>
      <c r="L6" s="424"/>
    </row>
    <row r="7" spans="2:12" ht="12.75">
      <c r="B7" s="425"/>
      <c r="C7" s="425"/>
      <c r="D7" s="425"/>
      <c r="E7" s="425"/>
      <c r="F7" s="425"/>
      <c r="G7" s="538"/>
      <c r="H7" s="425"/>
      <c r="I7" s="425"/>
      <c r="J7" s="538"/>
      <c r="K7" s="425"/>
      <c r="L7" s="425"/>
    </row>
    <row r="8" spans="1:12" ht="40.5" customHeight="1">
      <c r="A8" s="426" t="s">
        <v>1255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</row>
    <row r="9" spans="6:12" ht="22.5" customHeight="1">
      <c r="F9" s="428"/>
      <c r="G9" s="540"/>
      <c r="I9" s="429"/>
      <c r="J9" s="540"/>
      <c r="L9" s="429" t="s">
        <v>620</v>
      </c>
    </row>
    <row r="10" spans="1:12" ht="27.75" customHeight="1">
      <c r="A10" s="594" t="s">
        <v>621</v>
      </c>
      <c r="B10" s="595" t="s">
        <v>1199</v>
      </c>
      <c r="C10" s="595" t="s">
        <v>622</v>
      </c>
      <c r="D10" s="595" t="s">
        <v>623</v>
      </c>
      <c r="E10" s="596" t="s">
        <v>624</v>
      </c>
      <c r="F10" s="596" t="s">
        <v>625</v>
      </c>
      <c r="G10" s="597" t="s">
        <v>1256</v>
      </c>
      <c r="H10" s="598" t="s">
        <v>1201</v>
      </c>
      <c r="I10" s="598" t="s">
        <v>1257</v>
      </c>
      <c r="J10" s="597" t="s">
        <v>1258</v>
      </c>
      <c r="K10" s="598" t="s">
        <v>1201</v>
      </c>
      <c r="L10" s="598" t="s">
        <v>1259</v>
      </c>
    </row>
    <row r="11" spans="1:12" ht="3.75" customHeight="1">
      <c r="A11" s="594"/>
      <c r="B11" s="595"/>
      <c r="C11" s="595"/>
      <c r="D11" s="595"/>
      <c r="E11" s="596"/>
      <c r="F11" s="596"/>
      <c r="G11" s="597"/>
      <c r="H11" s="598"/>
      <c r="I11" s="598"/>
      <c r="J11" s="597"/>
      <c r="K11" s="598"/>
      <c r="L11" s="598"/>
    </row>
    <row r="12" spans="1:12" s="443" customFormat="1" ht="12.75" customHeight="1">
      <c r="A12" s="599">
        <v>1</v>
      </c>
      <c r="B12" s="600">
        <v>2</v>
      </c>
      <c r="C12" s="600" t="s">
        <v>628</v>
      </c>
      <c r="D12" s="600" t="s">
        <v>629</v>
      </c>
      <c r="E12" s="601" t="s">
        <v>630</v>
      </c>
      <c r="F12" s="601" t="s">
        <v>1202</v>
      </c>
      <c r="G12" s="602"/>
      <c r="H12" s="603"/>
      <c r="I12" s="604" t="s">
        <v>1203</v>
      </c>
      <c r="J12" s="602"/>
      <c r="K12" s="603"/>
      <c r="L12" s="605">
        <v>8</v>
      </c>
    </row>
    <row r="13" spans="1:12" s="448" customFormat="1" ht="24.75" customHeight="1">
      <c r="A13" s="606" t="s">
        <v>631</v>
      </c>
      <c r="B13" s="445"/>
      <c r="C13" s="445"/>
      <c r="D13" s="445"/>
      <c r="E13" s="445"/>
      <c r="F13" s="446"/>
      <c r="G13" s="553">
        <f>G15+G364+G519+G14</f>
        <v>421333533</v>
      </c>
      <c r="H13" s="553">
        <f>H15+H364+H519+H14</f>
        <v>15684315</v>
      </c>
      <c r="I13" s="553">
        <f aca="true" t="shared" si="0" ref="I13:I76">G13+H13</f>
        <v>437017848</v>
      </c>
      <c r="J13" s="553">
        <f>J15+J364+J519+J14</f>
        <v>428056364</v>
      </c>
      <c r="K13" s="553">
        <f>K15+K364+K519+K14</f>
        <v>15684315</v>
      </c>
      <c r="L13" s="553">
        <f>J13+K13</f>
        <v>443740679</v>
      </c>
    </row>
    <row r="14" spans="1:12" s="448" customFormat="1" ht="20.25">
      <c r="A14" s="607" t="s">
        <v>1260</v>
      </c>
      <c r="B14" s="445"/>
      <c r="C14" s="445"/>
      <c r="D14" s="445"/>
      <c r="E14" s="445"/>
      <c r="F14" s="446"/>
      <c r="G14" s="553">
        <v>4400000</v>
      </c>
      <c r="H14" s="554"/>
      <c r="I14" s="553">
        <f t="shared" si="0"/>
        <v>4400000</v>
      </c>
      <c r="J14" s="553">
        <v>8900000</v>
      </c>
      <c r="K14" s="554"/>
      <c r="L14" s="553">
        <f>J14+K14</f>
        <v>8900000</v>
      </c>
    </row>
    <row r="15" spans="1:12" ht="16.5" customHeight="1">
      <c r="A15" s="606" t="s">
        <v>1204</v>
      </c>
      <c r="B15" s="445" t="s">
        <v>1205</v>
      </c>
      <c r="C15" s="445"/>
      <c r="D15" s="445"/>
      <c r="E15" s="445"/>
      <c r="F15" s="446"/>
      <c r="G15" s="553">
        <f>G16+G172+G188+G238+G288+G302+G310+G339+G350+G357</f>
        <v>64315878</v>
      </c>
      <c r="H15" s="554"/>
      <c r="I15" s="553">
        <f t="shared" si="0"/>
        <v>64315878</v>
      </c>
      <c r="J15" s="553">
        <f>J16+J172+J188+J238+J288+J302+J310+J339+J350+J357</f>
        <v>63287896</v>
      </c>
      <c r="K15" s="554"/>
      <c r="L15" s="553">
        <f>J15+K15</f>
        <v>63287896</v>
      </c>
    </row>
    <row r="16" spans="1:12" ht="15">
      <c r="A16" s="607" t="s">
        <v>632</v>
      </c>
      <c r="B16" s="445" t="s">
        <v>1205</v>
      </c>
      <c r="C16" s="445" t="s">
        <v>633</v>
      </c>
      <c r="D16" s="445"/>
      <c r="E16" s="445"/>
      <c r="F16" s="446"/>
      <c r="G16" s="553">
        <f>G17+G22+G31+G89+G94+G77+G72+G84</f>
        <v>35883384.78</v>
      </c>
      <c r="H16" s="554"/>
      <c r="I16" s="553">
        <f t="shared" si="0"/>
        <v>35883384.78</v>
      </c>
      <c r="J16" s="553">
        <f>J17+J22+J31+J89+J94+J77+J72+J84</f>
        <v>35037580</v>
      </c>
      <c r="K16" s="554"/>
      <c r="L16" s="553">
        <f>J16+K16</f>
        <v>35037580</v>
      </c>
    </row>
    <row r="17" spans="1:12" ht="28.5" customHeight="1">
      <c r="A17" s="608" t="s">
        <v>634</v>
      </c>
      <c r="B17" s="445" t="s">
        <v>1205</v>
      </c>
      <c r="C17" s="445" t="s">
        <v>633</v>
      </c>
      <c r="D17" s="445" t="s">
        <v>635</v>
      </c>
      <c r="E17" s="445"/>
      <c r="F17" s="446"/>
      <c r="G17" s="553">
        <f>G19</f>
        <v>1537000</v>
      </c>
      <c r="H17" s="554"/>
      <c r="I17" s="553">
        <f t="shared" si="0"/>
        <v>1537000</v>
      </c>
      <c r="J17" s="553">
        <f>J19</f>
        <v>1537000</v>
      </c>
      <c r="K17" s="554"/>
      <c r="L17" s="553">
        <f aca="true" t="shared" si="1" ref="L17:L63">J17+K17</f>
        <v>1537000</v>
      </c>
    </row>
    <row r="18" spans="1:12" ht="19.5" customHeight="1">
      <c r="A18" s="609" t="s">
        <v>636</v>
      </c>
      <c r="B18" s="445" t="s">
        <v>1205</v>
      </c>
      <c r="C18" s="445" t="s">
        <v>633</v>
      </c>
      <c r="D18" s="445" t="s">
        <v>635</v>
      </c>
      <c r="E18" s="455" t="s">
        <v>637</v>
      </c>
      <c r="F18" s="446"/>
      <c r="G18" s="553">
        <f>G19</f>
        <v>1537000</v>
      </c>
      <c r="H18" s="554"/>
      <c r="I18" s="553">
        <f t="shared" si="0"/>
        <v>1537000</v>
      </c>
      <c r="J18" s="553">
        <f>J19</f>
        <v>1537000</v>
      </c>
      <c r="K18" s="554"/>
      <c r="L18" s="553">
        <f t="shared" si="1"/>
        <v>1537000</v>
      </c>
    </row>
    <row r="19" spans="1:12" ht="17.25" customHeight="1">
      <c r="A19" s="607" t="s">
        <v>638</v>
      </c>
      <c r="B19" s="445" t="s">
        <v>1205</v>
      </c>
      <c r="C19" s="445" t="s">
        <v>633</v>
      </c>
      <c r="D19" s="445" t="s">
        <v>635</v>
      </c>
      <c r="E19" s="455" t="s">
        <v>639</v>
      </c>
      <c r="F19" s="446"/>
      <c r="G19" s="553">
        <f>G21</f>
        <v>1537000</v>
      </c>
      <c r="H19" s="554"/>
      <c r="I19" s="553">
        <f t="shared" si="0"/>
        <v>1537000</v>
      </c>
      <c r="J19" s="553">
        <f>J21</f>
        <v>1537000</v>
      </c>
      <c r="K19" s="554"/>
      <c r="L19" s="553">
        <f t="shared" si="1"/>
        <v>1537000</v>
      </c>
    </row>
    <row r="20" spans="1:12" ht="30" customHeight="1">
      <c r="A20" s="608" t="s">
        <v>640</v>
      </c>
      <c r="B20" s="445" t="s">
        <v>1205</v>
      </c>
      <c r="C20" s="445" t="s">
        <v>633</v>
      </c>
      <c r="D20" s="445" t="s">
        <v>635</v>
      </c>
      <c r="E20" s="455" t="s">
        <v>641</v>
      </c>
      <c r="F20" s="446"/>
      <c r="G20" s="553">
        <f>G21</f>
        <v>1537000</v>
      </c>
      <c r="H20" s="554"/>
      <c r="I20" s="553">
        <f t="shared" si="0"/>
        <v>1537000</v>
      </c>
      <c r="J20" s="553">
        <f>J21</f>
        <v>1537000</v>
      </c>
      <c r="K20" s="554"/>
      <c r="L20" s="553">
        <f t="shared" si="1"/>
        <v>1537000</v>
      </c>
    </row>
    <row r="21" spans="1:12" ht="51" customHeight="1">
      <c r="A21" s="609" t="s">
        <v>642</v>
      </c>
      <c r="B21" s="445" t="s">
        <v>1205</v>
      </c>
      <c r="C21" s="445" t="s">
        <v>633</v>
      </c>
      <c r="D21" s="445" t="s">
        <v>635</v>
      </c>
      <c r="E21" s="455" t="s">
        <v>641</v>
      </c>
      <c r="F21" s="456" t="s">
        <v>643</v>
      </c>
      <c r="G21" s="553">
        <v>1537000</v>
      </c>
      <c r="H21" s="554"/>
      <c r="I21" s="553">
        <f t="shared" si="0"/>
        <v>1537000</v>
      </c>
      <c r="J21" s="553">
        <v>1537000</v>
      </c>
      <c r="K21" s="554"/>
      <c r="L21" s="553">
        <f t="shared" si="1"/>
        <v>1537000</v>
      </c>
    </row>
    <row r="22" spans="1:12" ht="42" customHeight="1">
      <c r="A22" s="608" t="s">
        <v>644</v>
      </c>
      <c r="B22" s="445" t="s">
        <v>1205</v>
      </c>
      <c r="C22" s="445" t="s">
        <v>633</v>
      </c>
      <c r="D22" s="445" t="s">
        <v>645</v>
      </c>
      <c r="E22" s="445"/>
      <c r="F22" s="446"/>
      <c r="G22" s="553">
        <f>G23</f>
        <v>1942800</v>
      </c>
      <c r="H22" s="554"/>
      <c r="I22" s="553">
        <f t="shared" si="0"/>
        <v>1942800</v>
      </c>
      <c r="J22" s="553">
        <f>J23</f>
        <v>1942800</v>
      </c>
      <c r="K22" s="554"/>
      <c r="L22" s="553">
        <f t="shared" si="1"/>
        <v>1942800</v>
      </c>
    </row>
    <row r="23" spans="1:12" ht="30.75" customHeight="1">
      <c r="A23" s="609" t="s">
        <v>646</v>
      </c>
      <c r="B23" s="445" t="s">
        <v>1205</v>
      </c>
      <c r="C23" s="445" t="s">
        <v>633</v>
      </c>
      <c r="D23" s="445" t="s">
        <v>645</v>
      </c>
      <c r="E23" s="455" t="s">
        <v>647</v>
      </c>
      <c r="F23" s="446"/>
      <c r="G23" s="553">
        <f>G24+G27</f>
        <v>1942800</v>
      </c>
      <c r="H23" s="554"/>
      <c r="I23" s="553">
        <f t="shared" si="0"/>
        <v>1942800</v>
      </c>
      <c r="J23" s="553">
        <f>J24+J27</f>
        <v>1942800</v>
      </c>
      <c r="K23" s="554"/>
      <c r="L23" s="553">
        <f t="shared" si="1"/>
        <v>1942800</v>
      </c>
    </row>
    <row r="24" spans="1:12" ht="18.75" customHeight="1">
      <c r="A24" s="607" t="s">
        <v>648</v>
      </c>
      <c r="B24" s="445" t="s">
        <v>1205</v>
      </c>
      <c r="C24" s="445" t="s">
        <v>633</v>
      </c>
      <c r="D24" s="445" t="s">
        <v>645</v>
      </c>
      <c r="E24" s="455" t="s">
        <v>649</v>
      </c>
      <c r="F24" s="446"/>
      <c r="G24" s="553">
        <f>G25</f>
        <v>880000</v>
      </c>
      <c r="H24" s="554"/>
      <c r="I24" s="553">
        <f t="shared" si="0"/>
        <v>880000</v>
      </c>
      <c r="J24" s="553">
        <f>J25</f>
        <v>880000</v>
      </c>
      <c r="K24" s="554"/>
      <c r="L24" s="553">
        <f t="shared" si="1"/>
        <v>880000</v>
      </c>
    </row>
    <row r="25" spans="1:12" ht="26.25">
      <c r="A25" s="608" t="s">
        <v>640</v>
      </c>
      <c r="B25" s="445" t="s">
        <v>1205</v>
      </c>
      <c r="C25" s="445" t="s">
        <v>633</v>
      </c>
      <c r="D25" s="445" t="s">
        <v>645</v>
      </c>
      <c r="E25" s="455" t="s">
        <v>650</v>
      </c>
      <c r="F25" s="456"/>
      <c r="G25" s="553">
        <f>G26</f>
        <v>880000</v>
      </c>
      <c r="H25" s="554"/>
      <c r="I25" s="553">
        <f t="shared" si="0"/>
        <v>880000</v>
      </c>
      <c r="J25" s="553">
        <f>J26</f>
        <v>880000</v>
      </c>
      <c r="K25" s="554"/>
      <c r="L25" s="553">
        <f t="shared" si="1"/>
        <v>880000</v>
      </c>
    </row>
    <row r="26" spans="1:12" ht="55.5" customHeight="1">
      <c r="A26" s="609" t="s">
        <v>642</v>
      </c>
      <c r="B26" s="445" t="s">
        <v>1205</v>
      </c>
      <c r="C26" s="445" t="s">
        <v>633</v>
      </c>
      <c r="D26" s="445" t="s">
        <v>645</v>
      </c>
      <c r="E26" s="455" t="s">
        <v>650</v>
      </c>
      <c r="F26" s="456" t="s">
        <v>643</v>
      </c>
      <c r="G26" s="553">
        <v>880000</v>
      </c>
      <c r="H26" s="554"/>
      <c r="I26" s="553">
        <f t="shared" si="0"/>
        <v>880000</v>
      </c>
      <c r="J26" s="553">
        <v>880000</v>
      </c>
      <c r="K26" s="554"/>
      <c r="L26" s="553">
        <f t="shared" si="1"/>
        <v>880000</v>
      </c>
    </row>
    <row r="27" spans="1:12" ht="18" customHeight="1">
      <c r="A27" s="607" t="s">
        <v>651</v>
      </c>
      <c r="B27" s="445" t="s">
        <v>1205</v>
      </c>
      <c r="C27" s="445" t="s">
        <v>633</v>
      </c>
      <c r="D27" s="445" t="s">
        <v>645</v>
      </c>
      <c r="E27" s="455" t="s">
        <v>652</v>
      </c>
      <c r="F27" s="456"/>
      <c r="G27" s="553">
        <f>G28</f>
        <v>1062800</v>
      </c>
      <c r="H27" s="554"/>
      <c r="I27" s="553">
        <f t="shared" si="0"/>
        <v>1062800</v>
      </c>
      <c r="J27" s="553">
        <f>J28</f>
        <v>1062800</v>
      </c>
      <c r="K27" s="554"/>
      <c r="L27" s="553">
        <f t="shared" si="1"/>
        <v>1062800</v>
      </c>
    </row>
    <row r="28" spans="1:12" ht="27.75" customHeight="1">
      <c r="A28" s="608" t="s">
        <v>640</v>
      </c>
      <c r="B28" s="445" t="s">
        <v>1205</v>
      </c>
      <c r="C28" s="445" t="s">
        <v>633</v>
      </c>
      <c r="D28" s="445" t="s">
        <v>645</v>
      </c>
      <c r="E28" s="455" t="s">
        <v>653</v>
      </c>
      <c r="F28" s="456"/>
      <c r="G28" s="553">
        <f>G29+G30</f>
        <v>1062800</v>
      </c>
      <c r="H28" s="554"/>
      <c r="I28" s="553">
        <f t="shared" si="0"/>
        <v>1062800</v>
      </c>
      <c r="J28" s="553">
        <f>J29+J30</f>
        <v>1062800</v>
      </c>
      <c r="K28" s="554"/>
      <c r="L28" s="553">
        <f t="shared" si="1"/>
        <v>1062800</v>
      </c>
    </row>
    <row r="29" spans="1:12" ht="54.75" customHeight="1">
      <c r="A29" s="609" t="s">
        <v>642</v>
      </c>
      <c r="B29" s="445" t="s">
        <v>1205</v>
      </c>
      <c r="C29" s="445" t="s">
        <v>633</v>
      </c>
      <c r="D29" s="445" t="s">
        <v>645</v>
      </c>
      <c r="E29" s="455" t="s">
        <v>653</v>
      </c>
      <c r="F29" s="456" t="s">
        <v>643</v>
      </c>
      <c r="G29" s="553">
        <v>1062800</v>
      </c>
      <c r="H29" s="554"/>
      <c r="I29" s="553">
        <f t="shared" si="0"/>
        <v>1062800</v>
      </c>
      <c r="J29" s="553">
        <v>1062800</v>
      </c>
      <c r="K29" s="554"/>
      <c r="L29" s="553">
        <f t="shared" si="1"/>
        <v>1062800</v>
      </c>
    </row>
    <row r="30" spans="1:12" ht="15.75" customHeight="1" hidden="1">
      <c r="A30" s="567" t="s">
        <v>696</v>
      </c>
      <c r="B30" s="445" t="s">
        <v>1205</v>
      </c>
      <c r="C30" s="445" t="s">
        <v>633</v>
      </c>
      <c r="D30" s="445" t="s">
        <v>645</v>
      </c>
      <c r="E30" s="455" t="s">
        <v>653</v>
      </c>
      <c r="F30" s="456" t="s">
        <v>697</v>
      </c>
      <c r="G30" s="553"/>
      <c r="H30" s="554"/>
      <c r="I30" s="553">
        <f t="shared" si="0"/>
        <v>0</v>
      </c>
      <c r="J30" s="553"/>
      <c r="K30" s="554"/>
      <c r="L30" s="553">
        <f t="shared" si="1"/>
        <v>0</v>
      </c>
    </row>
    <row r="31" spans="1:12" ht="39">
      <c r="A31" s="608" t="s">
        <v>656</v>
      </c>
      <c r="B31" s="445" t="s">
        <v>1205</v>
      </c>
      <c r="C31" s="445" t="s">
        <v>657</v>
      </c>
      <c r="D31" s="445" t="s">
        <v>658</v>
      </c>
      <c r="E31" s="445"/>
      <c r="F31" s="446"/>
      <c r="G31" s="553">
        <f>G32+G49+G64+G58+G43</f>
        <v>20214434</v>
      </c>
      <c r="H31" s="554"/>
      <c r="I31" s="553">
        <f t="shared" si="0"/>
        <v>20214434</v>
      </c>
      <c r="J31" s="553">
        <f>J32+J49+J64+J58+J43</f>
        <v>20214434</v>
      </c>
      <c r="K31" s="554"/>
      <c r="L31" s="553">
        <f t="shared" si="1"/>
        <v>20214434</v>
      </c>
    </row>
    <row r="32" spans="1:12" ht="33" customHeight="1">
      <c r="A32" s="607" t="s">
        <v>1261</v>
      </c>
      <c r="B32" s="445" t="s">
        <v>1205</v>
      </c>
      <c r="C32" s="445" t="s">
        <v>657</v>
      </c>
      <c r="D32" s="445" t="s">
        <v>658</v>
      </c>
      <c r="E32" s="455" t="s">
        <v>660</v>
      </c>
      <c r="F32" s="456"/>
      <c r="G32" s="553">
        <f>G38+G33</f>
        <v>2922000</v>
      </c>
      <c r="H32" s="554"/>
      <c r="I32" s="553">
        <f t="shared" si="0"/>
        <v>2922000</v>
      </c>
      <c r="J32" s="553">
        <f>J38+J33</f>
        <v>2922000</v>
      </c>
      <c r="K32" s="554"/>
      <c r="L32" s="553">
        <f t="shared" si="1"/>
        <v>2922000</v>
      </c>
    </row>
    <row r="33" spans="1:12" ht="67.5" customHeight="1">
      <c r="A33" s="609" t="s">
        <v>661</v>
      </c>
      <c r="B33" s="445" t="s">
        <v>1205</v>
      </c>
      <c r="C33" s="457" t="s">
        <v>633</v>
      </c>
      <c r="D33" s="457" t="s">
        <v>658</v>
      </c>
      <c r="E33" s="458" t="s">
        <v>662</v>
      </c>
      <c r="F33" s="459"/>
      <c r="G33" s="555">
        <f>G35</f>
        <v>876600</v>
      </c>
      <c r="H33" s="554"/>
      <c r="I33" s="553">
        <f t="shared" si="0"/>
        <v>876600</v>
      </c>
      <c r="J33" s="555">
        <f>J35</f>
        <v>876600</v>
      </c>
      <c r="K33" s="554"/>
      <c r="L33" s="553">
        <f t="shared" si="1"/>
        <v>876600</v>
      </c>
    </row>
    <row r="34" spans="1:12" ht="48" customHeight="1">
      <c r="A34" s="610" t="s">
        <v>663</v>
      </c>
      <c r="B34" s="445" t="s">
        <v>1205</v>
      </c>
      <c r="C34" s="445" t="s">
        <v>633</v>
      </c>
      <c r="D34" s="445" t="s">
        <v>658</v>
      </c>
      <c r="E34" s="455" t="s">
        <v>664</v>
      </c>
      <c r="F34" s="456"/>
      <c r="G34" s="553">
        <f>G35</f>
        <v>876600</v>
      </c>
      <c r="H34" s="554"/>
      <c r="I34" s="553">
        <f t="shared" si="0"/>
        <v>876600</v>
      </c>
      <c r="J34" s="553">
        <f>J35</f>
        <v>876600</v>
      </c>
      <c r="K34" s="554"/>
      <c r="L34" s="553">
        <f t="shared" si="1"/>
        <v>876600</v>
      </c>
    </row>
    <row r="35" spans="1:12" ht="42" customHeight="1">
      <c r="A35" s="611" t="s">
        <v>665</v>
      </c>
      <c r="B35" s="445" t="s">
        <v>1205</v>
      </c>
      <c r="C35" s="445" t="s">
        <v>633</v>
      </c>
      <c r="D35" s="445" t="s">
        <v>658</v>
      </c>
      <c r="E35" s="455" t="s">
        <v>666</v>
      </c>
      <c r="F35" s="456"/>
      <c r="G35" s="553">
        <f>G36+G37</f>
        <v>876600</v>
      </c>
      <c r="H35" s="554"/>
      <c r="I35" s="553">
        <f t="shared" si="0"/>
        <v>876600</v>
      </c>
      <c r="J35" s="553">
        <f>J36+J37</f>
        <v>876600</v>
      </c>
      <c r="K35" s="554"/>
      <c r="L35" s="553">
        <f t="shared" si="1"/>
        <v>876600</v>
      </c>
    </row>
    <row r="36" spans="1:12" ht="54" customHeight="1">
      <c r="A36" s="609" t="s">
        <v>642</v>
      </c>
      <c r="B36" s="445" t="s">
        <v>1205</v>
      </c>
      <c r="C36" s="445" t="s">
        <v>633</v>
      </c>
      <c r="D36" s="445" t="s">
        <v>658</v>
      </c>
      <c r="E36" s="455" t="s">
        <v>666</v>
      </c>
      <c r="F36" s="456" t="s">
        <v>643</v>
      </c>
      <c r="G36" s="553">
        <v>864600</v>
      </c>
      <c r="H36" s="554"/>
      <c r="I36" s="553">
        <f t="shared" si="0"/>
        <v>864600</v>
      </c>
      <c r="J36" s="553">
        <v>864600</v>
      </c>
      <c r="K36" s="554"/>
      <c r="L36" s="553">
        <f t="shared" si="1"/>
        <v>864600</v>
      </c>
    </row>
    <row r="37" spans="1:12" ht="31.5" customHeight="1">
      <c r="A37" s="609" t="s">
        <v>654</v>
      </c>
      <c r="B37" s="445" t="s">
        <v>1205</v>
      </c>
      <c r="C37" s="445" t="s">
        <v>633</v>
      </c>
      <c r="D37" s="445" t="s">
        <v>658</v>
      </c>
      <c r="E37" s="455" t="s">
        <v>666</v>
      </c>
      <c r="F37" s="456" t="s">
        <v>655</v>
      </c>
      <c r="G37" s="553">
        <v>12000</v>
      </c>
      <c r="H37" s="554"/>
      <c r="I37" s="553">
        <f t="shared" si="0"/>
        <v>12000</v>
      </c>
      <c r="J37" s="553">
        <v>12000</v>
      </c>
      <c r="K37" s="554"/>
      <c r="L37" s="553">
        <f t="shared" si="1"/>
        <v>12000</v>
      </c>
    </row>
    <row r="38" spans="1:12" ht="57.75" customHeight="1">
      <c r="A38" s="608" t="s">
        <v>667</v>
      </c>
      <c r="B38" s="445" t="s">
        <v>1205</v>
      </c>
      <c r="C38" s="457" t="s">
        <v>633</v>
      </c>
      <c r="D38" s="457" t="s">
        <v>658</v>
      </c>
      <c r="E38" s="458" t="s">
        <v>668</v>
      </c>
      <c r="F38" s="464"/>
      <c r="G38" s="555">
        <f>G39</f>
        <v>2045400</v>
      </c>
      <c r="H38" s="554"/>
      <c r="I38" s="553">
        <f t="shared" si="0"/>
        <v>2045400</v>
      </c>
      <c r="J38" s="555">
        <f>J39</f>
        <v>2045400</v>
      </c>
      <c r="K38" s="554"/>
      <c r="L38" s="553">
        <f t="shared" si="1"/>
        <v>2045400</v>
      </c>
    </row>
    <row r="39" spans="1:12" ht="42.75" customHeight="1">
      <c r="A39" s="612" t="s">
        <v>669</v>
      </c>
      <c r="B39" s="445" t="s">
        <v>1205</v>
      </c>
      <c r="C39" s="445" t="s">
        <v>633</v>
      </c>
      <c r="D39" s="445" t="s">
        <v>658</v>
      </c>
      <c r="E39" s="455" t="s">
        <v>670</v>
      </c>
      <c r="F39" s="446"/>
      <c r="G39" s="553">
        <f>G40</f>
        <v>2045400</v>
      </c>
      <c r="H39" s="554"/>
      <c r="I39" s="553">
        <f t="shared" si="0"/>
        <v>2045400</v>
      </c>
      <c r="J39" s="553">
        <f>J40</f>
        <v>2045400</v>
      </c>
      <c r="K39" s="554"/>
      <c r="L39" s="553">
        <f t="shared" si="1"/>
        <v>2045400</v>
      </c>
    </row>
    <row r="40" spans="1:12" ht="33" customHeight="1">
      <c r="A40" s="608" t="s">
        <v>671</v>
      </c>
      <c r="B40" s="445" t="s">
        <v>1205</v>
      </c>
      <c r="C40" s="445" t="s">
        <v>633</v>
      </c>
      <c r="D40" s="445" t="s">
        <v>658</v>
      </c>
      <c r="E40" s="455" t="s">
        <v>672</v>
      </c>
      <c r="F40" s="446"/>
      <c r="G40" s="553">
        <f>G41+G42</f>
        <v>2045400</v>
      </c>
      <c r="H40" s="554"/>
      <c r="I40" s="553">
        <f t="shared" si="0"/>
        <v>2045400</v>
      </c>
      <c r="J40" s="553">
        <f>J41+J42</f>
        <v>2045400</v>
      </c>
      <c r="K40" s="554"/>
      <c r="L40" s="553">
        <f t="shared" si="1"/>
        <v>2045400</v>
      </c>
    </row>
    <row r="41" spans="1:12" ht="54.75" customHeight="1">
      <c r="A41" s="609" t="s">
        <v>642</v>
      </c>
      <c r="B41" s="445" t="s">
        <v>1205</v>
      </c>
      <c r="C41" s="445" t="s">
        <v>633</v>
      </c>
      <c r="D41" s="445" t="s">
        <v>658</v>
      </c>
      <c r="E41" s="455" t="s">
        <v>672</v>
      </c>
      <c r="F41" s="456" t="s">
        <v>643</v>
      </c>
      <c r="G41" s="553">
        <f>1524168+460299+300+60633</f>
        <v>2045400</v>
      </c>
      <c r="H41" s="554"/>
      <c r="I41" s="553">
        <f t="shared" si="0"/>
        <v>2045400</v>
      </c>
      <c r="J41" s="553">
        <f>1524168+460299+300+60633</f>
        <v>2045400</v>
      </c>
      <c r="K41" s="554"/>
      <c r="L41" s="553">
        <f t="shared" si="1"/>
        <v>2045400</v>
      </c>
    </row>
    <row r="42" spans="1:12" ht="26.25" customHeight="1" hidden="1">
      <c r="A42" s="609" t="s">
        <v>654</v>
      </c>
      <c r="B42" s="445" t="s">
        <v>1205</v>
      </c>
      <c r="C42" s="445" t="s">
        <v>633</v>
      </c>
      <c r="D42" s="445" t="s">
        <v>658</v>
      </c>
      <c r="E42" s="455" t="s">
        <v>672</v>
      </c>
      <c r="F42" s="456" t="s">
        <v>655</v>
      </c>
      <c r="G42" s="553">
        <f>60633-60633</f>
        <v>0</v>
      </c>
      <c r="H42" s="554"/>
      <c r="I42" s="553">
        <f t="shared" si="0"/>
        <v>0</v>
      </c>
      <c r="J42" s="553">
        <f>60633-60633</f>
        <v>0</v>
      </c>
      <c r="K42" s="554"/>
      <c r="L42" s="553">
        <f t="shared" si="1"/>
        <v>0</v>
      </c>
    </row>
    <row r="43" spans="1:12" ht="45.75" customHeight="1">
      <c r="A43" s="606" t="s">
        <v>673</v>
      </c>
      <c r="B43" s="445" t="s">
        <v>1205</v>
      </c>
      <c r="C43" s="445" t="s">
        <v>633</v>
      </c>
      <c r="D43" s="445" t="s">
        <v>658</v>
      </c>
      <c r="E43" s="455" t="s">
        <v>674</v>
      </c>
      <c r="F43" s="446"/>
      <c r="G43" s="553">
        <f>G44</f>
        <v>329014</v>
      </c>
      <c r="H43" s="554"/>
      <c r="I43" s="553">
        <f t="shared" si="0"/>
        <v>329014</v>
      </c>
      <c r="J43" s="553">
        <f>J44</f>
        <v>329014</v>
      </c>
      <c r="K43" s="554"/>
      <c r="L43" s="553">
        <f t="shared" si="1"/>
        <v>329014</v>
      </c>
    </row>
    <row r="44" spans="1:12" s="461" customFormat="1" ht="72" customHeight="1">
      <c r="A44" s="612" t="s">
        <v>675</v>
      </c>
      <c r="B44" s="457" t="s">
        <v>1205</v>
      </c>
      <c r="C44" s="457" t="s">
        <v>633</v>
      </c>
      <c r="D44" s="457" t="s">
        <v>658</v>
      </c>
      <c r="E44" s="458" t="s">
        <v>676</v>
      </c>
      <c r="F44" s="464"/>
      <c r="G44" s="555">
        <f>G46</f>
        <v>329014</v>
      </c>
      <c r="H44" s="557"/>
      <c r="I44" s="555">
        <f t="shared" si="0"/>
        <v>329014</v>
      </c>
      <c r="J44" s="555">
        <f>J46</f>
        <v>329014</v>
      </c>
      <c r="K44" s="557"/>
      <c r="L44" s="555">
        <f t="shared" si="1"/>
        <v>329014</v>
      </c>
    </row>
    <row r="45" spans="1:12" ht="30.75" customHeight="1">
      <c r="A45" s="567" t="s">
        <v>677</v>
      </c>
      <c r="B45" s="445" t="s">
        <v>1205</v>
      </c>
      <c r="C45" s="445" t="s">
        <v>633</v>
      </c>
      <c r="D45" s="445" t="s">
        <v>658</v>
      </c>
      <c r="E45" s="455" t="s">
        <v>678</v>
      </c>
      <c r="F45" s="446"/>
      <c r="G45" s="553">
        <f>G46</f>
        <v>329014</v>
      </c>
      <c r="H45" s="554"/>
      <c r="I45" s="553">
        <f t="shared" si="0"/>
        <v>329014</v>
      </c>
      <c r="J45" s="553">
        <f>J46</f>
        <v>329014</v>
      </c>
      <c r="K45" s="554"/>
      <c r="L45" s="553">
        <f t="shared" si="1"/>
        <v>329014</v>
      </c>
    </row>
    <row r="46" spans="1:12" ht="31.5" customHeight="1">
      <c r="A46" s="611" t="s">
        <v>679</v>
      </c>
      <c r="B46" s="445" t="s">
        <v>1205</v>
      </c>
      <c r="C46" s="445" t="s">
        <v>633</v>
      </c>
      <c r="D46" s="445" t="s">
        <v>658</v>
      </c>
      <c r="E46" s="455" t="s">
        <v>680</v>
      </c>
      <c r="F46" s="446"/>
      <c r="G46" s="553">
        <f>G47+G48</f>
        <v>329014</v>
      </c>
      <c r="H46" s="554"/>
      <c r="I46" s="553">
        <f t="shared" si="0"/>
        <v>329014</v>
      </c>
      <c r="J46" s="553">
        <f>J47+J48</f>
        <v>329014</v>
      </c>
      <c r="K46" s="554"/>
      <c r="L46" s="553">
        <f t="shared" si="1"/>
        <v>329014</v>
      </c>
    </row>
    <row r="47" spans="1:12" ht="51.75">
      <c r="A47" s="609" t="s">
        <v>642</v>
      </c>
      <c r="B47" s="445" t="s">
        <v>1205</v>
      </c>
      <c r="C47" s="445" t="s">
        <v>633</v>
      </c>
      <c r="D47" s="445" t="s">
        <v>658</v>
      </c>
      <c r="E47" s="455" t="s">
        <v>680</v>
      </c>
      <c r="F47" s="456" t="s">
        <v>643</v>
      </c>
      <c r="G47" s="553">
        <v>295773</v>
      </c>
      <c r="H47" s="554"/>
      <c r="I47" s="553">
        <f t="shared" si="0"/>
        <v>295773</v>
      </c>
      <c r="J47" s="553">
        <v>295773</v>
      </c>
      <c r="K47" s="554"/>
      <c r="L47" s="553">
        <f t="shared" si="1"/>
        <v>295773</v>
      </c>
    </row>
    <row r="48" spans="1:12" ht="31.5" customHeight="1">
      <c r="A48" s="609" t="s">
        <v>654</v>
      </c>
      <c r="B48" s="445" t="s">
        <v>1205</v>
      </c>
      <c r="C48" s="445" t="s">
        <v>633</v>
      </c>
      <c r="D48" s="445" t="s">
        <v>658</v>
      </c>
      <c r="E48" s="455" t="s">
        <v>680</v>
      </c>
      <c r="F48" s="456" t="s">
        <v>655</v>
      </c>
      <c r="G48" s="553">
        <v>33241</v>
      </c>
      <c r="H48" s="554"/>
      <c r="I48" s="553">
        <f t="shared" si="0"/>
        <v>33241</v>
      </c>
      <c r="J48" s="553">
        <v>33241</v>
      </c>
      <c r="K48" s="554"/>
      <c r="L48" s="553">
        <f t="shared" si="1"/>
        <v>33241</v>
      </c>
    </row>
    <row r="49" spans="1:12" ht="54.75" customHeight="1">
      <c r="A49" s="607" t="s">
        <v>681</v>
      </c>
      <c r="B49" s="445" t="s">
        <v>1205</v>
      </c>
      <c r="C49" s="445" t="s">
        <v>633</v>
      </c>
      <c r="D49" s="445" t="s">
        <v>658</v>
      </c>
      <c r="E49" s="455" t="s">
        <v>682</v>
      </c>
      <c r="F49" s="456"/>
      <c r="G49" s="553">
        <f>G50</f>
        <v>584400</v>
      </c>
      <c r="H49" s="554"/>
      <c r="I49" s="553">
        <f t="shared" si="0"/>
        <v>584400</v>
      </c>
      <c r="J49" s="553">
        <f>J50</f>
        <v>584400</v>
      </c>
      <c r="K49" s="554"/>
      <c r="L49" s="553">
        <f t="shared" si="1"/>
        <v>584400</v>
      </c>
    </row>
    <row r="50" spans="1:12" s="461" customFormat="1" ht="72.75" customHeight="1">
      <c r="A50" s="607" t="s">
        <v>683</v>
      </c>
      <c r="B50" s="457" t="s">
        <v>1205</v>
      </c>
      <c r="C50" s="457" t="s">
        <v>633</v>
      </c>
      <c r="D50" s="457" t="s">
        <v>658</v>
      </c>
      <c r="E50" s="458" t="s">
        <v>684</v>
      </c>
      <c r="F50" s="459"/>
      <c r="G50" s="555">
        <f>G52+G55</f>
        <v>584400</v>
      </c>
      <c r="H50" s="557"/>
      <c r="I50" s="555">
        <f t="shared" si="0"/>
        <v>584400</v>
      </c>
      <c r="J50" s="555">
        <f>J52+J55</f>
        <v>584400</v>
      </c>
      <c r="K50" s="557"/>
      <c r="L50" s="555">
        <f t="shared" si="1"/>
        <v>584400</v>
      </c>
    </row>
    <row r="51" spans="1:12" ht="42" customHeight="1">
      <c r="A51" s="612" t="s">
        <v>685</v>
      </c>
      <c r="B51" s="445" t="s">
        <v>1205</v>
      </c>
      <c r="C51" s="445" t="s">
        <v>633</v>
      </c>
      <c r="D51" s="445" t="s">
        <v>658</v>
      </c>
      <c r="E51" s="455" t="s">
        <v>686</v>
      </c>
      <c r="F51" s="456"/>
      <c r="G51" s="553">
        <f>G52+G55</f>
        <v>584400</v>
      </c>
      <c r="H51" s="554"/>
      <c r="I51" s="553">
        <f t="shared" si="0"/>
        <v>584400</v>
      </c>
      <c r="J51" s="553">
        <f>J52+J55</f>
        <v>584400</v>
      </c>
      <c r="K51" s="554"/>
      <c r="L51" s="553">
        <f t="shared" si="1"/>
        <v>584400</v>
      </c>
    </row>
    <row r="52" spans="1:12" ht="44.25" customHeight="1">
      <c r="A52" s="611" t="s">
        <v>687</v>
      </c>
      <c r="B52" s="445" t="s">
        <v>1205</v>
      </c>
      <c r="C52" s="445" t="s">
        <v>633</v>
      </c>
      <c r="D52" s="445" t="s">
        <v>658</v>
      </c>
      <c r="E52" s="445" t="s">
        <v>688</v>
      </c>
      <c r="F52" s="446"/>
      <c r="G52" s="553">
        <f>G53+G54</f>
        <v>292200</v>
      </c>
      <c r="H52" s="554"/>
      <c r="I52" s="553">
        <f t="shared" si="0"/>
        <v>292200</v>
      </c>
      <c r="J52" s="553">
        <f>J53+J54</f>
        <v>292200</v>
      </c>
      <c r="K52" s="554"/>
      <c r="L52" s="553">
        <f t="shared" si="1"/>
        <v>292200</v>
      </c>
    </row>
    <row r="53" spans="1:12" ht="57.75" customHeight="1">
      <c r="A53" s="609" t="s">
        <v>642</v>
      </c>
      <c r="B53" s="445" t="s">
        <v>1205</v>
      </c>
      <c r="C53" s="445" t="s">
        <v>633</v>
      </c>
      <c r="D53" s="445" t="s">
        <v>658</v>
      </c>
      <c r="E53" s="445" t="s">
        <v>688</v>
      </c>
      <c r="F53" s="456" t="s">
        <v>643</v>
      </c>
      <c r="G53" s="553">
        <v>292200</v>
      </c>
      <c r="H53" s="554"/>
      <c r="I53" s="553">
        <f t="shared" si="0"/>
        <v>292200</v>
      </c>
      <c r="J53" s="553">
        <v>292200</v>
      </c>
      <c r="K53" s="554"/>
      <c r="L53" s="553">
        <f t="shared" si="1"/>
        <v>292200</v>
      </c>
    </row>
    <row r="54" spans="1:12" ht="26.25">
      <c r="A54" s="609" t="s">
        <v>654</v>
      </c>
      <c r="B54" s="445" t="s">
        <v>1205</v>
      </c>
      <c r="C54" s="445" t="s">
        <v>633</v>
      </c>
      <c r="D54" s="445" t="s">
        <v>658</v>
      </c>
      <c r="E54" s="445" t="s">
        <v>688</v>
      </c>
      <c r="F54" s="456" t="s">
        <v>655</v>
      </c>
      <c r="G54" s="553"/>
      <c r="H54" s="554"/>
      <c r="I54" s="553">
        <f t="shared" si="0"/>
        <v>0</v>
      </c>
      <c r="J54" s="553"/>
      <c r="K54" s="554"/>
      <c r="L54" s="553">
        <f t="shared" si="1"/>
        <v>0</v>
      </c>
    </row>
    <row r="55" spans="1:12" ht="35.25" customHeight="1">
      <c r="A55" s="611" t="s">
        <v>689</v>
      </c>
      <c r="B55" s="445" t="s">
        <v>1205</v>
      </c>
      <c r="C55" s="445" t="s">
        <v>633</v>
      </c>
      <c r="D55" s="445" t="s">
        <v>658</v>
      </c>
      <c r="E55" s="445" t="s">
        <v>690</v>
      </c>
      <c r="F55" s="446"/>
      <c r="G55" s="553">
        <f>G56+G57</f>
        <v>292200</v>
      </c>
      <c r="H55" s="554"/>
      <c r="I55" s="553">
        <f t="shared" si="0"/>
        <v>292200</v>
      </c>
      <c r="J55" s="553">
        <f>J56+J57</f>
        <v>292200</v>
      </c>
      <c r="K55" s="554"/>
      <c r="L55" s="553">
        <f t="shared" si="1"/>
        <v>292200</v>
      </c>
    </row>
    <row r="56" spans="1:12" ht="57.75" customHeight="1">
      <c r="A56" s="609" t="s">
        <v>642</v>
      </c>
      <c r="B56" s="445" t="s">
        <v>1205</v>
      </c>
      <c r="C56" s="445" t="s">
        <v>633</v>
      </c>
      <c r="D56" s="445" t="s">
        <v>658</v>
      </c>
      <c r="E56" s="445" t="s">
        <v>690</v>
      </c>
      <c r="F56" s="456" t="s">
        <v>643</v>
      </c>
      <c r="G56" s="553">
        <f>193920+58564+39716</f>
        <v>292200</v>
      </c>
      <c r="H56" s="554"/>
      <c r="I56" s="553">
        <f t="shared" si="0"/>
        <v>292200</v>
      </c>
      <c r="J56" s="553">
        <f>193920+58564+39716</f>
        <v>292200</v>
      </c>
      <c r="K56" s="554"/>
      <c r="L56" s="553">
        <f t="shared" si="1"/>
        <v>292200</v>
      </c>
    </row>
    <row r="57" spans="1:12" ht="26.25" customHeight="1" hidden="1">
      <c r="A57" s="609" t="s">
        <v>654</v>
      </c>
      <c r="B57" s="445" t="s">
        <v>1205</v>
      </c>
      <c r="C57" s="445" t="s">
        <v>633</v>
      </c>
      <c r="D57" s="445" t="s">
        <v>658</v>
      </c>
      <c r="E57" s="445" t="s">
        <v>690</v>
      </c>
      <c r="F57" s="456" t="s">
        <v>655</v>
      </c>
      <c r="G57" s="553">
        <f>39716-39716</f>
        <v>0</v>
      </c>
      <c r="H57" s="554"/>
      <c r="I57" s="553">
        <f t="shared" si="0"/>
        <v>0</v>
      </c>
      <c r="J57" s="553">
        <f>39716-39716</f>
        <v>0</v>
      </c>
      <c r="K57" s="554"/>
      <c r="L57" s="553">
        <f t="shared" si="1"/>
        <v>0</v>
      </c>
    </row>
    <row r="58" spans="1:12" ht="18" customHeight="1">
      <c r="A58" s="609" t="s">
        <v>691</v>
      </c>
      <c r="B58" s="445" t="s">
        <v>1205</v>
      </c>
      <c r="C58" s="445" t="s">
        <v>633</v>
      </c>
      <c r="D58" s="445" t="s">
        <v>658</v>
      </c>
      <c r="E58" s="445" t="s">
        <v>692</v>
      </c>
      <c r="F58" s="446"/>
      <c r="G58" s="553">
        <f>G59</f>
        <v>16057600</v>
      </c>
      <c r="H58" s="554"/>
      <c r="I58" s="553">
        <f t="shared" si="0"/>
        <v>16057600</v>
      </c>
      <c r="J58" s="553">
        <f>J59</f>
        <v>16057600</v>
      </c>
      <c r="K58" s="554"/>
      <c r="L58" s="553">
        <f t="shared" si="1"/>
        <v>16057600</v>
      </c>
    </row>
    <row r="59" spans="1:12" ht="21" customHeight="1">
      <c r="A59" s="608" t="s">
        <v>693</v>
      </c>
      <c r="B59" s="445" t="s">
        <v>1205</v>
      </c>
      <c r="C59" s="445" t="s">
        <v>633</v>
      </c>
      <c r="D59" s="445" t="s">
        <v>658</v>
      </c>
      <c r="E59" s="445" t="s">
        <v>694</v>
      </c>
      <c r="F59" s="446"/>
      <c r="G59" s="553">
        <f>G60</f>
        <v>16057600</v>
      </c>
      <c r="H59" s="554"/>
      <c r="I59" s="553">
        <f t="shared" si="0"/>
        <v>16057600</v>
      </c>
      <c r="J59" s="553">
        <f>J60</f>
        <v>16057600</v>
      </c>
      <c r="K59" s="554"/>
      <c r="L59" s="553">
        <f t="shared" si="1"/>
        <v>16057600</v>
      </c>
    </row>
    <row r="60" spans="1:12" ht="32.25" customHeight="1">
      <c r="A60" s="608" t="s">
        <v>640</v>
      </c>
      <c r="B60" s="445" t="s">
        <v>1205</v>
      </c>
      <c r="C60" s="445" t="s">
        <v>633</v>
      </c>
      <c r="D60" s="445" t="s">
        <v>658</v>
      </c>
      <c r="E60" s="445" t="s">
        <v>695</v>
      </c>
      <c r="F60" s="446"/>
      <c r="G60" s="553">
        <f>G61+G62+G63</f>
        <v>16057600</v>
      </c>
      <c r="H60" s="554"/>
      <c r="I60" s="553">
        <f t="shared" si="0"/>
        <v>16057600</v>
      </c>
      <c r="J60" s="553">
        <f>J61+J62+J63</f>
        <v>16057600</v>
      </c>
      <c r="K60" s="554"/>
      <c r="L60" s="553">
        <f t="shared" si="1"/>
        <v>16057600</v>
      </c>
    </row>
    <row r="61" spans="1:12" ht="54.75" customHeight="1">
      <c r="A61" s="609" t="s">
        <v>642</v>
      </c>
      <c r="B61" s="445" t="s">
        <v>1205</v>
      </c>
      <c r="C61" s="445" t="s">
        <v>633</v>
      </c>
      <c r="D61" s="445" t="s">
        <v>658</v>
      </c>
      <c r="E61" s="445" t="s">
        <v>695</v>
      </c>
      <c r="F61" s="456" t="s">
        <v>643</v>
      </c>
      <c r="G61" s="553">
        <v>15918200</v>
      </c>
      <c r="H61" s="554"/>
      <c r="I61" s="553">
        <f t="shared" si="0"/>
        <v>15918200</v>
      </c>
      <c r="J61" s="553">
        <v>15918200</v>
      </c>
      <c r="K61" s="554"/>
      <c r="L61" s="553">
        <f t="shared" si="1"/>
        <v>15918200</v>
      </c>
    </row>
    <row r="62" spans="1:12" ht="30" customHeight="1">
      <c r="A62" s="609" t="s">
        <v>654</v>
      </c>
      <c r="B62" s="445" t="s">
        <v>1205</v>
      </c>
      <c r="C62" s="445" t="s">
        <v>633</v>
      </c>
      <c r="D62" s="445" t="s">
        <v>658</v>
      </c>
      <c r="E62" s="445" t="s">
        <v>695</v>
      </c>
      <c r="F62" s="456" t="s">
        <v>655</v>
      </c>
      <c r="G62" s="558">
        <v>58500</v>
      </c>
      <c r="H62" s="554"/>
      <c r="I62" s="553">
        <f t="shared" si="0"/>
        <v>58500</v>
      </c>
      <c r="J62" s="558">
        <v>58500</v>
      </c>
      <c r="K62" s="554"/>
      <c r="L62" s="553">
        <f t="shared" si="1"/>
        <v>58500</v>
      </c>
    </row>
    <row r="63" spans="1:12" ht="18.75" customHeight="1">
      <c r="A63" s="567" t="s">
        <v>696</v>
      </c>
      <c r="B63" s="445" t="s">
        <v>1205</v>
      </c>
      <c r="C63" s="445" t="s">
        <v>633</v>
      </c>
      <c r="D63" s="445" t="s">
        <v>658</v>
      </c>
      <c r="E63" s="445" t="s">
        <v>695</v>
      </c>
      <c r="F63" s="456" t="s">
        <v>697</v>
      </c>
      <c r="G63" s="553">
        <v>80900</v>
      </c>
      <c r="H63" s="554"/>
      <c r="I63" s="553">
        <f t="shared" si="0"/>
        <v>80900</v>
      </c>
      <c r="J63" s="553">
        <v>80900</v>
      </c>
      <c r="K63" s="554"/>
      <c r="L63" s="553">
        <f t="shared" si="1"/>
        <v>80900</v>
      </c>
    </row>
    <row r="64" spans="1:12" ht="15">
      <c r="A64" s="607" t="s">
        <v>698</v>
      </c>
      <c r="B64" s="445" t="s">
        <v>1205</v>
      </c>
      <c r="C64" s="445" t="s">
        <v>633</v>
      </c>
      <c r="D64" s="445" t="s">
        <v>658</v>
      </c>
      <c r="E64" s="445" t="s">
        <v>699</v>
      </c>
      <c r="F64" s="446"/>
      <c r="G64" s="553">
        <f>G65+G69</f>
        <v>321420</v>
      </c>
      <c r="H64" s="554"/>
      <c r="I64" s="553">
        <f t="shared" si="0"/>
        <v>321420</v>
      </c>
      <c r="J64" s="553">
        <f>J65+J69</f>
        <v>321420</v>
      </c>
      <c r="K64" s="554"/>
      <c r="L64" s="553">
        <f>J64+K64</f>
        <v>321420</v>
      </c>
    </row>
    <row r="65" spans="1:12" ht="17.25" customHeight="1">
      <c r="A65" s="612" t="s">
        <v>700</v>
      </c>
      <c r="B65" s="445" t="s">
        <v>1205</v>
      </c>
      <c r="C65" s="445" t="s">
        <v>633</v>
      </c>
      <c r="D65" s="445" t="s">
        <v>658</v>
      </c>
      <c r="E65" s="445" t="s">
        <v>701</v>
      </c>
      <c r="F65" s="446"/>
      <c r="G65" s="553">
        <f>G66</f>
        <v>292200</v>
      </c>
      <c r="H65" s="554"/>
      <c r="I65" s="553">
        <f t="shared" si="0"/>
        <v>292200</v>
      </c>
      <c r="J65" s="553">
        <f>J66</f>
        <v>292200</v>
      </c>
      <c r="K65" s="554"/>
      <c r="L65" s="553">
        <f aca="true" t="shared" si="2" ref="L65:L140">J65+K65</f>
        <v>292200</v>
      </c>
    </row>
    <row r="66" spans="1:12" ht="27.75" customHeight="1">
      <c r="A66" s="608" t="s">
        <v>702</v>
      </c>
      <c r="B66" s="445" t="s">
        <v>1205</v>
      </c>
      <c r="C66" s="445" t="s">
        <v>633</v>
      </c>
      <c r="D66" s="445" t="s">
        <v>658</v>
      </c>
      <c r="E66" s="445" t="s">
        <v>703</v>
      </c>
      <c r="F66" s="446"/>
      <c r="G66" s="553">
        <f>G67+G68</f>
        <v>292200</v>
      </c>
      <c r="H66" s="554"/>
      <c r="I66" s="553">
        <f t="shared" si="0"/>
        <v>292200</v>
      </c>
      <c r="J66" s="553">
        <f>J67+J68</f>
        <v>292200</v>
      </c>
      <c r="K66" s="554"/>
      <c r="L66" s="553">
        <f t="shared" si="2"/>
        <v>292200</v>
      </c>
    </row>
    <row r="67" spans="1:12" ht="54" customHeight="1">
      <c r="A67" s="609" t="s">
        <v>642</v>
      </c>
      <c r="B67" s="445" t="s">
        <v>1205</v>
      </c>
      <c r="C67" s="445" t="s">
        <v>633</v>
      </c>
      <c r="D67" s="445" t="s">
        <v>658</v>
      </c>
      <c r="E67" s="445" t="s">
        <v>703</v>
      </c>
      <c r="F67" s="456" t="s">
        <v>643</v>
      </c>
      <c r="G67" s="553">
        <f>208320+62913+20967</f>
        <v>292200</v>
      </c>
      <c r="H67" s="554"/>
      <c r="I67" s="553">
        <f t="shared" si="0"/>
        <v>292200</v>
      </c>
      <c r="J67" s="553">
        <f>208320+62913+20967</f>
        <v>292200</v>
      </c>
      <c r="K67" s="554"/>
      <c r="L67" s="553">
        <f t="shared" si="2"/>
        <v>292200</v>
      </c>
    </row>
    <row r="68" spans="1:12" ht="15" customHeight="1" hidden="1">
      <c r="A68" s="609" t="s">
        <v>704</v>
      </c>
      <c r="B68" s="445" t="s">
        <v>1205</v>
      </c>
      <c r="C68" s="445" t="s">
        <v>633</v>
      </c>
      <c r="D68" s="445" t="s">
        <v>658</v>
      </c>
      <c r="E68" s="445" t="s">
        <v>703</v>
      </c>
      <c r="F68" s="456" t="s">
        <v>655</v>
      </c>
      <c r="G68" s="553">
        <f>20967-20967</f>
        <v>0</v>
      </c>
      <c r="H68" s="554"/>
      <c r="I68" s="553">
        <f t="shared" si="0"/>
        <v>0</v>
      </c>
      <c r="J68" s="553">
        <f>20967-20967</f>
        <v>0</v>
      </c>
      <c r="K68" s="554"/>
      <c r="L68" s="553">
        <f t="shared" si="2"/>
        <v>0</v>
      </c>
    </row>
    <row r="69" spans="1:12" ht="15">
      <c r="A69" s="607" t="s">
        <v>705</v>
      </c>
      <c r="B69" s="445" t="s">
        <v>1205</v>
      </c>
      <c r="C69" s="445" t="s">
        <v>633</v>
      </c>
      <c r="D69" s="445" t="s">
        <v>658</v>
      </c>
      <c r="E69" s="445" t="s">
        <v>706</v>
      </c>
      <c r="F69" s="446"/>
      <c r="G69" s="553">
        <f>G70</f>
        <v>29220</v>
      </c>
      <c r="H69" s="554"/>
      <c r="I69" s="553">
        <f t="shared" si="0"/>
        <v>29220</v>
      </c>
      <c r="J69" s="553">
        <f>J70</f>
        <v>29220</v>
      </c>
      <c r="K69" s="554"/>
      <c r="L69" s="553">
        <f t="shared" si="2"/>
        <v>29220</v>
      </c>
    </row>
    <row r="70" spans="1:12" ht="38.25">
      <c r="A70" s="559" t="s">
        <v>707</v>
      </c>
      <c r="B70" s="445" t="s">
        <v>1205</v>
      </c>
      <c r="C70" s="445" t="s">
        <v>633</v>
      </c>
      <c r="D70" s="445" t="s">
        <v>658</v>
      </c>
      <c r="E70" s="445" t="s">
        <v>708</v>
      </c>
      <c r="F70" s="446"/>
      <c r="G70" s="553">
        <f>G71</f>
        <v>29220</v>
      </c>
      <c r="H70" s="554"/>
      <c r="I70" s="553">
        <f t="shared" si="0"/>
        <v>29220</v>
      </c>
      <c r="J70" s="553">
        <f>J71</f>
        <v>29220</v>
      </c>
      <c r="K70" s="554"/>
      <c r="L70" s="553">
        <f t="shared" si="2"/>
        <v>29220</v>
      </c>
    </row>
    <row r="71" spans="1:12" ht="49.5" customHeight="1">
      <c r="A71" s="609" t="s">
        <v>642</v>
      </c>
      <c r="B71" s="445" t="s">
        <v>1205</v>
      </c>
      <c r="C71" s="445" t="s">
        <v>633</v>
      </c>
      <c r="D71" s="445" t="s">
        <v>658</v>
      </c>
      <c r="E71" s="445" t="s">
        <v>708</v>
      </c>
      <c r="F71" s="456" t="s">
        <v>643</v>
      </c>
      <c r="G71" s="553">
        <f>22442+6778</f>
        <v>29220</v>
      </c>
      <c r="H71" s="554"/>
      <c r="I71" s="553">
        <f t="shared" si="0"/>
        <v>29220</v>
      </c>
      <c r="J71" s="553">
        <f>22442+6778</f>
        <v>29220</v>
      </c>
      <c r="K71" s="554"/>
      <c r="L71" s="553">
        <f t="shared" si="2"/>
        <v>29220</v>
      </c>
    </row>
    <row r="72" spans="1:12" ht="15" customHeight="1" hidden="1">
      <c r="A72" s="559" t="s">
        <v>709</v>
      </c>
      <c r="B72" s="445" t="s">
        <v>1205</v>
      </c>
      <c r="C72" s="445" t="s">
        <v>633</v>
      </c>
      <c r="D72" s="445" t="s">
        <v>710</v>
      </c>
      <c r="E72" s="445"/>
      <c r="F72" s="456"/>
      <c r="G72" s="553">
        <f>G73</f>
        <v>0</v>
      </c>
      <c r="H72" s="554"/>
      <c r="I72" s="553">
        <f t="shared" si="0"/>
        <v>0</v>
      </c>
      <c r="J72" s="553">
        <f>J73</f>
        <v>0</v>
      </c>
      <c r="K72" s="554"/>
      <c r="L72" s="553">
        <f t="shared" si="2"/>
        <v>0</v>
      </c>
    </row>
    <row r="73" spans="1:12" ht="15" customHeight="1" hidden="1">
      <c r="A73" s="607" t="s">
        <v>698</v>
      </c>
      <c r="B73" s="445" t="s">
        <v>1205</v>
      </c>
      <c r="C73" s="445" t="s">
        <v>633</v>
      </c>
      <c r="D73" s="445" t="s">
        <v>710</v>
      </c>
      <c r="E73" s="445" t="s">
        <v>699</v>
      </c>
      <c r="F73" s="456"/>
      <c r="G73" s="553">
        <f>G74</f>
        <v>0</v>
      </c>
      <c r="H73" s="554"/>
      <c r="I73" s="553">
        <f t="shared" si="0"/>
        <v>0</v>
      </c>
      <c r="J73" s="553">
        <f>J74</f>
        <v>0</v>
      </c>
      <c r="K73" s="554"/>
      <c r="L73" s="553">
        <f t="shared" si="2"/>
        <v>0</v>
      </c>
    </row>
    <row r="74" spans="1:12" ht="15" customHeight="1" hidden="1">
      <c r="A74" s="607" t="s">
        <v>705</v>
      </c>
      <c r="B74" s="445" t="s">
        <v>1205</v>
      </c>
      <c r="C74" s="445" t="s">
        <v>633</v>
      </c>
      <c r="D74" s="445" t="s">
        <v>710</v>
      </c>
      <c r="E74" s="445" t="s">
        <v>706</v>
      </c>
      <c r="F74" s="456"/>
      <c r="G74" s="553">
        <f>G75</f>
        <v>0</v>
      </c>
      <c r="H74" s="554"/>
      <c r="I74" s="553">
        <f t="shared" si="0"/>
        <v>0</v>
      </c>
      <c r="J74" s="553">
        <f>J75</f>
        <v>0</v>
      </c>
      <c r="K74" s="554"/>
      <c r="L74" s="553">
        <f t="shared" si="2"/>
        <v>0</v>
      </c>
    </row>
    <row r="75" spans="1:12" ht="39" customHeight="1" hidden="1">
      <c r="A75" s="611" t="s">
        <v>711</v>
      </c>
      <c r="B75" s="445" t="s">
        <v>1205</v>
      </c>
      <c r="C75" s="445" t="s">
        <v>633</v>
      </c>
      <c r="D75" s="445" t="s">
        <v>710</v>
      </c>
      <c r="E75" s="445" t="s">
        <v>712</v>
      </c>
      <c r="F75" s="456"/>
      <c r="G75" s="553">
        <f>G76</f>
        <v>0</v>
      </c>
      <c r="H75" s="554"/>
      <c r="I75" s="553">
        <f t="shared" si="0"/>
        <v>0</v>
      </c>
      <c r="J75" s="553">
        <f>J76</f>
        <v>0</v>
      </c>
      <c r="K75" s="554"/>
      <c r="L75" s="553">
        <f t="shared" si="2"/>
        <v>0</v>
      </c>
    </row>
    <row r="76" spans="1:12" ht="14.25" customHeight="1" hidden="1">
      <c r="A76" s="609" t="s">
        <v>704</v>
      </c>
      <c r="B76" s="445" t="s">
        <v>1205</v>
      </c>
      <c r="C76" s="445" t="s">
        <v>633</v>
      </c>
      <c r="D76" s="445" t="s">
        <v>710</v>
      </c>
      <c r="E76" s="445" t="s">
        <v>712</v>
      </c>
      <c r="F76" s="456" t="s">
        <v>655</v>
      </c>
      <c r="G76" s="553"/>
      <c r="H76" s="554"/>
      <c r="I76" s="553">
        <f t="shared" si="0"/>
        <v>0</v>
      </c>
      <c r="J76" s="553"/>
      <c r="K76" s="554"/>
      <c r="L76" s="553">
        <f t="shared" si="2"/>
        <v>0</v>
      </c>
    </row>
    <row r="77" spans="1:12" ht="26.25" customHeight="1" hidden="1">
      <c r="A77" s="607" t="s">
        <v>713</v>
      </c>
      <c r="B77" s="445" t="s">
        <v>1205</v>
      </c>
      <c r="C77" s="445" t="s">
        <v>633</v>
      </c>
      <c r="D77" s="445" t="s">
        <v>714</v>
      </c>
      <c r="E77" s="445"/>
      <c r="F77" s="446"/>
      <c r="G77" s="553">
        <f>G78</f>
        <v>559000</v>
      </c>
      <c r="H77" s="554"/>
      <c r="I77" s="553">
        <f aca="true" t="shared" si="3" ref="I77:I140">G77+H77</f>
        <v>559000</v>
      </c>
      <c r="J77" s="553">
        <f>J78</f>
        <v>559000</v>
      </c>
      <c r="K77" s="554"/>
      <c r="L77" s="553">
        <f t="shared" si="2"/>
        <v>559000</v>
      </c>
    </row>
    <row r="78" spans="1:12" ht="33.75" customHeight="1">
      <c r="A78" s="609" t="s">
        <v>715</v>
      </c>
      <c r="B78" s="445" t="s">
        <v>1205</v>
      </c>
      <c r="C78" s="445" t="s">
        <v>633</v>
      </c>
      <c r="D78" s="445" t="s">
        <v>714</v>
      </c>
      <c r="E78" s="470" t="s">
        <v>716</v>
      </c>
      <c r="F78" s="456"/>
      <c r="G78" s="553">
        <f>G79</f>
        <v>559000</v>
      </c>
      <c r="H78" s="554"/>
      <c r="I78" s="553">
        <f t="shared" si="3"/>
        <v>559000</v>
      </c>
      <c r="J78" s="553">
        <f>J79</f>
        <v>559000</v>
      </c>
      <c r="K78" s="554"/>
      <c r="L78" s="553">
        <f t="shared" si="2"/>
        <v>559000</v>
      </c>
    </row>
    <row r="79" spans="1:12" ht="15">
      <c r="A79" s="609" t="s">
        <v>717</v>
      </c>
      <c r="B79" s="445" t="s">
        <v>1205</v>
      </c>
      <c r="C79" s="445" t="s">
        <v>633</v>
      </c>
      <c r="D79" s="445" t="s">
        <v>714</v>
      </c>
      <c r="E79" s="470" t="s">
        <v>718</v>
      </c>
      <c r="F79" s="456"/>
      <c r="G79" s="553">
        <f>G80</f>
        <v>559000</v>
      </c>
      <c r="H79" s="554"/>
      <c r="I79" s="553">
        <f t="shared" si="3"/>
        <v>559000</v>
      </c>
      <c r="J79" s="553">
        <f>J80</f>
        <v>559000</v>
      </c>
      <c r="K79" s="554"/>
      <c r="L79" s="553">
        <f t="shared" si="2"/>
        <v>559000</v>
      </c>
    </row>
    <row r="80" spans="1:12" ht="26.25">
      <c r="A80" s="608" t="s">
        <v>640</v>
      </c>
      <c r="B80" s="445" t="s">
        <v>1205</v>
      </c>
      <c r="C80" s="445" t="s">
        <v>633</v>
      </c>
      <c r="D80" s="445" t="s">
        <v>714</v>
      </c>
      <c r="E80" s="470" t="s">
        <v>719</v>
      </c>
      <c r="F80" s="446"/>
      <c r="G80" s="553">
        <f>G81+G82+G83</f>
        <v>559000</v>
      </c>
      <c r="H80" s="554"/>
      <c r="I80" s="553">
        <f t="shared" si="3"/>
        <v>559000</v>
      </c>
      <c r="J80" s="553">
        <f>J81+J82+J83</f>
        <v>559000</v>
      </c>
      <c r="K80" s="554"/>
      <c r="L80" s="553">
        <f t="shared" si="2"/>
        <v>559000</v>
      </c>
    </row>
    <row r="81" spans="1:12" ht="60.75" customHeight="1">
      <c r="A81" s="609" t="s">
        <v>642</v>
      </c>
      <c r="B81" s="445" t="s">
        <v>1205</v>
      </c>
      <c r="C81" s="445" t="s">
        <v>633</v>
      </c>
      <c r="D81" s="445" t="s">
        <v>714</v>
      </c>
      <c r="E81" s="470" t="s">
        <v>719</v>
      </c>
      <c r="F81" s="456" t="s">
        <v>643</v>
      </c>
      <c r="G81" s="553">
        <v>559000</v>
      </c>
      <c r="H81" s="554"/>
      <c r="I81" s="553">
        <f t="shared" si="3"/>
        <v>559000</v>
      </c>
      <c r="J81" s="553">
        <v>559000</v>
      </c>
      <c r="K81" s="554"/>
      <c r="L81" s="553">
        <f t="shared" si="2"/>
        <v>559000</v>
      </c>
    </row>
    <row r="82" spans="1:12" ht="14.25" customHeight="1">
      <c r="A82" s="609" t="s">
        <v>704</v>
      </c>
      <c r="B82" s="445" t="s">
        <v>1205</v>
      </c>
      <c r="C82" s="445" t="s">
        <v>633</v>
      </c>
      <c r="D82" s="445" t="s">
        <v>714</v>
      </c>
      <c r="E82" s="470" t="s">
        <v>719</v>
      </c>
      <c r="F82" s="456" t="s">
        <v>655</v>
      </c>
      <c r="G82" s="553"/>
      <c r="H82" s="554"/>
      <c r="I82" s="553">
        <f t="shared" si="3"/>
        <v>0</v>
      </c>
      <c r="J82" s="553"/>
      <c r="K82" s="554"/>
      <c r="L82" s="553">
        <f t="shared" si="2"/>
        <v>0</v>
      </c>
    </row>
    <row r="83" spans="1:12" ht="15" customHeight="1" hidden="1">
      <c r="A83" s="567" t="s">
        <v>696</v>
      </c>
      <c r="B83" s="445" t="s">
        <v>1205</v>
      </c>
      <c r="C83" s="445" t="s">
        <v>633</v>
      </c>
      <c r="D83" s="445" t="s">
        <v>714</v>
      </c>
      <c r="E83" s="470" t="s">
        <v>719</v>
      </c>
      <c r="F83" s="456" t="s">
        <v>697</v>
      </c>
      <c r="G83" s="553"/>
      <c r="H83" s="554"/>
      <c r="I83" s="553">
        <f t="shared" si="3"/>
        <v>0</v>
      </c>
      <c r="J83" s="553"/>
      <c r="K83" s="554"/>
      <c r="L83" s="553">
        <f t="shared" si="2"/>
        <v>0</v>
      </c>
    </row>
    <row r="84" spans="1:12" ht="15" customHeight="1" hidden="1">
      <c r="A84" s="613" t="s">
        <v>720</v>
      </c>
      <c r="B84" s="445" t="s">
        <v>1205</v>
      </c>
      <c r="C84" s="445" t="s">
        <v>633</v>
      </c>
      <c r="D84" s="445" t="s">
        <v>721</v>
      </c>
      <c r="E84" s="470"/>
      <c r="F84" s="456"/>
      <c r="G84" s="553">
        <f>G85</f>
        <v>0</v>
      </c>
      <c r="H84" s="554"/>
      <c r="I84" s="553">
        <f t="shared" si="3"/>
        <v>0</v>
      </c>
      <c r="J84" s="553">
        <f>J85</f>
        <v>0</v>
      </c>
      <c r="K84" s="554"/>
      <c r="L84" s="553">
        <f t="shared" si="2"/>
        <v>0</v>
      </c>
    </row>
    <row r="85" spans="1:12" ht="15" customHeight="1" hidden="1">
      <c r="A85" s="607" t="s">
        <v>698</v>
      </c>
      <c r="B85" s="445" t="s">
        <v>1205</v>
      </c>
      <c r="C85" s="445" t="s">
        <v>633</v>
      </c>
      <c r="D85" s="445" t="s">
        <v>721</v>
      </c>
      <c r="E85" s="470" t="s">
        <v>699</v>
      </c>
      <c r="F85" s="456"/>
      <c r="G85" s="553">
        <f>G86</f>
        <v>0</v>
      </c>
      <c r="H85" s="554"/>
      <c r="I85" s="553">
        <f t="shared" si="3"/>
        <v>0</v>
      </c>
      <c r="J85" s="553">
        <f>J86</f>
        <v>0</v>
      </c>
      <c r="K85" s="554"/>
      <c r="L85" s="553">
        <f t="shared" si="2"/>
        <v>0</v>
      </c>
    </row>
    <row r="86" spans="1:12" ht="15" customHeight="1" hidden="1">
      <c r="A86" s="567" t="s">
        <v>722</v>
      </c>
      <c r="B86" s="445" t="s">
        <v>1205</v>
      </c>
      <c r="C86" s="445" t="s">
        <v>633</v>
      </c>
      <c r="D86" s="445" t="s">
        <v>721</v>
      </c>
      <c r="E86" s="470" t="s">
        <v>723</v>
      </c>
      <c r="F86" s="456"/>
      <c r="G86" s="553">
        <f>G87</f>
        <v>0</v>
      </c>
      <c r="H86" s="554"/>
      <c r="I86" s="553">
        <f t="shared" si="3"/>
        <v>0</v>
      </c>
      <c r="J86" s="553">
        <f>J87</f>
        <v>0</v>
      </c>
      <c r="K86" s="554"/>
      <c r="L86" s="553">
        <f t="shared" si="2"/>
        <v>0</v>
      </c>
    </row>
    <row r="87" spans="1:12" ht="15" customHeight="1" hidden="1">
      <c r="A87" s="567" t="s">
        <v>724</v>
      </c>
      <c r="B87" s="445" t="s">
        <v>1205</v>
      </c>
      <c r="C87" s="445" t="s">
        <v>633</v>
      </c>
      <c r="D87" s="445" t="s">
        <v>721</v>
      </c>
      <c r="E87" s="470" t="s">
        <v>725</v>
      </c>
      <c r="F87" s="456"/>
      <c r="G87" s="553">
        <f>G88</f>
        <v>0</v>
      </c>
      <c r="H87" s="554"/>
      <c r="I87" s="553">
        <f t="shared" si="3"/>
        <v>0</v>
      </c>
      <c r="J87" s="553">
        <f>J88</f>
        <v>0</v>
      </c>
      <c r="K87" s="554"/>
      <c r="L87" s="553">
        <f t="shared" si="2"/>
        <v>0</v>
      </c>
    </row>
    <row r="88" spans="1:12" ht="15" customHeight="1" hidden="1">
      <c r="A88" s="567" t="s">
        <v>696</v>
      </c>
      <c r="B88" s="445" t="s">
        <v>1205</v>
      </c>
      <c r="C88" s="445" t="s">
        <v>633</v>
      </c>
      <c r="D88" s="445" t="s">
        <v>721</v>
      </c>
      <c r="E88" s="470" t="s">
        <v>725</v>
      </c>
      <c r="F88" s="456" t="s">
        <v>697</v>
      </c>
      <c r="G88" s="553"/>
      <c r="H88" s="554"/>
      <c r="I88" s="553">
        <f t="shared" si="3"/>
        <v>0</v>
      </c>
      <c r="J88" s="553"/>
      <c r="K88" s="554"/>
      <c r="L88" s="553">
        <f t="shared" si="2"/>
        <v>0</v>
      </c>
    </row>
    <row r="89" spans="1:12" ht="15">
      <c r="A89" s="607" t="s">
        <v>726</v>
      </c>
      <c r="B89" s="445" t="s">
        <v>1205</v>
      </c>
      <c r="C89" s="445" t="s">
        <v>633</v>
      </c>
      <c r="D89" s="445" t="s">
        <v>727</v>
      </c>
      <c r="E89" s="445"/>
      <c r="F89" s="446"/>
      <c r="G89" s="553">
        <f>G91</f>
        <v>50000</v>
      </c>
      <c r="H89" s="554"/>
      <c r="I89" s="553">
        <f t="shared" si="3"/>
        <v>50000</v>
      </c>
      <c r="J89" s="553">
        <f>J91</f>
        <v>50000</v>
      </c>
      <c r="K89" s="554"/>
      <c r="L89" s="553">
        <f t="shared" si="2"/>
        <v>50000</v>
      </c>
    </row>
    <row r="90" spans="1:12" ht="15">
      <c r="A90" s="609" t="s">
        <v>728</v>
      </c>
      <c r="B90" s="445" t="s">
        <v>1205</v>
      </c>
      <c r="C90" s="445" t="s">
        <v>633</v>
      </c>
      <c r="D90" s="445" t="s">
        <v>727</v>
      </c>
      <c r="E90" s="455" t="s">
        <v>729</v>
      </c>
      <c r="F90" s="472" t="s">
        <v>730</v>
      </c>
      <c r="G90" s="553">
        <f>G91</f>
        <v>50000</v>
      </c>
      <c r="H90" s="554"/>
      <c r="I90" s="553">
        <f t="shared" si="3"/>
        <v>50000</v>
      </c>
      <c r="J90" s="553">
        <f>J91</f>
        <v>50000</v>
      </c>
      <c r="K90" s="554"/>
      <c r="L90" s="553">
        <f t="shared" si="2"/>
        <v>50000</v>
      </c>
    </row>
    <row r="91" spans="1:12" ht="15">
      <c r="A91" s="609" t="s">
        <v>726</v>
      </c>
      <c r="B91" s="445" t="s">
        <v>1205</v>
      </c>
      <c r="C91" s="445" t="s">
        <v>633</v>
      </c>
      <c r="D91" s="445" t="s">
        <v>727</v>
      </c>
      <c r="E91" s="455" t="s">
        <v>731</v>
      </c>
      <c r="F91" s="472" t="s">
        <v>730</v>
      </c>
      <c r="G91" s="553">
        <f>G92</f>
        <v>50000</v>
      </c>
      <c r="H91" s="554"/>
      <c r="I91" s="553">
        <f t="shared" si="3"/>
        <v>50000</v>
      </c>
      <c r="J91" s="553">
        <f>J92</f>
        <v>50000</v>
      </c>
      <c r="K91" s="554"/>
      <c r="L91" s="553">
        <f t="shared" si="2"/>
        <v>50000</v>
      </c>
    </row>
    <row r="92" spans="1:12" ht="15">
      <c r="A92" s="608" t="s">
        <v>732</v>
      </c>
      <c r="B92" s="445" t="s">
        <v>1205</v>
      </c>
      <c r="C92" s="445" t="s">
        <v>633</v>
      </c>
      <c r="D92" s="445" t="s">
        <v>727</v>
      </c>
      <c r="E92" s="455" t="s">
        <v>733</v>
      </c>
      <c r="F92" s="472" t="s">
        <v>730</v>
      </c>
      <c r="G92" s="553">
        <f>G93</f>
        <v>50000</v>
      </c>
      <c r="H92" s="554"/>
      <c r="I92" s="553">
        <f t="shared" si="3"/>
        <v>50000</v>
      </c>
      <c r="J92" s="553">
        <f>J93</f>
        <v>50000</v>
      </c>
      <c r="K92" s="554"/>
      <c r="L92" s="553">
        <f t="shared" si="2"/>
        <v>50000</v>
      </c>
    </row>
    <row r="93" spans="1:12" ht="15">
      <c r="A93" s="609" t="s">
        <v>696</v>
      </c>
      <c r="B93" s="445" t="s">
        <v>1205</v>
      </c>
      <c r="C93" s="445" t="s">
        <v>633</v>
      </c>
      <c r="D93" s="445" t="s">
        <v>727</v>
      </c>
      <c r="E93" s="455" t="s">
        <v>733</v>
      </c>
      <c r="F93" s="472" t="s">
        <v>697</v>
      </c>
      <c r="G93" s="553">
        <f>50000</f>
        <v>50000</v>
      </c>
      <c r="H93" s="554"/>
      <c r="I93" s="553">
        <f t="shared" si="3"/>
        <v>50000</v>
      </c>
      <c r="J93" s="553">
        <f>50000</f>
        <v>50000</v>
      </c>
      <c r="K93" s="554"/>
      <c r="L93" s="553">
        <f t="shared" si="2"/>
        <v>50000</v>
      </c>
    </row>
    <row r="94" spans="1:12" ht="15">
      <c r="A94" s="607" t="s">
        <v>734</v>
      </c>
      <c r="B94" s="445" t="s">
        <v>1205</v>
      </c>
      <c r="C94" s="445" t="s">
        <v>633</v>
      </c>
      <c r="D94" s="445" t="s">
        <v>735</v>
      </c>
      <c r="E94" s="445"/>
      <c r="F94" s="446"/>
      <c r="G94" s="553">
        <f>G95+G116+G147+G153+G158+G168+G126+G138+G131+G121</f>
        <v>11580150.78</v>
      </c>
      <c r="H94" s="554"/>
      <c r="I94" s="553">
        <f t="shared" si="3"/>
        <v>11580150.78</v>
      </c>
      <c r="J94" s="553">
        <f>J95+J116+J147+J153+J158+J168+J126+J138+J131+J121</f>
        <v>10734346</v>
      </c>
      <c r="K94" s="554"/>
      <c r="L94" s="553">
        <f t="shared" si="2"/>
        <v>10734346</v>
      </c>
    </row>
    <row r="95" spans="1:12" ht="42" customHeight="1">
      <c r="A95" s="607" t="s">
        <v>1206</v>
      </c>
      <c r="B95" s="445" t="s">
        <v>1205</v>
      </c>
      <c r="C95" s="445" t="s">
        <v>633</v>
      </c>
      <c r="D95" s="445" t="s">
        <v>735</v>
      </c>
      <c r="E95" s="445" t="s">
        <v>660</v>
      </c>
      <c r="F95" s="446"/>
      <c r="G95" s="553">
        <f>G107+G100+G96</f>
        <v>164900</v>
      </c>
      <c r="H95" s="554"/>
      <c r="I95" s="553">
        <f t="shared" si="3"/>
        <v>164900</v>
      </c>
      <c r="J95" s="553">
        <f>J107+J100+J96</f>
        <v>164900</v>
      </c>
      <c r="K95" s="554"/>
      <c r="L95" s="553">
        <f t="shared" si="2"/>
        <v>164900</v>
      </c>
    </row>
    <row r="96" spans="1:12" ht="57" customHeight="1">
      <c r="A96" s="565" t="s">
        <v>737</v>
      </c>
      <c r="B96" s="445" t="s">
        <v>1205</v>
      </c>
      <c r="C96" s="445" t="s">
        <v>633</v>
      </c>
      <c r="D96" s="445" t="s">
        <v>735</v>
      </c>
      <c r="E96" s="445" t="s">
        <v>738</v>
      </c>
      <c r="F96" s="446"/>
      <c r="G96" s="553">
        <f>G97</f>
        <v>14000</v>
      </c>
      <c r="H96" s="554"/>
      <c r="I96" s="553">
        <f t="shared" si="3"/>
        <v>14000</v>
      </c>
      <c r="J96" s="553">
        <f>J97</f>
        <v>14000</v>
      </c>
      <c r="K96" s="554"/>
      <c r="L96" s="553">
        <f t="shared" si="2"/>
        <v>14000</v>
      </c>
    </row>
    <row r="97" spans="1:12" ht="32.25" customHeight="1">
      <c r="A97" s="565" t="s">
        <v>739</v>
      </c>
      <c r="B97" s="445" t="s">
        <v>1205</v>
      </c>
      <c r="C97" s="445" t="s">
        <v>633</v>
      </c>
      <c r="D97" s="445" t="s">
        <v>735</v>
      </c>
      <c r="E97" s="445" t="s">
        <v>740</v>
      </c>
      <c r="F97" s="446"/>
      <c r="G97" s="553">
        <f>G98</f>
        <v>14000</v>
      </c>
      <c r="H97" s="554"/>
      <c r="I97" s="553">
        <f t="shared" si="3"/>
        <v>14000</v>
      </c>
      <c r="J97" s="553">
        <f>J98</f>
        <v>14000</v>
      </c>
      <c r="K97" s="554"/>
      <c r="L97" s="553">
        <f t="shared" si="2"/>
        <v>14000</v>
      </c>
    </row>
    <row r="98" spans="1:12" ht="15.75" customHeight="1">
      <c r="A98" s="609" t="s">
        <v>741</v>
      </c>
      <c r="B98" s="445" t="s">
        <v>1205</v>
      </c>
      <c r="C98" s="445" t="s">
        <v>633</v>
      </c>
      <c r="D98" s="445" t="s">
        <v>735</v>
      </c>
      <c r="E98" s="474" t="s">
        <v>742</v>
      </c>
      <c r="F98" s="446"/>
      <c r="G98" s="553">
        <f>G99</f>
        <v>14000</v>
      </c>
      <c r="H98" s="554"/>
      <c r="I98" s="553">
        <f t="shared" si="3"/>
        <v>14000</v>
      </c>
      <c r="J98" s="553">
        <f>J99</f>
        <v>14000</v>
      </c>
      <c r="K98" s="554"/>
      <c r="L98" s="553">
        <f t="shared" si="2"/>
        <v>14000</v>
      </c>
    </row>
    <row r="99" spans="1:12" ht="28.5" customHeight="1">
      <c r="A99" s="609" t="s">
        <v>654</v>
      </c>
      <c r="B99" s="445" t="s">
        <v>1205</v>
      </c>
      <c r="C99" s="445" t="s">
        <v>633</v>
      </c>
      <c r="D99" s="445" t="s">
        <v>735</v>
      </c>
      <c r="E99" s="474" t="s">
        <v>742</v>
      </c>
      <c r="F99" s="446" t="s">
        <v>655</v>
      </c>
      <c r="G99" s="553">
        <v>14000</v>
      </c>
      <c r="H99" s="554"/>
      <c r="I99" s="553">
        <f t="shared" si="3"/>
        <v>14000</v>
      </c>
      <c r="J99" s="553">
        <v>14000</v>
      </c>
      <c r="K99" s="554"/>
      <c r="L99" s="553">
        <f t="shared" si="2"/>
        <v>14000</v>
      </c>
    </row>
    <row r="100" spans="1:12" ht="65.25" customHeight="1">
      <c r="A100" s="609" t="s">
        <v>661</v>
      </c>
      <c r="B100" s="445" t="s">
        <v>1205</v>
      </c>
      <c r="C100" s="457" t="s">
        <v>633</v>
      </c>
      <c r="D100" s="457" t="s">
        <v>735</v>
      </c>
      <c r="E100" s="457" t="s">
        <v>662</v>
      </c>
      <c r="F100" s="464"/>
      <c r="G100" s="555">
        <f>G101+G104</f>
        <v>15000</v>
      </c>
      <c r="H100" s="554"/>
      <c r="I100" s="553">
        <f t="shared" si="3"/>
        <v>15000</v>
      </c>
      <c r="J100" s="555">
        <f>J101+J104</f>
        <v>15000</v>
      </c>
      <c r="K100" s="554"/>
      <c r="L100" s="553">
        <f t="shared" si="2"/>
        <v>15000</v>
      </c>
    </row>
    <row r="101" spans="1:12" ht="38.25" customHeight="1" hidden="1">
      <c r="A101" s="610" t="s">
        <v>663</v>
      </c>
      <c r="B101" s="445" t="s">
        <v>1205</v>
      </c>
      <c r="C101" s="445" t="s">
        <v>633</v>
      </c>
      <c r="D101" s="445" t="s">
        <v>735</v>
      </c>
      <c r="E101" s="445" t="s">
        <v>664</v>
      </c>
      <c r="F101" s="446"/>
      <c r="G101" s="553">
        <f>G103</f>
        <v>0</v>
      </c>
      <c r="H101" s="554"/>
      <c r="I101" s="553">
        <f t="shared" si="3"/>
        <v>0</v>
      </c>
      <c r="J101" s="553">
        <f>J103</f>
        <v>0</v>
      </c>
      <c r="K101" s="554"/>
      <c r="L101" s="553">
        <f t="shared" si="2"/>
        <v>0</v>
      </c>
    </row>
    <row r="102" spans="1:12" ht="76.5" customHeight="1" hidden="1">
      <c r="A102" s="614" t="s">
        <v>1207</v>
      </c>
      <c r="B102" s="445" t="s">
        <v>1205</v>
      </c>
      <c r="C102" s="445" t="s">
        <v>633</v>
      </c>
      <c r="D102" s="445" t="s">
        <v>735</v>
      </c>
      <c r="E102" s="563" t="s">
        <v>1208</v>
      </c>
      <c r="F102" s="446"/>
      <c r="G102" s="553">
        <f>G103</f>
        <v>0</v>
      </c>
      <c r="H102" s="554"/>
      <c r="I102" s="553">
        <f t="shared" si="3"/>
        <v>0</v>
      </c>
      <c r="J102" s="553">
        <f>J103</f>
        <v>0</v>
      </c>
      <c r="K102" s="554"/>
      <c r="L102" s="553">
        <f t="shared" si="2"/>
        <v>0</v>
      </c>
    </row>
    <row r="103" spans="1:12" ht="26.25" customHeight="1" hidden="1">
      <c r="A103" s="609" t="s">
        <v>654</v>
      </c>
      <c r="B103" s="445" t="s">
        <v>1205</v>
      </c>
      <c r="C103" s="445" t="s">
        <v>633</v>
      </c>
      <c r="D103" s="445" t="s">
        <v>735</v>
      </c>
      <c r="E103" s="563" t="s">
        <v>1208</v>
      </c>
      <c r="F103" s="446" t="s">
        <v>655</v>
      </c>
      <c r="G103" s="553"/>
      <c r="H103" s="554"/>
      <c r="I103" s="553">
        <f t="shared" si="3"/>
        <v>0</v>
      </c>
      <c r="J103" s="553"/>
      <c r="K103" s="554"/>
      <c r="L103" s="553">
        <f t="shared" si="2"/>
        <v>0</v>
      </c>
    </row>
    <row r="104" spans="1:12" ht="28.5" customHeight="1">
      <c r="A104" s="614" t="s">
        <v>743</v>
      </c>
      <c r="B104" s="445" t="s">
        <v>1205</v>
      </c>
      <c r="C104" s="445" t="s">
        <v>633</v>
      </c>
      <c r="D104" s="445" t="s">
        <v>735</v>
      </c>
      <c r="E104" s="445" t="s">
        <v>744</v>
      </c>
      <c r="F104" s="446"/>
      <c r="G104" s="553">
        <f>G105</f>
        <v>15000</v>
      </c>
      <c r="H104" s="554"/>
      <c r="I104" s="553">
        <f t="shared" si="3"/>
        <v>15000</v>
      </c>
      <c r="J104" s="553">
        <f>J105</f>
        <v>15000</v>
      </c>
      <c r="K104" s="554"/>
      <c r="L104" s="553">
        <f t="shared" si="2"/>
        <v>15000</v>
      </c>
    </row>
    <row r="105" spans="1:12" ht="33.75" customHeight="1">
      <c r="A105" s="565" t="s">
        <v>745</v>
      </c>
      <c r="B105" s="445" t="s">
        <v>1205</v>
      </c>
      <c r="C105" s="445" t="s">
        <v>633</v>
      </c>
      <c r="D105" s="445" t="s">
        <v>735</v>
      </c>
      <c r="E105" s="474" t="s">
        <v>746</v>
      </c>
      <c r="F105" s="446"/>
      <c r="G105" s="553">
        <f>G106</f>
        <v>15000</v>
      </c>
      <c r="H105" s="554"/>
      <c r="I105" s="553">
        <f t="shared" si="3"/>
        <v>15000</v>
      </c>
      <c r="J105" s="553">
        <f>J106</f>
        <v>15000</v>
      </c>
      <c r="K105" s="554"/>
      <c r="L105" s="553">
        <f t="shared" si="2"/>
        <v>15000</v>
      </c>
    </row>
    <row r="106" spans="1:12" ht="27" customHeight="1">
      <c r="A106" s="609" t="s">
        <v>654</v>
      </c>
      <c r="B106" s="445" t="s">
        <v>1205</v>
      </c>
      <c r="C106" s="445" t="s">
        <v>633</v>
      </c>
      <c r="D106" s="445" t="s">
        <v>735</v>
      </c>
      <c r="E106" s="474" t="s">
        <v>746</v>
      </c>
      <c r="F106" s="446" t="s">
        <v>655</v>
      </c>
      <c r="G106" s="553">
        <v>15000</v>
      </c>
      <c r="H106" s="554"/>
      <c r="I106" s="553">
        <f t="shared" si="3"/>
        <v>15000</v>
      </c>
      <c r="J106" s="553">
        <v>15000</v>
      </c>
      <c r="K106" s="554"/>
      <c r="L106" s="553">
        <f t="shared" si="2"/>
        <v>15000</v>
      </c>
    </row>
    <row r="107" spans="1:12" ht="57.75" customHeight="1">
      <c r="A107" s="608" t="s">
        <v>747</v>
      </c>
      <c r="B107" s="445" t="s">
        <v>1205</v>
      </c>
      <c r="C107" s="457" t="s">
        <v>633</v>
      </c>
      <c r="D107" s="457" t="s">
        <v>735</v>
      </c>
      <c r="E107" s="457" t="s">
        <v>668</v>
      </c>
      <c r="F107" s="464"/>
      <c r="G107" s="555">
        <f>G108+G113</f>
        <v>135900</v>
      </c>
      <c r="H107" s="554"/>
      <c r="I107" s="553">
        <f t="shared" si="3"/>
        <v>135900</v>
      </c>
      <c r="J107" s="555">
        <f>J108+J113</f>
        <v>135900</v>
      </c>
      <c r="K107" s="554"/>
      <c r="L107" s="553">
        <f t="shared" si="2"/>
        <v>135900</v>
      </c>
    </row>
    <row r="108" spans="1:12" ht="30" customHeight="1">
      <c r="A108" s="608" t="s">
        <v>748</v>
      </c>
      <c r="B108" s="445" t="s">
        <v>1205</v>
      </c>
      <c r="C108" s="445" t="s">
        <v>633</v>
      </c>
      <c r="D108" s="445" t="s">
        <v>735</v>
      </c>
      <c r="E108" s="445" t="s">
        <v>749</v>
      </c>
      <c r="F108" s="446"/>
      <c r="G108" s="553">
        <f>G109+G111</f>
        <v>125900</v>
      </c>
      <c r="H108" s="554"/>
      <c r="I108" s="553">
        <f t="shared" si="3"/>
        <v>125900</v>
      </c>
      <c r="J108" s="553">
        <f>J109+J111</f>
        <v>125900</v>
      </c>
      <c r="K108" s="554"/>
      <c r="L108" s="553">
        <f t="shared" si="2"/>
        <v>125900</v>
      </c>
    </row>
    <row r="109" spans="1:12" ht="34.5" customHeight="1">
      <c r="A109" s="608" t="s">
        <v>750</v>
      </c>
      <c r="B109" s="445" t="s">
        <v>1205</v>
      </c>
      <c r="C109" s="445" t="s">
        <v>633</v>
      </c>
      <c r="D109" s="445" t="s">
        <v>735</v>
      </c>
      <c r="E109" s="445" t="s">
        <v>751</v>
      </c>
      <c r="F109" s="446"/>
      <c r="G109" s="553">
        <f>G110</f>
        <v>122900</v>
      </c>
      <c r="H109" s="554"/>
      <c r="I109" s="553">
        <f t="shared" si="3"/>
        <v>122900</v>
      </c>
      <c r="J109" s="553">
        <f>J110</f>
        <v>122900</v>
      </c>
      <c r="K109" s="554"/>
      <c r="L109" s="553">
        <f t="shared" si="2"/>
        <v>122900</v>
      </c>
    </row>
    <row r="110" spans="1:12" ht="26.25">
      <c r="A110" s="609" t="s">
        <v>752</v>
      </c>
      <c r="B110" s="445" t="s">
        <v>1205</v>
      </c>
      <c r="C110" s="445" t="s">
        <v>633</v>
      </c>
      <c r="D110" s="445" t="s">
        <v>735</v>
      </c>
      <c r="E110" s="445" t="s">
        <v>751</v>
      </c>
      <c r="F110" s="456" t="s">
        <v>753</v>
      </c>
      <c r="G110" s="553">
        <v>122900</v>
      </c>
      <c r="H110" s="554"/>
      <c r="I110" s="553">
        <f t="shared" si="3"/>
        <v>122900</v>
      </c>
      <c r="J110" s="553">
        <v>122900</v>
      </c>
      <c r="K110" s="554"/>
      <c r="L110" s="553">
        <f t="shared" si="2"/>
        <v>122900</v>
      </c>
    </row>
    <row r="111" spans="1:12" ht="18.75" customHeight="1">
      <c r="A111" s="608" t="s">
        <v>754</v>
      </c>
      <c r="B111" s="445" t="s">
        <v>1205</v>
      </c>
      <c r="C111" s="445" t="s">
        <v>633</v>
      </c>
      <c r="D111" s="445" t="s">
        <v>735</v>
      </c>
      <c r="E111" s="445" t="s">
        <v>755</v>
      </c>
      <c r="F111" s="456"/>
      <c r="G111" s="553">
        <f>G112</f>
        <v>3000</v>
      </c>
      <c r="H111" s="554"/>
      <c r="I111" s="553">
        <f t="shared" si="3"/>
        <v>3000</v>
      </c>
      <c r="J111" s="553">
        <f>J112</f>
        <v>3000</v>
      </c>
      <c r="K111" s="554"/>
      <c r="L111" s="553">
        <f t="shared" si="2"/>
        <v>3000</v>
      </c>
    </row>
    <row r="112" spans="1:12" ht="26.25">
      <c r="A112" s="609" t="s">
        <v>752</v>
      </c>
      <c r="B112" s="445" t="s">
        <v>1205</v>
      </c>
      <c r="C112" s="445" t="s">
        <v>633</v>
      </c>
      <c r="D112" s="445" t="s">
        <v>735</v>
      </c>
      <c r="E112" s="445" t="s">
        <v>755</v>
      </c>
      <c r="F112" s="456" t="s">
        <v>753</v>
      </c>
      <c r="G112" s="553">
        <v>3000</v>
      </c>
      <c r="H112" s="554"/>
      <c r="I112" s="553">
        <f t="shared" si="3"/>
        <v>3000</v>
      </c>
      <c r="J112" s="553">
        <v>3000</v>
      </c>
      <c r="K112" s="554"/>
      <c r="L112" s="553">
        <f t="shared" si="2"/>
        <v>3000</v>
      </c>
    </row>
    <row r="113" spans="1:12" ht="38.25">
      <c r="A113" s="612" t="s">
        <v>669</v>
      </c>
      <c r="B113" s="445" t="s">
        <v>1205</v>
      </c>
      <c r="C113" s="445" t="s">
        <v>633</v>
      </c>
      <c r="D113" s="445" t="s">
        <v>735</v>
      </c>
      <c r="E113" s="445" t="s">
        <v>670</v>
      </c>
      <c r="F113" s="456"/>
      <c r="G113" s="553">
        <f>G114</f>
        <v>10000</v>
      </c>
      <c r="H113" s="554"/>
      <c r="I113" s="553">
        <f t="shared" si="3"/>
        <v>10000</v>
      </c>
      <c r="J113" s="553">
        <f>J114</f>
        <v>10000</v>
      </c>
      <c r="K113" s="554"/>
      <c r="L113" s="553">
        <f t="shared" si="2"/>
        <v>10000</v>
      </c>
    </row>
    <row r="114" spans="1:12" ht="34.5" customHeight="1">
      <c r="A114" s="614" t="s">
        <v>756</v>
      </c>
      <c r="B114" s="445" t="s">
        <v>1205</v>
      </c>
      <c r="C114" s="445" t="s">
        <v>633</v>
      </c>
      <c r="D114" s="445" t="s">
        <v>735</v>
      </c>
      <c r="E114" s="445" t="s">
        <v>757</v>
      </c>
      <c r="F114" s="456"/>
      <c r="G114" s="553">
        <f>G115</f>
        <v>10000</v>
      </c>
      <c r="H114" s="554"/>
      <c r="I114" s="553">
        <f t="shared" si="3"/>
        <v>10000</v>
      </c>
      <c r="J114" s="553">
        <f>J115</f>
        <v>10000</v>
      </c>
      <c r="K114" s="554"/>
      <c r="L114" s="553">
        <f t="shared" si="2"/>
        <v>10000</v>
      </c>
    </row>
    <row r="115" spans="1:12" ht="26.25">
      <c r="A115" s="609" t="s">
        <v>654</v>
      </c>
      <c r="B115" s="445" t="s">
        <v>1205</v>
      </c>
      <c r="C115" s="445" t="s">
        <v>633</v>
      </c>
      <c r="D115" s="445" t="s">
        <v>735</v>
      </c>
      <c r="E115" s="445" t="s">
        <v>757</v>
      </c>
      <c r="F115" s="456" t="s">
        <v>655</v>
      </c>
      <c r="G115" s="553">
        <v>10000</v>
      </c>
      <c r="H115" s="554"/>
      <c r="I115" s="553">
        <f t="shared" si="3"/>
        <v>10000</v>
      </c>
      <c r="J115" s="553">
        <v>10000</v>
      </c>
      <c r="K115" s="554"/>
      <c r="L115" s="553">
        <f t="shared" si="2"/>
        <v>10000</v>
      </c>
    </row>
    <row r="116" spans="1:12" ht="38.25">
      <c r="A116" s="615" t="s">
        <v>758</v>
      </c>
      <c r="B116" s="445" t="s">
        <v>1205</v>
      </c>
      <c r="C116" s="445" t="s">
        <v>633</v>
      </c>
      <c r="D116" s="445" t="s">
        <v>735</v>
      </c>
      <c r="E116" s="445" t="s">
        <v>759</v>
      </c>
      <c r="F116" s="456"/>
      <c r="G116" s="553">
        <f>G117</f>
        <v>657100</v>
      </c>
      <c r="H116" s="554"/>
      <c r="I116" s="553">
        <f t="shared" si="3"/>
        <v>657100</v>
      </c>
      <c r="J116" s="553">
        <f>J117</f>
        <v>657100</v>
      </c>
      <c r="K116" s="554"/>
      <c r="L116" s="553">
        <f t="shared" si="2"/>
        <v>657100</v>
      </c>
    </row>
    <row r="117" spans="1:12" ht="59.25" customHeight="1">
      <c r="A117" s="616" t="s">
        <v>760</v>
      </c>
      <c r="B117" s="445" t="s">
        <v>1205</v>
      </c>
      <c r="C117" s="457" t="s">
        <v>633</v>
      </c>
      <c r="D117" s="457" t="s">
        <v>735</v>
      </c>
      <c r="E117" s="457" t="s">
        <v>761</v>
      </c>
      <c r="F117" s="459"/>
      <c r="G117" s="555">
        <f>G118</f>
        <v>657100</v>
      </c>
      <c r="H117" s="554"/>
      <c r="I117" s="553">
        <f t="shared" si="3"/>
        <v>657100</v>
      </c>
      <c r="J117" s="555">
        <f>J118</f>
        <v>657100</v>
      </c>
      <c r="K117" s="554"/>
      <c r="L117" s="553">
        <f t="shared" si="2"/>
        <v>657100</v>
      </c>
    </row>
    <row r="118" spans="1:12" ht="28.5" customHeight="1">
      <c r="A118" s="616" t="s">
        <v>762</v>
      </c>
      <c r="B118" s="445" t="s">
        <v>1205</v>
      </c>
      <c r="C118" s="445" t="s">
        <v>633</v>
      </c>
      <c r="D118" s="445" t="s">
        <v>735</v>
      </c>
      <c r="E118" s="445" t="s">
        <v>763</v>
      </c>
      <c r="F118" s="456"/>
      <c r="G118" s="553">
        <f>G119</f>
        <v>657100</v>
      </c>
      <c r="H118" s="554"/>
      <c r="I118" s="553">
        <f t="shared" si="3"/>
        <v>657100</v>
      </c>
      <c r="J118" s="553">
        <f>J119</f>
        <v>657100</v>
      </c>
      <c r="K118" s="554"/>
      <c r="L118" s="553">
        <f t="shared" si="2"/>
        <v>657100</v>
      </c>
    </row>
    <row r="119" spans="1:12" ht="15">
      <c r="A119" s="616" t="s">
        <v>764</v>
      </c>
      <c r="B119" s="445" t="s">
        <v>1205</v>
      </c>
      <c r="C119" s="445" t="s">
        <v>633</v>
      </c>
      <c r="D119" s="445" t="s">
        <v>735</v>
      </c>
      <c r="E119" s="445" t="s">
        <v>765</v>
      </c>
      <c r="F119" s="456"/>
      <c r="G119" s="553">
        <f>G120</f>
        <v>657100</v>
      </c>
      <c r="H119" s="554"/>
      <c r="I119" s="553">
        <f t="shared" si="3"/>
        <v>657100</v>
      </c>
      <c r="J119" s="553">
        <f>J120</f>
        <v>657100</v>
      </c>
      <c r="K119" s="554"/>
      <c r="L119" s="553">
        <f t="shared" si="2"/>
        <v>657100</v>
      </c>
    </row>
    <row r="120" spans="1:12" ht="30" customHeight="1">
      <c r="A120" s="609" t="s">
        <v>654</v>
      </c>
      <c r="B120" s="445" t="s">
        <v>1205</v>
      </c>
      <c r="C120" s="445" t="s">
        <v>633</v>
      </c>
      <c r="D120" s="445" t="s">
        <v>735</v>
      </c>
      <c r="E120" s="445" t="s">
        <v>765</v>
      </c>
      <c r="F120" s="446" t="s">
        <v>655</v>
      </c>
      <c r="G120" s="553">
        <v>657100</v>
      </c>
      <c r="H120" s="554"/>
      <c r="I120" s="553">
        <f t="shared" si="3"/>
        <v>657100</v>
      </c>
      <c r="J120" s="553">
        <v>657100</v>
      </c>
      <c r="K120" s="554"/>
      <c r="L120" s="553">
        <f t="shared" si="2"/>
        <v>657100</v>
      </c>
    </row>
    <row r="121" spans="1:12" ht="38.25" customHeight="1" hidden="1">
      <c r="A121" s="606" t="s">
        <v>673</v>
      </c>
      <c r="B121" s="445" t="s">
        <v>1205</v>
      </c>
      <c r="C121" s="445" t="s">
        <v>633</v>
      </c>
      <c r="D121" s="445" t="s">
        <v>735</v>
      </c>
      <c r="E121" s="455" t="s">
        <v>674</v>
      </c>
      <c r="F121" s="446"/>
      <c r="G121" s="553">
        <f>G122</f>
        <v>0</v>
      </c>
      <c r="H121" s="554"/>
      <c r="I121" s="553">
        <f t="shared" si="3"/>
        <v>0</v>
      </c>
      <c r="J121" s="553">
        <f>J122</f>
        <v>0</v>
      </c>
      <c r="K121" s="554"/>
      <c r="L121" s="553">
        <f t="shared" si="2"/>
        <v>0</v>
      </c>
    </row>
    <row r="122" spans="1:12" ht="89.25" customHeight="1" hidden="1">
      <c r="A122" s="612" t="s">
        <v>675</v>
      </c>
      <c r="B122" s="445" t="s">
        <v>1205</v>
      </c>
      <c r="C122" s="445" t="s">
        <v>633</v>
      </c>
      <c r="D122" s="445" t="s">
        <v>735</v>
      </c>
      <c r="E122" s="458" t="s">
        <v>676</v>
      </c>
      <c r="F122" s="464"/>
      <c r="G122" s="555">
        <f>G123</f>
        <v>0</v>
      </c>
      <c r="H122" s="554"/>
      <c r="I122" s="553">
        <f t="shared" si="3"/>
        <v>0</v>
      </c>
      <c r="J122" s="555">
        <f>J123</f>
        <v>0</v>
      </c>
      <c r="K122" s="554"/>
      <c r="L122" s="553">
        <f t="shared" si="2"/>
        <v>0</v>
      </c>
    </row>
    <row r="123" spans="1:12" ht="30" customHeight="1" hidden="1">
      <c r="A123" s="567" t="s">
        <v>677</v>
      </c>
      <c r="B123" s="445" t="s">
        <v>1205</v>
      </c>
      <c r="C123" s="445" t="s">
        <v>633</v>
      </c>
      <c r="D123" s="445" t="s">
        <v>735</v>
      </c>
      <c r="E123" s="455" t="s">
        <v>678</v>
      </c>
      <c r="F123" s="446"/>
      <c r="G123" s="553">
        <f>G124</f>
        <v>0</v>
      </c>
      <c r="H123" s="554"/>
      <c r="I123" s="553">
        <f t="shared" si="3"/>
        <v>0</v>
      </c>
      <c r="J123" s="553">
        <f>J124</f>
        <v>0</v>
      </c>
      <c r="K123" s="554"/>
      <c r="L123" s="553">
        <f t="shared" si="2"/>
        <v>0</v>
      </c>
    </row>
    <row r="124" spans="1:12" ht="30" customHeight="1" hidden="1">
      <c r="A124" s="609" t="s">
        <v>768</v>
      </c>
      <c r="B124" s="445" t="s">
        <v>1205</v>
      </c>
      <c r="C124" s="445" t="s">
        <v>633</v>
      </c>
      <c r="D124" s="445" t="s">
        <v>735</v>
      </c>
      <c r="E124" s="455" t="s">
        <v>769</v>
      </c>
      <c r="F124" s="446"/>
      <c r="G124" s="553">
        <f>G125</f>
        <v>0</v>
      </c>
      <c r="H124" s="554"/>
      <c r="I124" s="553">
        <f t="shared" si="3"/>
        <v>0</v>
      </c>
      <c r="J124" s="553">
        <f>J125</f>
        <v>0</v>
      </c>
      <c r="K124" s="554"/>
      <c r="L124" s="553">
        <f t="shared" si="2"/>
        <v>0</v>
      </c>
    </row>
    <row r="125" spans="1:12" ht="29.25" customHeight="1" hidden="1">
      <c r="A125" s="609" t="s">
        <v>654</v>
      </c>
      <c r="B125" s="445" t="s">
        <v>1205</v>
      </c>
      <c r="C125" s="445" t="s">
        <v>633</v>
      </c>
      <c r="D125" s="445" t="s">
        <v>735</v>
      </c>
      <c r="E125" s="455" t="s">
        <v>769</v>
      </c>
      <c r="F125" s="456" t="s">
        <v>655</v>
      </c>
      <c r="G125" s="553"/>
      <c r="H125" s="554"/>
      <c r="I125" s="553">
        <f t="shared" si="3"/>
        <v>0</v>
      </c>
      <c r="J125" s="553"/>
      <c r="K125" s="554"/>
      <c r="L125" s="553">
        <f t="shared" si="2"/>
        <v>0</v>
      </c>
    </row>
    <row r="126" spans="1:12" ht="51" customHeight="1" hidden="1">
      <c r="A126" s="615" t="s">
        <v>770</v>
      </c>
      <c r="B126" s="445" t="s">
        <v>1205</v>
      </c>
      <c r="C126" s="445" t="s">
        <v>633</v>
      </c>
      <c r="D126" s="445" t="s">
        <v>735</v>
      </c>
      <c r="E126" s="445" t="s">
        <v>771</v>
      </c>
      <c r="F126" s="446"/>
      <c r="G126" s="553">
        <f>G127</f>
        <v>0</v>
      </c>
      <c r="H126" s="554"/>
      <c r="I126" s="553">
        <f t="shared" si="3"/>
        <v>0</v>
      </c>
      <c r="J126" s="553">
        <f>J127</f>
        <v>0</v>
      </c>
      <c r="K126" s="554"/>
      <c r="L126" s="553">
        <f t="shared" si="2"/>
        <v>0</v>
      </c>
    </row>
    <row r="127" spans="1:12" ht="66" customHeight="1" hidden="1">
      <c r="A127" s="616" t="s">
        <v>772</v>
      </c>
      <c r="B127" s="445" t="s">
        <v>1205</v>
      </c>
      <c r="C127" s="445" t="s">
        <v>633</v>
      </c>
      <c r="D127" s="445" t="s">
        <v>735</v>
      </c>
      <c r="E127" s="445" t="s">
        <v>773</v>
      </c>
      <c r="F127" s="446"/>
      <c r="G127" s="553">
        <f>G128</f>
        <v>0</v>
      </c>
      <c r="H127" s="554"/>
      <c r="I127" s="553">
        <f t="shared" si="3"/>
        <v>0</v>
      </c>
      <c r="J127" s="553">
        <f>J128</f>
        <v>0</v>
      </c>
      <c r="K127" s="554"/>
      <c r="L127" s="553">
        <f t="shared" si="2"/>
        <v>0</v>
      </c>
    </row>
    <row r="128" spans="1:12" ht="25.5" customHeight="1" hidden="1">
      <c r="A128" s="617" t="s">
        <v>774</v>
      </c>
      <c r="B128" s="445" t="s">
        <v>1205</v>
      </c>
      <c r="C128" s="445" t="s">
        <v>633</v>
      </c>
      <c r="D128" s="445" t="s">
        <v>735</v>
      </c>
      <c r="E128" s="445" t="s">
        <v>775</v>
      </c>
      <c r="F128" s="446"/>
      <c r="G128" s="553">
        <f>G129</f>
        <v>0</v>
      </c>
      <c r="H128" s="554"/>
      <c r="I128" s="553">
        <f t="shared" si="3"/>
        <v>0</v>
      </c>
      <c r="J128" s="553">
        <f>J129</f>
        <v>0</v>
      </c>
      <c r="K128" s="554"/>
      <c r="L128" s="553">
        <f t="shared" si="2"/>
        <v>0</v>
      </c>
    </row>
    <row r="129" spans="1:12" ht="25.5" customHeight="1" hidden="1">
      <c r="A129" s="567" t="s">
        <v>776</v>
      </c>
      <c r="B129" s="445" t="s">
        <v>1205</v>
      </c>
      <c r="C129" s="445" t="s">
        <v>633</v>
      </c>
      <c r="D129" s="445" t="s">
        <v>735</v>
      </c>
      <c r="E129" s="445" t="s">
        <v>777</v>
      </c>
      <c r="F129" s="446"/>
      <c r="G129" s="553">
        <f>G130</f>
        <v>0</v>
      </c>
      <c r="H129" s="554"/>
      <c r="I129" s="553">
        <f t="shared" si="3"/>
        <v>0</v>
      </c>
      <c r="J129" s="553">
        <f>J130</f>
        <v>0</v>
      </c>
      <c r="K129" s="554"/>
      <c r="L129" s="553">
        <f t="shared" si="2"/>
        <v>0</v>
      </c>
    </row>
    <row r="130" spans="1:12" ht="26.25" customHeight="1" hidden="1">
      <c r="A130" s="609" t="s">
        <v>654</v>
      </c>
      <c r="B130" s="445" t="s">
        <v>1205</v>
      </c>
      <c r="C130" s="445" t="s">
        <v>633</v>
      </c>
      <c r="D130" s="445" t="s">
        <v>735</v>
      </c>
      <c r="E130" s="445" t="s">
        <v>777</v>
      </c>
      <c r="F130" s="446" t="s">
        <v>655</v>
      </c>
      <c r="G130" s="553"/>
      <c r="H130" s="554"/>
      <c r="I130" s="553">
        <f t="shared" si="3"/>
        <v>0</v>
      </c>
      <c r="J130" s="553"/>
      <c r="K130" s="554"/>
      <c r="L130" s="553">
        <f t="shared" si="2"/>
        <v>0</v>
      </c>
    </row>
    <row r="131" spans="1:12" ht="42" customHeight="1">
      <c r="A131" s="607" t="s">
        <v>681</v>
      </c>
      <c r="B131" s="445" t="s">
        <v>1205</v>
      </c>
      <c r="C131" s="445" t="s">
        <v>633</v>
      </c>
      <c r="D131" s="445" t="s">
        <v>735</v>
      </c>
      <c r="E131" s="455" t="s">
        <v>682</v>
      </c>
      <c r="F131" s="446"/>
      <c r="G131" s="553">
        <f>G132</f>
        <v>70000</v>
      </c>
      <c r="H131" s="554"/>
      <c r="I131" s="553">
        <f t="shared" si="3"/>
        <v>70000</v>
      </c>
      <c r="J131" s="553">
        <f>J132</f>
        <v>70000</v>
      </c>
      <c r="K131" s="554"/>
      <c r="L131" s="553">
        <f t="shared" si="2"/>
        <v>70000</v>
      </c>
    </row>
    <row r="132" spans="1:12" ht="63.75">
      <c r="A132" s="568" t="s">
        <v>778</v>
      </c>
      <c r="B132" s="445" t="s">
        <v>1205</v>
      </c>
      <c r="C132" s="445" t="s">
        <v>633</v>
      </c>
      <c r="D132" s="445" t="s">
        <v>735</v>
      </c>
      <c r="E132" s="455" t="s">
        <v>779</v>
      </c>
      <c r="F132" s="446"/>
      <c r="G132" s="553">
        <f>G133</f>
        <v>70000</v>
      </c>
      <c r="H132" s="554"/>
      <c r="I132" s="553">
        <f t="shared" si="3"/>
        <v>70000</v>
      </c>
      <c r="J132" s="553">
        <f>J133</f>
        <v>70000</v>
      </c>
      <c r="K132" s="554"/>
      <c r="L132" s="553">
        <f t="shared" si="2"/>
        <v>70000</v>
      </c>
    </row>
    <row r="133" spans="1:12" ht="38.25">
      <c r="A133" s="612" t="s">
        <v>780</v>
      </c>
      <c r="B133" s="445" t="s">
        <v>1205</v>
      </c>
      <c r="C133" s="445" t="s">
        <v>633</v>
      </c>
      <c r="D133" s="445" t="s">
        <v>735</v>
      </c>
      <c r="E133" s="470" t="s">
        <v>781</v>
      </c>
      <c r="F133" s="446"/>
      <c r="G133" s="553">
        <f>G134+G136</f>
        <v>70000</v>
      </c>
      <c r="H133" s="554"/>
      <c r="I133" s="553">
        <f t="shared" si="3"/>
        <v>70000</v>
      </c>
      <c r="J133" s="553">
        <f>J134+J136</f>
        <v>70000</v>
      </c>
      <c r="K133" s="554"/>
      <c r="L133" s="553">
        <f t="shared" si="2"/>
        <v>70000</v>
      </c>
    </row>
    <row r="134" spans="1:12" ht="26.25">
      <c r="A134" s="609" t="s">
        <v>782</v>
      </c>
      <c r="B134" s="445" t="s">
        <v>1205</v>
      </c>
      <c r="C134" s="445" t="s">
        <v>633</v>
      </c>
      <c r="D134" s="445" t="s">
        <v>735</v>
      </c>
      <c r="E134" s="470" t="s">
        <v>783</v>
      </c>
      <c r="F134" s="446"/>
      <c r="G134" s="553">
        <f>G135</f>
        <v>30000</v>
      </c>
      <c r="H134" s="554"/>
      <c r="I134" s="553">
        <f t="shared" si="3"/>
        <v>30000</v>
      </c>
      <c r="J134" s="553">
        <f>J135</f>
        <v>30000</v>
      </c>
      <c r="K134" s="554"/>
      <c r="L134" s="553">
        <f t="shared" si="2"/>
        <v>30000</v>
      </c>
    </row>
    <row r="135" spans="1:12" ht="26.25">
      <c r="A135" s="609" t="s">
        <v>654</v>
      </c>
      <c r="B135" s="445" t="s">
        <v>1205</v>
      </c>
      <c r="C135" s="445" t="s">
        <v>633</v>
      </c>
      <c r="D135" s="445" t="s">
        <v>735</v>
      </c>
      <c r="E135" s="470" t="s">
        <v>783</v>
      </c>
      <c r="F135" s="446" t="s">
        <v>655</v>
      </c>
      <c r="G135" s="553">
        <v>30000</v>
      </c>
      <c r="H135" s="554"/>
      <c r="I135" s="553">
        <f t="shared" si="3"/>
        <v>30000</v>
      </c>
      <c r="J135" s="553">
        <v>30000</v>
      </c>
      <c r="K135" s="554"/>
      <c r="L135" s="553">
        <f t="shared" si="2"/>
        <v>30000</v>
      </c>
    </row>
    <row r="136" spans="1:12" ht="26.25">
      <c r="A136" s="609" t="s">
        <v>784</v>
      </c>
      <c r="B136" s="445" t="s">
        <v>1205</v>
      </c>
      <c r="C136" s="445" t="s">
        <v>633</v>
      </c>
      <c r="D136" s="445" t="s">
        <v>735</v>
      </c>
      <c r="E136" s="470" t="s">
        <v>785</v>
      </c>
      <c r="F136" s="446"/>
      <c r="G136" s="553">
        <f>G137</f>
        <v>40000</v>
      </c>
      <c r="H136" s="554"/>
      <c r="I136" s="553">
        <f t="shared" si="3"/>
        <v>40000</v>
      </c>
      <c r="J136" s="553">
        <f>J137</f>
        <v>40000</v>
      </c>
      <c r="K136" s="554"/>
      <c r="L136" s="553">
        <f t="shared" si="2"/>
        <v>40000</v>
      </c>
    </row>
    <row r="137" spans="1:12" ht="26.25">
      <c r="A137" s="609" t="s">
        <v>654</v>
      </c>
      <c r="B137" s="445" t="s">
        <v>1205</v>
      </c>
      <c r="C137" s="445" t="s">
        <v>633</v>
      </c>
      <c r="D137" s="445" t="s">
        <v>735</v>
      </c>
      <c r="E137" s="470" t="s">
        <v>785</v>
      </c>
      <c r="F137" s="446" t="s">
        <v>655</v>
      </c>
      <c r="G137" s="553">
        <f>40000</f>
        <v>40000</v>
      </c>
      <c r="H137" s="554"/>
      <c r="I137" s="553">
        <f t="shared" si="3"/>
        <v>40000</v>
      </c>
      <c r="J137" s="553">
        <f>40000</f>
        <v>40000</v>
      </c>
      <c r="K137" s="554"/>
      <c r="L137" s="553">
        <f t="shared" si="2"/>
        <v>40000</v>
      </c>
    </row>
    <row r="138" spans="1:12" ht="42.75" customHeight="1">
      <c r="A138" s="618" t="s">
        <v>786</v>
      </c>
      <c r="B138" s="445" t="s">
        <v>1205</v>
      </c>
      <c r="C138" s="445" t="s">
        <v>633</v>
      </c>
      <c r="D138" s="445" t="s">
        <v>735</v>
      </c>
      <c r="E138" s="474" t="s">
        <v>787</v>
      </c>
      <c r="F138" s="446"/>
      <c r="G138" s="553">
        <f>G139+G143</f>
        <v>196500</v>
      </c>
      <c r="H138" s="554"/>
      <c r="I138" s="553">
        <f t="shared" si="3"/>
        <v>196500</v>
      </c>
      <c r="J138" s="553">
        <f>J139+J143</f>
        <v>196500</v>
      </c>
      <c r="K138" s="554"/>
      <c r="L138" s="553">
        <f t="shared" si="2"/>
        <v>196500</v>
      </c>
    </row>
    <row r="139" spans="1:12" ht="45" customHeight="1">
      <c r="A139" s="614" t="s">
        <v>788</v>
      </c>
      <c r="B139" s="445" t="s">
        <v>1205</v>
      </c>
      <c r="C139" s="445" t="s">
        <v>633</v>
      </c>
      <c r="D139" s="445" t="s">
        <v>735</v>
      </c>
      <c r="E139" s="474" t="s">
        <v>789</v>
      </c>
      <c r="F139" s="446"/>
      <c r="G139" s="553">
        <f>G140</f>
        <v>15000</v>
      </c>
      <c r="H139" s="554"/>
      <c r="I139" s="553">
        <f t="shared" si="3"/>
        <v>15000</v>
      </c>
      <c r="J139" s="553">
        <f>J140</f>
        <v>15000</v>
      </c>
      <c r="K139" s="554"/>
      <c r="L139" s="553">
        <f t="shared" si="2"/>
        <v>15000</v>
      </c>
    </row>
    <row r="140" spans="1:12" ht="25.5">
      <c r="A140" s="614" t="s">
        <v>790</v>
      </c>
      <c r="B140" s="445" t="s">
        <v>1205</v>
      </c>
      <c r="C140" s="445" t="s">
        <v>633</v>
      </c>
      <c r="D140" s="445" t="s">
        <v>735</v>
      </c>
      <c r="E140" s="474" t="s">
        <v>791</v>
      </c>
      <c r="F140" s="446"/>
      <c r="G140" s="553">
        <f>G141</f>
        <v>15000</v>
      </c>
      <c r="H140" s="554"/>
      <c r="I140" s="553">
        <f t="shared" si="3"/>
        <v>15000</v>
      </c>
      <c r="J140" s="553">
        <f>J141</f>
        <v>15000</v>
      </c>
      <c r="K140" s="554"/>
      <c r="L140" s="553">
        <f t="shared" si="2"/>
        <v>15000</v>
      </c>
    </row>
    <row r="141" spans="1:12" ht="33.75" customHeight="1">
      <c r="A141" s="609" t="s">
        <v>792</v>
      </c>
      <c r="B141" s="445" t="s">
        <v>1205</v>
      </c>
      <c r="C141" s="445" t="s">
        <v>633</v>
      </c>
      <c r="D141" s="445" t="s">
        <v>735</v>
      </c>
      <c r="E141" s="474" t="s">
        <v>793</v>
      </c>
      <c r="F141" s="446"/>
      <c r="G141" s="553">
        <f>G142</f>
        <v>15000</v>
      </c>
      <c r="H141" s="554"/>
      <c r="I141" s="553">
        <f aca="true" t="shared" si="4" ref="I141:I204">G141+H141</f>
        <v>15000</v>
      </c>
      <c r="J141" s="553">
        <f>J142</f>
        <v>15000</v>
      </c>
      <c r="K141" s="554"/>
      <c r="L141" s="553">
        <f aca="true" t="shared" si="5" ref="L141:L223">J141+K141</f>
        <v>15000</v>
      </c>
    </row>
    <row r="142" spans="1:12" ht="26.25">
      <c r="A142" s="609" t="s">
        <v>654</v>
      </c>
      <c r="B142" s="445" t="s">
        <v>1205</v>
      </c>
      <c r="C142" s="445" t="s">
        <v>633</v>
      </c>
      <c r="D142" s="445" t="s">
        <v>735</v>
      </c>
      <c r="E142" s="474" t="s">
        <v>793</v>
      </c>
      <c r="F142" s="446" t="s">
        <v>655</v>
      </c>
      <c r="G142" s="553">
        <v>15000</v>
      </c>
      <c r="H142" s="554"/>
      <c r="I142" s="553">
        <f t="shared" si="4"/>
        <v>15000</v>
      </c>
      <c r="J142" s="553">
        <v>15000</v>
      </c>
      <c r="K142" s="554"/>
      <c r="L142" s="553">
        <f t="shared" si="5"/>
        <v>15000</v>
      </c>
    </row>
    <row r="143" spans="1:12" ht="59.25" customHeight="1">
      <c r="A143" s="614" t="s">
        <v>794</v>
      </c>
      <c r="B143" s="445" t="s">
        <v>1205</v>
      </c>
      <c r="C143" s="445" t="s">
        <v>633</v>
      </c>
      <c r="D143" s="445" t="s">
        <v>735</v>
      </c>
      <c r="E143" s="474" t="s">
        <v>795</v>
      </c>
      <c r="F143" s="446"/>
      <c r="G143" s="553">
        <f>G144</f>
        <v>181500</v>
      </c>
      <c r="H143" s="554"/>
      <c r="I143" s="553">
        <f t="shared" si="4"/>
        <v>181500</v>
      </c>
      <c r="J143" s="553">
        <f>J144</f>
        <v>181500</v>
      </c>
      <c r="K143" s="554"/>
      <c r="L143" s="553">
        <f t="shared" si="5"/>
        <v>181500</v>
      </c>
    </row>
    <row r="144" spans="1:12" ht="15">
      <c r="A144" s="614" t="s">
        <v>796</v>
      </c>
      <c r="B144" s="445" t="s">
        <v>1205</v>
      </c>
      <c r="C144" s="445" t="s">
        <v>633</v>
      </c>
      <c r="D144" s="445" t="s">
        <v>735</v>
      </c>
      <c r="E144" s="474" t="s">
        <v>797</v>
      </c>
      <c r="F144" s="446"/>
      <c r="G144" s="553">
        <f>G145</f>
        <v>181500</v>
      </c>
      <c r="H144" s="554"/>
      <c r="I144" s="553">
        <f t="shared" si="4"/>
        <v>181500</v>
      </c>
      <c r="J144" s="553">
        <f>J145</f>
        <v>181500</v>
      </c>
      <c r="K144" s="554"/>
      <c r="L144" s="553">
        <f t="shared" si="5"/>
        <v>181500</v>
      </c>
    </row>
    <row r="145" spans="1:12" ht="34.5" customHeight="1">
      <c r="A145" s="614" t="s">
        <v>756</v>
      </c>
      <c r="B145" s="445" t="s">
        <v>1205</v>
      </c>
      <c r="C145" s="445" t="s">
        <v>633</v>
      </c>
      <c r="D145" s="445" t="s">
        <v>735</v>
      </c>
      <c r="E145" s="474" t="s">
        <v>798</v>
      </c>
      <c r="F145" s="446"/>
      <c r="G145" s="553">
        <f>G146</f>
        <v>181500</v>
      </c>
      <c r="H145" s="554"/>
      <c r="I145" s="553">
        <f t="shared" si="4"/>
        <v>181500</v>
      </c>
      <c r="J145" s="553">
        <f>J146</f>
        <v>181500</v>
      </c>
      <c r="K145" s="554"/>
      <c r="L145" s="553">
        <f t="shared" si="5"/>
        <v>181500</v>
      </c>
    </row>
    <row r="146" spans="1:12" ht="30" customHeight="1">
      <c r="A146" s="609" t="s">
        <v>654</v>
      </c>
      <c r="B146" s="445" t="s">
        <v>1205</v>
      </c>
      <c r="C146" s="445" t="s">
        <v>633</v>
      </c>
      <c r="D146" s="445" t="s">
        <v>735</v>
      </c>
      <c r="E146" s="474" t="s">
        <v>798</v>
      </c>
      <c r="F146" s="446" t="s">
        <v>655</v>
      </c>
      <c r="G146" s="553">
        <v>181500</v>
      </c>
      <c r="H146" s="554"/>
      <c r="I146" s="553">
        <f t="shared" si="4"/>
        <v>181500</v>
      </c>
      <c r="J146" s="553">
        <v>181500</v>
      </c>
      <c r="K146" s="554"/>
      <c r="L146" s="553">
        <f t="shared" si="5"/>
        <v>181500</v>
      </c>
    </row>
    <row r="147" spans="1:12" ht="46.5" customHeight="1">
      <c r="A147" s="609" t="s">
        <v>1209</v>
      </c>
      <c r="B147" s="445" t="s">
        <v>1205</v>
      </c>
      <c r="C147" s="445" t="s">
        <v>633</v>
      </c>
      <c r="D147" s="445" t="s">
        <v>735</v>
      </c>
      <c r="E147" s="474" t="s">
        <v>800</v>
      </c>
      <c r="F147" s="481"/>
      <c r="G147" s="553">
        <f>G148</f>
        <v>1867940</v>
      </c>
      <c r="H147" s="554"/>
      <c r="I147" s="553">
        <f t="shared" si="4"/>
        <v>1867940</v>
      </c>
      <c r="J147" s="553">
        <f>J148</f>
        <v>1022136</v>
      </c>
      <c r="K147" s="554"/>
      <c r="L147" s="553">
        <f t="shared" si="5"/>
        <v>1022136</v>
      </c>
    </row>
    <row r="148" spans="1:12" ht="57.75" customHeight="1">
      <c r="A148" s="609" t="s">
        <v>801</v>
      </c>
      <c r="B148" s="445" t="s">
        <v>1205</v>
      </c>
      <c r="C148" s="457" t="s">
        <v>633</v>
      </c>
      <c r="D148" s="457" t="s">
        <v>735</v>
      </c>
      <c r="E148" s="482" t="s">
        <v>802</v>
      </c>
      <c r="F148" s="483"/>
      <c r="G148" s="555">
        <f>G150</f>
        <v>1867940</v>
      </c>
      <c r="H148" s="554"/>
      <c r="I148" s="553">
        <f t="shared" si="4"/>
        <v>1867940</v>
      </c>
      <c r="J148" s="555">
        <f>J150</f>
        <v>1022136</v>
      </c>
      <c r="K148" s="554"/>
      <c r="L148" s="553">
        <f t="shared" si="5"/>
        <v>1022136</v>
      </c>
    </row>
    <row r="149" spans="1:12" ht="62.25" customHeight="1">
      <c r="A149" s="619" t="s">
        <v>803</v>
      </c>
      <c r="B149" s="445" t="s">
        <v>1205</v>
      </c>
      <c r="C149" s="445" t="s">
        <v>633</v>
      </c>
      <c r="D149" s="445" t="s">
        <v>735</v>
      </c>
      <c r="E149" s="474" t="s">
        <v>804</v>
      </c>
      <c r="F149" s="481"/>
      <c r="G149" s="553">
        <f>G150</f>
        <v>1867940</v>
      </c>
      <c r="H149" s="554"/>
      <c r="I149" s="553">
        <f t="shared" si="4"/>
        <v>1867940</v>
      </c>
      <c r="J149" s="553">
        <f>J150</f>
        <v>1022136</v>
      </c>
      <c r="K149" s="554"/>
      <c r="L149" s="553">
        <f t="shared" si="5"/>
        <v>1022136</v>
      </c>
    </row>
    <row r="150" spans="1:12" ht="33" customHeight="1">
      <c r="A150" s="452" t="s">
        <v>805</v>
      </c>
      <c r="B150" s="445" t="s">
        <v>1205</v>
      </c>
      <c r="C150" s="445" t="s">
        <v>633</v>
      </c>
      <c r="D150" s="445" t="s">
        <v>735</v>
      </c>
      <c r="E150" s="474" t="s">
        <v>806</v>
      </c>
      <c r="F150" s="481"/>
      <c r="G150" s="553">
        <f>G151+G152</f>
        <v>1867940</v>
      </c>
      <c r="H150" s="554"/>
      <c r="I150" s="553">
        <f t="shared" si="4"/>
        <v>1867940</v>
      </c>
      <c r="J150" s="553">
        <f>J151+J152</f>
        <v>1022136</v>
      </c>
      <c r="K150" s="554"/>
      <c r="L150" s="553">
        <f t="shared" si="5"/>
        <v>1022136</v>
      </c>
    </row>
    <row r="151" spans="1:12" ht="50.25" customHeight="1">
      <c r="A151" s="609" t="s">
        <v>642</v>
      </c>
      <c r="B151" s="445" t="s">
        <v>1205</v>
      </c>
      <c r="C151" s="445" t="s">
        <v>633</v>
      </c>
      <c r="D151" s="445" t="s">
        <v>735</v>
      </c>
      <c r="E151" s="474" t="s">
        <v>806</v>
      </c>
      <c r="F151" s="481" t="s">
        <v>643</v>
      </c>
      <c r="G151" s="553">
        <v>765394</v>
      </c>
      <c r="H151" s="554"/>
      <c r="I151" s="553">
        <f t="shared" si="4"/>
        <v>765394</v>
      </c>
      <c r="J151" s="553">
        <v>765394</v>
      </c>
      <c r="K151" s="554"/>
      <c r="L151" s="553">
        <f t="shared" si="5"/>
        <v>765394</v>
      </c>
    </row>
    <row r="152" spans="1:12" ht="30.75" customHeight="1">
      <c r="A152" s="609" t="s">
        <v>654</v>
      </c>
      <c r="B152" s="445" t="s">
        <v>1205</v>
      </c>
      <c r="C152" s="445" t="s">
        <v>633</v>
      </c>
      <c r="D152" s="445" t="s">
        <v>735</v>
      </c>
      <c r="E152" s="474" t="s">
        <v>806</v>
      </c>
      <c r="F152" s="481" t="s">
        <v>655</v>
      </c>
      <c r="G152" s="553">
        <f>1300046-197500</f>
        <v>1102546</v>
      </c>
      <c r="H152" s="554"/>
      <c r="I152" s="553">
        <f t="shared" si="4"/>
        <v>1102546</v>
      </c>
      <c r="J152" s="553">
        <v>256742</v>
      </c>
      <c r="K152" s="554"/>
      <c r="L152" s="553">
        <f t="shared" si="5"/>
        <v>256742</v>
      </c>
    </row>
    <row r="153" spans="1:12" ht="26.25">
      <c r="A153" s="609" t="s">
        <v>809</v>
      </c>
      <c r="B153" s="445" t="s">
        <v>1205</v>
      </c>
      <c r="C153" s="445" t="s">
        <v>633</v>
      </c>
      <c r="D153" s="445" t="s">
        <v>735</v>
      </c>
      <c r="E153" s="455" t="s">
        <v>810</v>
      </c>
      <c r="F153" s="481"/>
      <c r="G153" s="553">
        <f>G154</f>
        <v>177900.78</v>
      </c>
      <c r="H153" s="554"/>
      <c r="I153" s="553">
        <f t="shared" si="4"/>
        <v>177900.78</v>
      </c>
      <c r="J153" s="553">
        <f>J154</f>
        <v>177900</v>
      </c>
      <c r="K153" s="554"/>
      <c r="L153" s="553">
        <f t="shared" si="5"/>
        <v>177900</v>
      </c>
    </row>
    <row r="154" spans="1:12" ht="21.75" customHeight="1">
      <c r="A154" s="609" t="s">
        <v>811</v>
      </c>
      <c r="B154" s="445" t="s">
        <v>1205</v>
      </c>
      <c r="C154" s="445" t="s">
        <v>633</v>
      </c>
      <c r="D154" s="445" t="s">
        <v>735</v>
      </c>
      <c r="E154" s="455" t="s">
        <v>812</v>
      </c>
      <c r="F154" s="481"/>
      <c r="G154" s="553">
        <f>G155</f>
        <v>177900.78</v>
      </c>
      <c r="H154" s="554"/>
      <c r="I154" s="553">
        <f t="shared" si="4"/>
        <v>177900.78</v>
      </c>
      <c r="J154" s="553">
        <f>J155</f>
        <v>177900</v>
      </c>
      <c r="K154" s="554"/>
      <c r="L154" s="553">
        <f t="shared" si="5"/>
        <v>177900</v>
      </c>
    </row>
    <row r="155" spans="1:12" ht="23.25" customHeight="1">
      <c r="A155" s="607" t="s">
        <v>756</v>
      </c>
      <c r="B155" s="445" t="s">
        <v>1205</v>
      </c>
      <c r="C155" s="445" t="s">
        <v>633</v>
      </c>
      <c r="D155" s="445" t="s">
        <v>735</v>
      </c>
      <c r="E155" s="455" t="s">
        <v>813</v>
      </c>
      <c r="F155" s="481"/>
      <c r="G155" s="553">
        <f>G156+G157</f>
        <v>177900.78</v>
      </c>
      <c r="H155" s="554"/>
      <c r="I155" s="553">
        <f t="shared" si="4"/>
        <v>177900.78</v>
      </c>
      <c r="J155" s="553">
        <f>J156+J157</f>
        <v>177900</v>
      </c>
      <c r="K155" s="554"/>
      <c r="L155" s="553">
        <f t="shared" si="5"/>
        <v>177900</v>
      </c>
    </row>
    <row r="156" spans="1:12" ht="30" customHeight="1">
      <c r="A156" s="609" t="s">
        <v>654</v>
      </c>
      <c r="B156" s="445" t="s">
        <v>1205</v>
      </c>
      <c r="C156" s="445" t="s">
        <v>633</v>
      </c>
      <c r="D156" s="445" t="s">
        <v>735</v>
      </c>
      <c r="E156" s="455" t="s">
        <v>813</v>
      </c>
      <c r="F156" s="481" t="s">
        <v>655</v>
      </c>
      <c r="G156" s="553">
        <v>10000.78</v>
      </c>
      <c r="H156" s="554"/>
      <c r="I156" s="553">
        <f t="shared" si="4"/>
        <v>10000.78</v>
      </c>
      <c r="J156" s="553">
        <v>10000</v>
      </c>
      <c r="K156" s="554"/>
      <c r="L156" s="553">
        <f t="shared" si="5"/>
        <v>10000</v>
      </c>
    </row>
    <row r="157" spans="1:12" ht="17.25" customHeight="1">
      <c r="A157" s="567" t="s">
        <v>696</v>
      </c>
      <c r="B157" s="445" t="s">
        <v>1205</v>
      </c>
      <c r="C157" s="445" t="s">
        <v>633</v>
      </c>
      <c r="D157" s="445" t="s">
        <v>735</v>
      </c>
      <c r="E157" s="455" t="s">
        <v>813</v>
      </c>
      <c r="F157" s="481" t="s">
        <v>697</v>
      </c>
      <c r="G157" s="553">
        <v>167900</v>
      </c>
      <c r="H157" s="554"/>
      <c r="I157" s="553">
        <f t="shared" si="4"/>
        <v>167900</v>
      </c>
      <c r="J157" s="553">
        <v>167900</v>
      </c>
      <c r="K157" s="554"/>
      <c r="L157" s="553">
        <f t="shared" si="5"/>
        <v>167900</v>
      </c>
    </row>
    <row r="158" spans="1:12" ht="20.25" customHeight="1">
      <c r="A158" s="607" t="s">
        <v>698</v>
      </c>
      <c r="B158" s="445" t="s">
        <v>1205</v>
      </c>
      <c r="C158" s="485" t="s">
        <v>633</v>
      </c>
      <c r="D158" s="445" t="s">
        <v>735</v>
      </c>
      <c r="E158" s="470" t="s">
        <v>699</v>
      </c>
      <c r="F158" s="456"/>
      <c r="G158" s="553">
        <f>G159</f>
        <v>8445810</v>
      </c>
      <c r="H158" s="554"/>
      <c r="I158" s="553">
        <f t="shared" si="4"/>
        <v>8445810</v>
      </c>
      <c r="J158" s="553">
        <f>J159</f>
        <v>8445810</v>
      </c>
      <c r="K158" s="554"/>
      <c r="L158" s="553">
        <f t="shared" si="5"/>
        <v>8445810</v>
      </c>
    </row>
    <row r="159" spans="1:12" ht="18.75" customHeight="1">
      <c r="A159" s="607" t="s">
        <v>705</v>
      </c>
      <c r="B159" s="445" t="s">
        <v>1205</v>
      </c>
      <c r="C159" s="445" t="s">
        <v>633</v>
      </c>
      <c r="D159" s="445" t="s">
        <v>735</v>
      </c>
      <c r="E159" s="445" t="s">
        <v>706</v>
      </c>
      <c r="F159" s="446"/>
      <c r="G159" s="553">
        <f>G160+G164+G166</f>
        <v>8445810</v>
      </c>
      <c r="H159" s="554"/>
      <c r="I159" s="553">
        <f t="shared" si="4"/>
        <v>8445810</v>
      </c>
      <c r="J159" s="553">
        <f>J160+J164+J166</f>
        <v>8445810</v>
      </c>
      <c r="K159" s="554"/>
      <c r="L159" s="553">
        <f t="shared" si="5"/>
        <v>8445810</v>
      </c>
    </row>
    <row r="160" spans="1:12" ht="30" customHeight="1">
      <c r="A160" s="567" t="s">
        <v>816</v>
      </c>
      <c r="B160" s="445" t="s">
        <v>1205</v>
      </c>
      <c r="C160" s="445" t="s">
        <v>633</v>
      </c>
      <c r="D160" s="445" t="s">
        <v>735</v>
      </c>
      <c r="E160" s="445" t="s">
        <v>817</v>
      </c>
      <c r="F160" s="446"/>
      <c r="G160" s="553">
        <f>G161+G162+G163</f>
        <v>8170490</v>
      </c>
      <c r="H160" s="554"/>
      <c r="I160" s="553">
        <f t="shared" si="4"/>
        <v>8170490</v>
      </c>
      <c r="J160" s="553">
        <f>J161+J162+J163</f>
        <v>8170490</v>
      </c>
      <c r="K160" s="554"/>
      <c r="L160" s="553">
        <f t="shared" si="5"/>
        <v>8170490</v>
      </c>
    </row>
    <row r="161" spans="1:12" ht="42" customHeight="1">
      <c r="A161" s="609" t="s">
        <v>642</v>
      </c>
      <c r="B161" s="445" t="s">
        <v>1205</v>
      </c>
      <c r="C161" s="445" t="s">
        <v>633</v>
      </c>
      <c r="D161" s="445" t="s">
        <v>735</v>
      </c>
      <c r="E161" s="445" t="s">
        <v>817</v>
      </c>
      <c r="F161" s="456" t="s">
        <v>643</v>
      </c>
      <c r="G161" s="553">
        <v>5520500</v>
      </c>
      <c r="H161" s="554"/>
      <c r="I161" s="553">
        <f t="shared" si="4"/>
        <v>5520500</v>
      </c>
      <c r="J161" s="553">
        <f>5520500</f>
        <v>5520500</v>
      </c>
      <c r="K161" s="554"/>
      <c r="L161" s="553">
        <f t="shared" si="5"/>
        <v>5520500</v>
      </c>
    </row>
    <row r="162" spans="1:12" ht="30" customHeight="1">
      <c r="A162" s="609" t="s">
        <v>654</v>
      </c>
      <c r="B162" s="445" t="s">
        <v>1205</v>
      </c>
      <c r="C162" s="445" t="s">
        <v>633</v>
      </c>
      <c r="D162" s="445" t="s">
        <v>735</v>
      </c>
      <c r="E162" s="445" t="s">
        <v>817</v>
      </c>
      <c r="F162" s="456" t="s">
        <v>655</v>
      </c>
      <c r="G162" s="553">
        <v>2631850</v>
      </c>
      <c r="H162" s="554"/>
      <c r="I162" s="553">
        <f t="shared" si="4"/>
        <v>2631850</v>
      </c>
      <c r="J162" s="553">
        <v>2631850</v>
      </c>
      <c r="K162" s="554"/>
      <c r="L162" s="553">
        <f t="shared" si="5"/>
        <v>2631850</v>
      </c>
    </row>
    <row r="163" spans="1:12" ht="21.75" customHeight="1">
      <c r="A163" s="567" t="s">
        <v>696</v>
      </c>
      <c r="B163" s="445" t="s">
        <v>1205</v>
      </c>
      <c r="C163" s="445" t="s">
        <v>633</v>
      </c>
      <c r="D163" s="445" t="s">
        <v>735</v>
      </c>
      <c r="E163" s="445" t="s">
        <v>817</v>
      </c>
      <c r="F163" s="456" t="s">
        <v>697</v>
      </c>
      <c r="G163" s="553">
        <v>18140</v>
      </c>
      <c r="H163" s="554"/>
      <c r="I163" s="553">
        <f t="shared" si="4"/>
        <v>18140</v>
      </c>
      <c r="J163" s="553">
        <v>18140</v>
      </c>
      <c r="K163" s="554"/>
      <c r="L163" s="553">
        <f t="shared" si="5"/>
        <v>18140</v>
      </c>
    </row>
    <row r="164" spans="1:12" ht="21" customHeight="1">
      <c r="A164" s="616" t="s">
        <v>818</v>
      </c>
      <c r="B164" s="445" t="s">
        <v>1205</v>
      </c>
      <c r="C164" s="445" t="s">
        <v>633</v>
      </c>
      <c r="D164" s="445" t="s">
        <v>735</v>
      </c>
      <c r="E164" s="445" t="s">
        <v>819</v>
      </c>
      <c r="F164" s="456"/>
      <c r="G164" s="553">
        <f>G165</f>
        <v>100000</v>
      </c>
      <c r="H164" s="554"/>
      <c r="I164" s="553">
        <f t="shared" si="4"/>
        <v>100000</v>
      </c>
      <c r="J164" s="553">
        <f>J165</f>
        <v>100000</v>
      </c>
      <c r="K164" s="554"/>
      <c r="L164" s="553">
        <f t="shared" si="5"/>
        <v>100000</v>
      </c>
    </row>
    <row r="165" spans="1:12" ht="30" customHeight="1">
      <c r="A165" s="609" t="s">
        <v>654</v>
      </c>
      <c r="B165" s="445" t="s">
        <v>1205</v>
      </c>
      <c r="C165" s="445" t="s">
        <v>633</v>
      </c>
      <c r="D165" s="445" t="s">
        <v>735</v>
      </c>
      <c r="E165" s="445" t="s">
        <v>819</v>
      </c>
      <c r="F165" s="456" t="s">
        <v>655</v>
      </c>
      <c r="G165" s="553">
        <v>100000</v>
      </c>
      <c r="H165" s="554"/>
      <c r="I165" s="553">
        <f t="shared" si="4"/>
        <v>100000</v>
      </c>
      <c r="J165" s="553">
        <v>100000</v>
      </c>
      <c r="K165" s="554"/>
      <c r="L165" s="553">
        <f t="shared" si="5"/>
        <v>100000</v>
      </c>
    </row>
    <row r="166" spans="1:12" ht="30" customHeight="1">
      <c r="A166" s="609" t="s">
        <v>820</v>
      </c>
      <c r="B166" s="445" t="s">
        <v>1205</v>
      </c>
      <c r="C166" s="445" t="s">
        <v>633</v>
      </c>
      <c r="D166" s="445" t="s">
        <v>735</v>
      </c>
      <c r="E166" s="445" t="s">
        <v>821</v>
      </c>
      <c r="F166" s="456"/>
      <c r="G166" s="553">
        <f>G167</f>
        <v>175320</v>
      </c>
      <c r="H166" s="554"/>
      <c r="I166" s="553">
        <f t="shared" si="4"/>
        <v>175320</v>
      </c>
      <c r="J166" s="553">
        <f>J167</f>
        <v>175320</v>
      </c>
      <c r="K166" s="554"/>
      <c r="L166" s="553">
        <f t="shared" si="5"/>
        <v>175320</v>
      </c>
    </row>
    <row r="167" spans="1:12" ht="17.25" customHeight="1">
      <c r="A167" s="609" t="s">
        <v>814</v>
      </c>
      <c r="B167" s="445" t="s">
        <v>1205</v>
      </c>
      <c r="C167" s="445" t="s">
        <v>633</v>
      </c>
      <c r="D167" s="445" t="s">
        <v>735</v>
      </c>
      <c r="E167" s="445" t="s">
        <v>821</v>
      </c>
      <c r="F167" s="456" t="s">
        <v>815</v>
      </c>
      <c r="G167" s="553">
        <f>175320</f>
        <v>175320</v>
      </c>
      <c r="H167" s="554"/>
      <c r="I167" s="553">
        <f t="shared" si="4"/>
        <v>175320</v>
      </c>
      <c r="J167" s="553">
        <f>175320</f>
        <v>175320</v>
      </c>
      <c r="K167" s="554"/>
      <c r="L167" s="553">
        <f t="shared" si="5"/>
        <v>175320</v>
      </c>
    </row>
    <row r="168" spans="1:12" ht="15" customHeight="1" hidden="1">
      <c r="A168" s="607" t="s">
        <v>822</v>
      </c>
      <c r="B168" s="445" t="s">
        <v>1205</v>
      </c>
      <c r="C168" s="485" t="s">
        <v>633</v>
      </c>
      <c r="D168" s="445" t="s">
        <v>735</v>
      </c>
      <c r="E168" s="470" t="s">
        <v>823</v>
      </c>
      <c r="F168" s="456"/>
      <c r="G168" s="553">
        <f>G169</f>
        <v>0</v>
      </c>
      <c r="H168" s="554"/>
      <c r="I168" s="553">
        <f t="shared" si="4"/>
        <v>0</v>
      </c>
      <c r="J168" s="553">
        <f>J169</f>
        <v>0</v>
      </c>
      <c r="K168" s="554"/>
      <c r="L168" s="553">
        <f t="shared" si="5"/>
        <v>0</v>
      </c>
    </row>
    <row r="169" spans="1:12" ht="15" customHeight="1" hidden="1">
      <c r="A169" s="609" t="s">
        <v>726</v>
      </c>
      <c r="B169" s="445" t="s">
        <v>1205</v>
      </c>
      <c r="C169" s="485" t="s">
        <v>633</v>
      </c>
      <c r="D169" s="445" t="s">
        <v>735</v>
      </c>
      <c r="E169" s="470" t="s">
        <v>824</v>
      </c>
      <c r="F169" s="456"/>
      <c r="G169" s="553">
        <f>G170</f>
        <v>0</v>
      </c>
      <c r="H169" s="554"/>
      <c r="I169" s="553">
        <f t="shared" si="4"/>
        <v>0</v>
      </c>
      <c r="J169" s="553">
        <f>J170</f>
        <v>0</v>
      </c>
      <c r="K169" s="554"/>
      <c r="L169" s="553">
        <f t="shared" si="5"/>
        <v>0</v>
      </c>
    </row>
    <row r="170" spans="1:12" ht="15" customHeight="1" hidden="1">
      <c r="A170" s="609" t="s">
        <v>825</v>
      </c>
      <c r="B170" s="445" t="s">
        <v>1205</v>
      </c>
      <c r="C170" s="485" t="s">
        <v>633</v>
      </c>
      <c r="D170" s="445" t="s">
        <v>735</v>
      </c>
      <c r="E170" s="470" t="s">
        <v>826</v>
      </c>
      <c r="F170" s="456"/>
      <c r="G170" s="553">
        <f>G171</f>
        <v>0</v>
      </c>
      <c r="H170" s="554"/>
      <c r="I170" s="553">
        <f t="shared" si="4"/>
        <v>0</v>
      </c>
      <c r="J170" s="553">
        <f>J171</f>
        <v>0</v>
      </c>
      <c r="K170" s="554"/>
      <c r="L170" s="553">
        <f t="shared" si="5"/>
        <v>0</v>
      </c>
    </row>
    <row r="171" spans="1:12" ht="15" customHeight="1" hidden="1">
      <c r="A171" s="620" t="s">
        <v>827</v>
      </c>
      <c r="B171" s="445" t="s">
        <v>1205</v>
      </c>
      <c r="C171" s="485" t="s">
        <v>633</v>
      </c>
      <c r="D171" s="445" t="s">
        <v>735</v>
      </c>
      <c r="E171" s="470" t="s">
        <v>826</v>
      </c>
      <c r="F171" s="456" t="s">
        <v>828</v>
      </c>
      <c r="G171" s="553"/>
      <c r="H171" s="554"/>
      <c r="I171" s="553">
        <f t="shared" si="4"/>
        <v>0</v>
      </c>
      <c r="J171" s="553"/>
      <c r="K171" s="554"/>
      <c r="L171" s="553">
        <f t="shared" si="5"/>
        <v>0</v>
      </c>
    </row>
    <row r="172" spans="1:12" ht="24" customHeight="1">
      <c r="A172" s="607" t="s">
        <v>829</v>
      </c>
      <c r="B172" s="445" t="s">
        <v>1205</v>
      </c>
      <c r="C172" s="445" t="s">
        <v>645</v>
      </c>
      <c r="D172" s="445" t="s">
        <v>830</v>
      </c>
      <c r="E172" s="470"/>
      <c r="F172" s="456"/>
      <c r="G172" s="553">
        <f>G173</f>
        <v>51000</v>
      </c>
      <c r="H172" s="554"/>
      <c r="I172" s="553">
        <f t="shared" si="4"/>
        <v>51000</v>
      </c>
      <c r="J172" s="553">
        <f>J173</f>
        <v>51000</v>
      </c>
      <c r="K172" s="554"/>
      <c r="L172" s="553">
        <f t="shared" si="5"/>
        <v>51000</v>
      </c>
    </row>
    <row r="173" spans="1:12" ht="27.75" customHeight="1">
      <c r="A173" s="567" t="s">
        <v>831</v>
      </c>
      <c r="B173" s="445" t="s">
        <v>1205</v>
      </c>
      <c r="C173" s="445" t="s">
        <v>645</v>
      </c>
      <c r="D173" s="445" t="s">
        <v>832</v>
      </c>
      <c r="E173" s="470"/>
      <c r="F173" s="456"/>
      <c r="G173" s="553">
        <f>G174</f>
        <v>51000</v>
      </c>
      <c r="H173" s="554"/>
      <c r="I173" s="553">
        <f t="shared" si="4"/>
        <v>51000</v>
      </c>
      <c r="J173" s="553">
        <f>J174</f>
        <v>51000</v>
      </c>
      <c r="K173" s="554"/>
      <c r="L173" s="553">
        <f t="shared" si="5"/>
        <v>51000</v>
      </c>
    </row>
    <row r="174" spans="1:12" ht="54.75" customHeight="1">
      <c r="A174" s="612" t="s">
        <v>833</v>
      </c>
      <c r="B174" s="445" t="s">
        <v>1205</v>
      </c>
      <c r="C174" s="445" t="s">
        <v>645</v>
      </c>
      <c r="D174" s="445" t="s">
        <v>832</v>
      </c>
      <c r="E174" s="482" t="s">
        <v>834</v>
      </c>
      <c r="F174" s="456"/>
      <c r="G174" s="553">
        <f>G175</f>
        <v>51000</v>
      </c>
      <c r="H174" s="554"/>
      <c r="I174" s="553">
        <f t="shared" si="4"/>
        <v>51000</v>
      </c>
      <c r="J174" s="553">
        <f>J175</f>
        <v>51000</v>
      </c>
      <c r="K174" s="554"/>
      <c r="L174" s="553">
        <f t="shared" si="5"/>
        <v>51000</v>
      </c>
    </row>
    <row r="175" spans="1:12" ht="86.25" customHeight="1">
      <c r="A175" s="614" t="s">
        <v>835</v>
      </c>
      <c r="B175" s="445" t="s">
        <v>1205</v>
      </c>
      <c r="C175" s="457" t="s">
        <v>645</v>
      </c>
      <c r="D175" s="457" t="s">
        <v>832</v>
      </c>
      <c r="E175" s="482" t="s">
        <v>836</v>
      </c>
      <c r="F175" s="459"/>
      <c r="G175" s="555">
        <f>G176+G179+G182+G185</f>
        <v>51000</v>
      </c>
      <c r="H175" s="554"/>
      <c r="I175" s="553">
        <f t="shared" si="4"/>
        <v>51000</v>
      </c>
      <c r="J175" s="555">
        <f>J176+J179+J182+J185</f>
        <v>51000</v>
      </c>
      <c r="K175" s="554"/>
      <c r="L175" s="553">
        <f t="shared" si="5"/>
        <v>51000</v>
      </c>
    </row>
    <row r="176" spans="1:12" ht="0.75" customHeight="1" hidden="1">
      <c r="A176" s="614" t="s">
        <v>837</v>
      </c>
      <c r="B176" s="445" t="s">
        <v>1205</v>
      </c>
      <c r="C176" s="445" t="s">
        <v>645</v>
      </c>
      <c r="D176" s="445" t="s">
        <v>832</v>
      </c>
      <c r="E176" s="474" t="s">
        <v>838</v>
      </c>
      <c r="F176" s="456"/>
      <c r="G176" s="553">
        <f>G177</f>
        <v>0</v>
      </c>
      <c r="H176" s="554"/>
      <c r="I176" s="553">
        <f t="shared" si="4"/>
        <v>0</v>
      </c>
      <c r="J176" s="553">
        <f>J177</f>
        <v>0</v>
      </c>
      <c r="K176" s="554"/>
      <c r="L176" s="553">
        <f t="shared" si="5"/>
        <v>0</v>
      </c>
    </row>
    <row r="177" spans="1:12" ht="39" customHeight="1" hidden="1">
      <c r="A177" s="609" t="s">
        <v>839</v>
      </c>
      <c r="B177" s="445" t="s">
        <v>1205</v>
      </c>
      <c r="C177" s="445" t="s">
        <v>645</v>
      </c>
      <c r="D177" s="445" t="s">
        <v>832</v>
      </c>
      <c r="E177" s="474" t="s">
        <v>840</v>
      </c>
      <c r="F177" s="456"/>
      <c r="G177" s="553">
        <f>G178</f>
        <v>0</v>
      </c>
      <c r="H177" s="554"/>
      <c r="I177" s="553">
        <f t="shared" si="4"/>
        <v>0</v>
      </c>
      <c r="J177" s="553">
        <f>J178</f>
        <v>0</v>
      </c>
      <c r="K177" s="554"/>
      <c r="L177" s="553">
        <f t="shared" si="5"/>
        <v>0</v>
      </c>
    </row>
    <row r="178" spans="1:12" ht="26.25" customHeight="1" hidden="1">
      <c r="A178" s="609" t="s">
        <v>654</v>
      </c>
      <c r="B178" s="445" t="s">
        <v>1205</v>
      </c>
      <c r="C178" s="445" t="s">
        <v>645</v>
      </c>
      <c r="D178" s="445" t="s">
        <v>832</v>
      </c>
      <c r="E178" s="474" t="s">
        <v>840</v>
      </c>
      <c r="F178" s="456" t="s">
        <v>655</v>
      </c>
      <c r="G178" s="553"/>
      <c r="H178" s="554"/>
      <c r="I178" s="553">
        <f t="shared" si="4"/>
        <v>0</v>
      </c>
      <c r="J178" s="553"/>
      <c r="K178" s="554"/>
      <c r="L178" s="553">
        <f t="shared" si="5"/>
        <v>0</v>
      </c>
    </row>
    <row r="179" spans="1:12" ht="60.75" customHeight="1">
      <c r="A179" s="614" t="s">
        <v>841</v>
      </c>
      <c r="B179" s="445" t="s">
        <v>1205</v>
      </c>
      <c r="C179" s="445" t="s">
        <v>645</v>
      </c>
      <c r="D179" s="445" t="s">
        <v>832</v>
      </c>
      <c r="E179" s="474" t="s">
        <v>842</v>
      </c>
      <c r="F179" s="456"/>
      <c r="G179" s="553">
        <f>G180</f>
        <v>51000</v>
      </c>
      <c r="H179" s="554"/>
      <c r="I179" s="553">
        <f t="shared" si="4"/>
        <v>51000</v>
      </c>
      <c r="J179" s="553">
        <f>J180</f>
        <v>51000</v>
      </c>
      <c r="K179" s="554"/>
      <c r="L179" s="553">
        <f t="shared" si="5"/>
        <v>51000</v>
      </c>
    </row>
    <row r="180" spans="1:12" ht="43.5" customHeight="1">
      <c r="A180" s="609" t="s">
        <v>839</v>
      </c>
      <c r="B180" s="445" t="s">
        <v>1205</v>
      </c>
      <c r="C180" s="445" t="s">
        <v>645</v>
      </c>
      <c r="D180" s="445" t="s">
        <v>832</v>
      </c>
      <c r="E180" s="474" t="s">
        <v>843</v>
      </c>
      <c r="F180" s="456"/>
      <c r="G180" s="553">
        <f>G181</f>
        <v>51000</v>
      </c>
      <c r="H180" s="554"/>
      <c r="I180" s="553">
        <f t="shared" si="4"/>
        <v>51000</v>
      </c>
      <c r="J180" s="553">
        <f>J181</f>
        <v>51000</v>
      </c>
      <c r="K180" s="554"/>
      <c r="L180" s="553">
        <f t="shared" si="5"/>
        <v>51000</v>
      </c>
    </row>
    <row r="181" spans="1:12" ht="33" customHeight="1">
      <c r="A181" s="609" t="s">
        <v>654</v>
      </c>
      <c r="B181" s="445" t="s">
        <v>1205</v>
      </c>
      <c r="C181" s="445" t="s">
        <v>645</v>
      </c>
      <c r="D181" s="445" t="s">
        <v>832</v>
      </c>
      <c r="E181" s="474" t="s">
        <v>843</v>
      </c>
      <c r="F181" s="456" t="s">
        <v>655</v>
      </c>
      <c r="G181" s="553">
        <v>51000</v>
      </c>
      <c r="H181" s="554"/>
      <c r="I181" s="553">
        <f t="shared" si="4"/>
        <v>51000</v>
      </c>
      <c r="J181" s="553">
        <v>51000</v>
      </c>
      <c r="K181" s="554"/>
      <c r="L181" s="553">
        <f t="shared" si="5"/>
        <v>51000</v>
      </c>
    </row>
    <row r="182" spans="1:12" ht="28.5" customHeight="1" hidden="1">
      <c r="A182" s="614" t="s">
        <v>844</v>
      </c>
      <c r="B182" s="445" t="s">
        <v>1205</v>
      </c>
      <c r="C182" s="445" t="s">
        <v>645</v>
      </c>
      <c r="D182" s="445" t="s">
        <v>832</v>
      </c>
      <c r="E182" s="474" t="s">
        <v>845</v>
      </c>
      <c r="F182" s="456"/>
      <c r="G182" s="553">
        <f>G183</f>
        <v>0</v>
      </c>
      <c r="H182" s="554"/>
      <c r="I182" s="553">
        <f t="shared" si="4"/>
        <v>0</v>
      </c>
      <c r="J182" s="553">
        <f>J183</f>
        <v>0</v>
      </c>
      <c r="K182" s="554"/>
      <c r="L182" s="553">
        <f t="shared" si="5"/>
        <v>0</v>
      </c>
    </row>
    <row r="183" spans="1:12" ht="30" customHeight="1" hidden="1">
      <c r="A183" s="609" t="s">
        <v>839</v>
      </c>
      <c r="B183" s="445" t="s">
        <v>1205</v>
      </c>
      <c r="C183" s="445" t="s">
        <v>645</v>
      </c>
      <c r="D183" s="445" t="s">
        <v>832</v>
      </c>
      <c r="E183" s="474" t="s">
        <v>846</v>
      </c>
      <c r="F183" s="456"/>
      <c r="G183" s="553">
        <f>G184</f>
        <v>0</v>
      </c>
      <c r="H183" s="554"/>
      <c r="I183" s="553">
        <f t="shared" si="4"/>
        <v>0</v>
      </c>
      <c r="J183" s="553">
        <f>J184</f>
        <v>0</v>
      </c>
      <c r="K183" s="554"/>
      <c r="L183" s="553">
        <f t="shared" si="5"/>
        <v>0</v>
      </c>
    </row>
    <row r="184" spans="1:12" ht="15.75" customHeight="1" hidden="1">
      <c r="A184" s="609" t="s">
        <v>654</v>
      </c>
      <c r="B184" s="445" t="s">
        <v>1205</v>
      </c>
      <c r="C184" s="445" t="s">
        <v>645</v>
      </c>
      <c r="D184" s="445" t="s">
        <v>832</v>
      </c>
      <c r="E184" s="474" t="s">
        <v>846</v>
      </c>
      <c r="F184" s="456" t="s">
        <v>655</v>
      </c>
      <c r="G184" s="553"/>
      <c r="H184" s="554"/>
      <c r="I184" s="553">
        <f t="shared" si="4"/>
        <v>0</v>
      </c>
      <c r="J184" s="553"/>
      <c r="K184" s="554"/>
      <c r="L184" s="553">
        <f t="shared" si="5"/>
        <v>0</v>
      </c>
    </row>
    <row r="185" spans="1:12" ht="17.25" customHeight="1" hidden="1">
      <c r="A185" s="614" t="s">
        <v>847</v>
      </c>
      <c r="B185" s="445" t="s">
        <v>1205</v>
      </c>
      <c r="C185" s="445" t="s">
        <v>645</v>
      </c>
      <c r="D185" s="445" t="s">
        <v>832</v>
      </c>
      <c r="E185" s="474" t="s">
        <v>848</v>
      </c>
      <c r="F185" s="456"/>
      <c r="G185" s="553">
        <f>G186</f>
        <v>0</v>
      </c>
      <c r="H185" s="554"/>
      <c r="I185" s="553">
        <f t="shared" si="4"/>
        <v>0</v>
      </c>
      <c r="J185" s="553">
        <f>J186</f>
        <v>0</v>
      </c>
      <c r="K185" s="554"/>
      <c r="L185" s="553">
        <f t="shared" si="5"/>
        <v>0</v>
      </c>
    </row>
    <row r="186" spans="1:12" ht="39" customHeight="1" hidden="1">
      <c r="A186" s="609" t="s">
        <v>839</v>
      </c>
      <c r="B186" s="445" t="s">
        <v>1205</v>
      </c>
      <c r="C186" s="445" t="s">
        <v>645</v>
      </c>
      <c r="D186" s="445" t="s">
        <v>832</v>
      </c>
      <c r="E186" s="474" t="s">
        <v>849</v>
      </c>
      <c r="F186" s="456"/>
      <c r="G186" s="553">
        <f>G187</f>
        <v>0</v>
      </c>
      <c r="H186" s="554"/>
      <c r="I186" s="553">
        <f t="shared" si="4"/>
        <v>0</v>
      </c>
      <c r="J186" s="553">
        <f>J187</f>
        <v>0</v>
      </c>
      <c r="K186" s="554"/>
      <c r="L186" s="553">
        <f t="shared" si="5"/>
        <v>0</v>
      </c>
    </row>
    <row r="187" spans="1:12" ht="44.25" customHeight="1" hidden="1">
      <c r="A187" s="609" t="s">
        <v>654</v>
      </c>
      <c r="B187" s="445" t="s">
        <v>1205</v>
      </c>
      <c r="C187" s="445" t="s">
        <v>645</v>
      </c>
      <c r="D187" s="445" t="s">
        <v>832</v>
      </c>
      <c r="E187" s="474" t="s">
        <v>849</v>
      </c>
      <c r="F187" s="456" t="s">
        <v>655</v>
      </c>
      <c r="G187" s="553"/>
      <c r="H187" s="554"/>
      <c r="I187" s="553">
        <f t="shared" si="4"/>
        <v>0</v>
      </c>
      <c r="J187" s="553"/>
      <c r="K187" s="554"/>
      <c r="L187" s="553">
        <f t="shared" si="5"/>
        <v>0</v>
      </c>
    </row>
    <row r="188" spans="1:13" ht="24.75" customHeight="1">
      <c r="A188" s="607" t="s">
        <v>850</v>
      </c>
      <c r="B188" s="445" t="s">
        <v>1205</v>
      </c>
      <c r="C188" s="445" t="s">
        <v>658</v>
      </c>
      <c r="D188" s="445"/>
      <c r="E188" s="445"/>
      <c r="F188" s="446"/>
      <c r="G188" s="553">
        <f>G189+G196+G207</f>
        <v>6048100</v>
      </c>
      <c r="H188" s="554"/>
      <c r="I188" s="553">
        <f t="shared" si="4"/>
        <v>6048100</v>
      </c>
      <c r="J188" s="553">
        <f>J189+J196+J207</f>
        <v>6333891</v>
      </c>
      <c r="K188" s="554"/>
      <c r="L188" s="553">
        <f t="shared" si="5"/>
        <v>6333891</v>
      </c>
      <c r="M188" s="453"/>
    </row>
    <row r="189" spans="1:12" ht="15">
      <c r="A189" s="607" t="s">
        <v>851</v>
      </c>
      <c r="B189" s="445" t="s">
        <v>1205</v>
      </c>
      <c r="C189" s="445" t="s">
        <v>658</v>
      </c>
      <c r="D189" s="445" t="s">
        <v>852</v>
      </c>
      <c r="E189" s="445"/>
      <c r="F189" s="446"/>
      <c r="G189" s="553">
        <f>G190</f>
        <v>510000</v>
      </c>
      <c r="H189" s="554"/>
      <c r="I189" s="553">
        <f t="shared" si="4"/>
        <v>510000</v>
      </c>
      <c r="J189" s="553">
        <f>J190</f>
        <v>510000</v>
      </c>
      <c r="K189" s="554"/>
      <c r="L189" s="553">
        <f t="shared" si="5"/>
        <v>510000</v>
      </c>
    </row>
    <row r="190" spans="1:12" ht="56.25" customHeight="1">
      <c r="A190" s="621" t="s">
        <v>770</v>
      </c>
      <c r="B190" s="445" t="s">
        <v>1205</v>
      </c>
      <c r="C190" s="445" t="s">
        <v>658</v>
      </c>
      <c r="D190" s="445" t="s">
        <v>852</v>
      </c>
      <c r="E190" s="474" t="s">
        <v>771</v>
      </c>
      <c r="F190" s="446"/>
      <c r="G190" s="553">
        <f>G191</f>
        <v>510000</v>
      </c>
      <c r="H190" s="554"/>
      <c r="I190" s="553">
        <f t="shared" si="4"/>
        <v>510000</v>
      </c>
      <c r="J190" s="553">
        <f>J191</f>
        <v>510000</v>
      </c>
      <c r="K190" s="554"/>
      <c r="L190" s="553">
        <f t="shared" si="5"/>
        <v>510000</v>
      </c>
    </row>
    <row r="191" spans="1:12" ht="73.5" customHeight="1">
      <c r="A191" s="622" t="s">
        <v>853</v>
      </c>
      <c r="B191" s="445" t="s">
        <v>1205</v>
      </c>
      <c r="C191" s="457" t="s">
        <v>658</v>
      </c>
      <c r="D191" s="457" t="s">
        <v>852</v>
      </c>
      <c r="E191" s="482" t="s">
        <v>854</v>
      </c>
      <c r="F191" s="464"/>
      <c r="G191" s="555">
        <f>G192</f>
        <v>510000</v>
      </c>
      <c r="H191" s="554"/>
      <c r="I191" s="553">
        <f t="shared" si="4"/>
        <v>510000</v>
      </c>
      <c r="J191" s="555">
        <f>J192</f>
        <v>510000</v>
      </c>
      <c r="K191" s="554"/>
      <c r="L191" s="553">
        <f t="shared" si="5"/>
        <v>510000</v>
      </c>
    </row>
    <row r="192" spans="1:12" ht="48.75" customHeight="1">
      <c r="A192" s="567" t="s">
        <v>855</v>
      </c>
      <c r="B192" s="445" t="s">
        <v>1205</v>
      </c>
      <c r="C192" s="445" t="s">
        <v>658</v>
      </c>
      <c r="D192" s="445" t="s">
        <v>852</v>
      </c>
      <c r="E192" s="474" t="s">
        <v>856</v>
      </c>
      <c r="F192" s="446"/>
      <c r="G192" s="553">
        <f>G193</f>
        <v>510000</v>
      </c>
      <c r="H192" s="554"/>
      <c r="I192" s="553">
        <f t="shared" si="4"/>
        <v>510000</v>
      </c>
      <c r="J192" s="553">
        <f>J193</f>
        <v>510000</v>
      </c>
      <c r="K192" s="554"/>
      <c r="L192" s="553">
        <f t="shared" si="5"/>
        <v>510000</v>
      </c>
    </row>
    <row r="193" spans="1:12" ht="15">
      <c r="A193" s="607" t="s">
        <v>857</v>
      </c>
      <c r="B193" s="445" t="s">
        <v>1205</v>
      </c>
      <c r="C193" s="445" t="s">
        <v>658</v>
      </c>
      <c r="D193" s="445" t="s">
        <v>852</v>
      </c>
      <c r="E193" s="474" t="s">
        <v>858</v>
      </c>
      <c r="F193" s="446"/>
      <c r="G193" s="553">
        <f>G195+G194</f>
        <v>510000</v>
      </c>
      <c r="H193" s="554"/>
      <c r="I193" s="553">
        <f t="shared" si="4"/>
        <v>510000</v>
      </c>
      <c r="J193" s="553">
        <f>J195+J194</f>
        <v>510000</v>
      </c>
      <c r="K193" s="554"/>
      <c r="L193" s="553">
        <f t="shared" si="5"/>
        <v>510000</v>
      </c>
    </row>
    <row r="194" spans="1:12" ht="26.25">
      <c r="A194" s="609" t="s">
        <v>654</v>
      </c>
      <c r="B194" s="445" t="s">
        <v>1205</v>
      </c>
      <c r="C194" s="445" t="s">
        <v>658</v>
      </c>
      <c r="D194" s="445" t="s">
        <v>852</v>
      </c>
      <c r="E194" s="474" t="s">
        <v>858</v>
      </c>
      <c r="F194" s="446" t="s">
        <v>655</v>
      </c>
      <c r="G194" s="553">
        <v>10000</v>
      </c>
      <c r="H194" s="554"/>
      <c r="I194" s="553">
        <f t="shared" si="4"/>
        <v>10000</v>
      </c>
      <c r="J194" s="553">
        <v>10000</v>
      </c>
      <c r="K194" s="554"/>
      <c r="L194" s="553">
        <f t="shared" si="5"/>
        <v>10000</v>
      </c>
    </row>
    <row r="195" spans="1:12" ht="15">
      <c r="A195" s="609" t="s">
        <v>696</v>
      </c>
      <c r="B195" s="445" t="s">
        <v>1205</v>
      </c>
      <c r="C195" s="445" t="s">
        <v>658</v>
      </c>
      <c r="D195" s="445" t="s">
        <v>852</v>
      </c>
      <c r="E195" s="474" t="s">
        <v>858</v>
      </c>
      <c r="F195" s="446" t="s">
        <v>697</v>
      </c>
      <c r="G195" s="553">
        <v>500000</v>
      </c>
      <c r="H195" s="554"/>
      <c r="I195" s="553">
        <f t="shared" si="4"/>
        <v>500000</v>
      </c>
      <c r="J195" s="553">
        <v>500000</v>
      </c>
      <c r="K195" s="554"/>
      <c r="L195" s="553">
        <f t="shared" si="5"/>
        <v>500000</v>
      </c>
    </row>
    <row r="196" spans="1:12" ht="15">
      <c r="A196" s="607" t="s">
        <v>859</v>
      </c>
      <c r="B196" s="445" t="s">
        <v>1205</v>
      </c>
      <c r="C196" s="445" t="s">
        <v>658</v>
      </c>
      <c r="D196" s="445" t="s">
        <v>832</v>
      </c>
      <c r="E196" s="445"/>
      <c r="F196" s="446"/>
      <c r="G196" s="553">
        <f>G197</f>
        <v>4975100</v>
      </c>
      <c r="H196" s="554"/>
      <c r="I196" s="553">
        <f t="shared" si="4"/>
        <v>4975100</v>
      </c>
      <c r="J196" s="553">
        <f>J197</f>
        <v>5260891</v>
      </c>
      <c r="K196" s="554"/>
      <c r="L196" s="553">
        <f t="shared" si="5"/>
        <v>5260891</v>
      </c>
    </row>
    <row r="197" spans="1:12" ht="56.25" customHeight="1">
      <c r="A197" s="621" t="s">
        <v>770</v>
      </c>
      <c r="B197" s="445" t="s">
        <v>1205</v>
      </c>
      <c r="C197" s="445" t="s">
        <v>658</v>
      </c>
      <c r="D197" s="445" t="s">
        <v>832</v>
      </c>
      <c r="E197" s="474" t="s">
        <v>771</v>
      </c>
      <c r="F197" s="446"/>
      <c r="G197" s="553">
        <f>G198</f>
        <v>4975100</v>
      </c>
      <c r="H197" s="554"/>
      <c r="I197" s="553">
        <f t="shared" si="4"/>
        <v>4975100</v>
      </c>
      <c r="J197" s="553">
        <f>J198</f>
        <v>5260891</v>
      </c>
      <c r="K197" s="554"/>
      <c r="L197" s="553">
        <f t="shared" si="5"/>
        <v>5260891</v>
      </c>
    </row>
    <row r="198" spans="1:12" ht="67.5" customHeight="1">
      <c r="A198" s="616" t="s">
        <v>860</v>
      </c>
      <c r="B198" s="445" t="s">
        <v>1205</v>
      </c>
      <c r="C198" s="457" t="s">
        <v>658</v>
      </c>
      <c r="D198" s="457" t="s">
        <v>832</v>
      </c>
      <c r="E198" s="482" t="s">
        <v>861</v>
      </c>
      <c r="F198" s="464"/>
      <c r="G198" s="555">
        <f>G199+G202</f>
        <v>4975100</v>
      </c>
      <c r="H198" s="554"/>
      <c r="I198" s="553">
        <f t="shared" si="4"/>
        <v>4975100</v>
      </c>
      <c r="J198" s="555">
        <f>J199+J202</f>
        <v>5260891</v>
      </c>
      <c r="K198" s="554"/>
      <c r="L198" s="553">
        <f t="shared" si="5"/>
        <v>5260891</v>
      </c>
    </row>
    <row r="199" spans="1:12" ht="28.5" customHeight="1">
      <c r="A199" s="567" t="s">
        <v>862</v>
      </c>
      <c r="B199" s="445" t="s">
        <v>1205</v>
      </c>
      <c r="C199" s="445" t="s">
        <v>658</v>
      </c>
      <c r="D199" s="445" t="s">
        <v>832</v>
      </c>
      <c r="E199" s="474" t="s">
        <v>863</v>
      </c>
      <c r="F199" s="446"/>
      <c r="G199" s="553">
        <f>G200</f>
        <v>4975100</v>
      </c>
      <c r="H199" s="554"/>
      <c r="I199" s="553">
        <f t="shared" si="4"/>
        <v>4975100</v>
      </c>
      <c r="J199" s="553">
        <f>J200</f>
        <v>5260891</v>
      </c>
      <c r="K199" s="554"/>
      <c r="L199" s="553">
        <f t="shared" si="5"/>
        <v>5260891</v>
      </c>
    </row>
    <row r="200" spans="1:12" ht="26.25">
      <c r="A200" s="609" t="s">
        <v>864</v>
      </c>
      <c r="B200" s="445" t="s">
        <v>1205</v>
      </c>
      <c r="C200" s="445" t="s">
        <v>658</v>
      </c>
      <c r="D200" s="445" t="s">
        <v>832</v>
      </c>
      <c r="E200" s="474" t="s">
        <v>865</v>
      </c>
      <c r="F200" s="446"/>
      <c r="G200" s="553">
        <f>G201</f>
        <v>4975100</v>
      </c>
      <c r="H200" s="554"/>
      <c r="I200" s="553">
        <f t="shared" si="4"/>
        <v>4975100</v>
      </c>
      <c r="J200" s="553">
        <f>J201</f>
        <v>5260891</v>
      </c>
      <c r="K200" s="554"/>
      <c r="L200" s="553">
        <f t="shared" si="5"/>
        <v>5260891</v>
      </c>
    </row>
    <row r="201" spans="1:12" ht="26.25">
      <c r="A201" s="609" t="s">
        <v>704</v>
      </c>
      <c r="B201" s="445" t="s">
        <v>1205</v>
      </c>
      <c r="C201" s="445" t="s">
        <v>658</v>
      </c>
      <c r="D201" s="445" t="s">
        <v>832</v>
      </c>
      <c r="E201" s="474" t="s">
        <v>865</v>
      </c>
      <c r="F201" s="446" t="s">
        <v>655</v>
      </c>
      <c r="G201" s="553">
        <v>4975100</v>
      </c>
      <c r="H201" s="554"/>
      <c r="I201" s="553">
        <f t="shared" si="4"/>
        <v>4975100</v>
      </c>
      <c r="J201" s="553">
        <v>5260891</v>
      </c>
      <c r="K201" s="554"/>
      <c r="L201" s="553">
        <f t="shared" si="5"/>
        <v>5260891</v>
      </c>
    </row>
    <row r="202" spans="1:12" ht="0.75" customHeight="1" hidden="1">
      <c r="A202" s="567" t="s">
        <v>866</v>
      </c>
      <c r="B202" s="445" t="s">
        <v>1205</v>
      </c>
      <c r="C202" s="445" t="s">
        <v>658</v>
      </c>
      <c r="D202" s="445" t="s">
        <v>832</v>
      </c>
      <c r="E202" s="474" t="s">
        <v>867</v>
      </c>
      <c r="F202" s="446"/>
      <c r="G202" s="553">
        <f>G203+G205</f>
        <v>0</v>
      </c>
      <c r="H202" s="554"/>
      <c r="I202" s="553">
        <f t="shared" si="4"/>
        <v>0</v>
      </c>
      <c r="J202" s="553">
        <f>J203+J205</f>
        <v>0</v>
      </c>
      <c r="K202" s="554"/>
      <c r="L202" s="553">
        <f t="shared" si="5"/>
        <v>0</v>
      </c>
    </row>
    <row r="203" spans="1:12" ht="15" hidden="1">
      <c r="A203" s="609" t="s">
        <v>868</v>
      </c>
      <c r="B203" s="445" t="s">
        <v>1205</v>
      </c>
      <c r="C203" s="445" t="s">
        <v>658</v>
      </c>
      <c r="D203" s="445" t="s">
        <v>832</v>
      </c>
      <c r="E203" s="474" t="s">
        <v>869</v>
      </c>
      <c r="F203" s="446"/>
      <c r="G203" s="553">
        <f>G204</f>
        <v>0</v>
      </c>
      <c r="H203" s="554"/>
      <c r="I203" s="553">
        <f t="shared" si="4"/>
        <v>0</v>
      </c>
      <c r="J203" s="553">
        <f>J204</f>
        <v>0</v>
      </c>
      <c r="K203" s="554"/>
      <c r="L203" s="553">
        <f t="shared" si="5"/>
        <v>0</v>
      </c>
    </row>
    <row r="204" spans="1:12" ht="26.25" hidden="1">
      <c r="A204" s="607" t="s">
        <v>870</v>
      </c>
      <c r="B204" s="445" t="s">
        <v>1205</v>
      </c>
      <c r="C204" s="445" t="s">
        <v>658</v>
      </c>
      <c r="D204" s="445" t="s">
        <v>832</v>
      </c>
      <c r="E204" s="474" t="s">
        <v>869</v>
      </c>
      <c r="F204" s="446" t="s">
        <v>871</v>
      </c>
      <c r="G204" s="553"/>
      <c r="H204" s="554"/>
      <c r="I204" s="553">
        <f t="shared" si="4"/>
        <v>0</v>
      </c>
      <c r="J204" s="553"/>
      <c r="K204" s="554"/>
      <c r="L204" s="553">
        <f t="shared" si="5"/>
        <v>0</v>
      </c>
    </row>
    <row r="205" spans="1:12" ht="15" hidden="1">
      <c r="A205" s="609" t="s">
        <v>872</v>
      </c>
      <c r="B205" s="445" t="s">
        <v>1205</v>
      </c>
      <c r="C205" s="445" t="s">
        <v>658</v>
      </c>
      <c r="D205" s="445" t="s">
        <v>832</v>
      </c>
      <c r="E205" s="474" t="s">
        <v>873</v>
      </c>
      <c r="F205" s="446"/>
      <c r="G205" s="553">
        <f>G206</f>
        <v>0</v>
      </c>
      <c r="H205" s="554"/>
      <c r="I205" s="553">
        <f aca="true" t="shared" si="6" ref="I205:I216">G205+H205</f>
        <v>0</v>
      </c>
      <c r="J205" s="553">
        <f>J206</f>
        <v>0</v>
      </c>
      <c r="K205" s="554"/>
      <c r="L205" s="553">
        <f t="shared" si="5"/>
        <v>0</v>
      </c>
    </row>
    <row r="206" spans="1:12" ht="26.25" hidden="1">
      <c r="A206" s="607" t="s">
        <v>870</v>
      </c>
      <c r="B206" s="445" t="s">
        <v>1205</v>
      </c>
      <c r="C206" s="445" t="s">
        <v>658</v>
      </c>
      <c r="D206" s="445" t="s">
        <v>832</v>
      </c>
      <c r="E206" s="474" t="s">
        <v>873</v>
      </c>
      <c r="F206" s="446" t="s">
        <v>871</v>
      </c>
      <c r="G206" s="553"/>
      <c r="H206" s="554"/>
      <c r="I206" s="553">
        <f t="shared" si="6"/>
        <v>0</v>
      </c>
      <c r="J206" s="553"/>
      <c r="K206" s="554"/>
      <c r="L206" s="553">
        <f t="shared" si="5"/>
        <v>0</v>
      </c>
    </row>
    <row r="207" spans="1:12" ht="20.25" customHeight="1">
      <c r="A207" s="607" t="s">
        <v>891</v>
      </c>
      <c r="B207" s="445" t="s">
        <v>1205</v>
      </c>
      <c r="C207" s="445" t="s">
        <v>658</v>
      </c>
      <c r="D207" s="445" t="s">
        <v>892</v>
      </c>
      <c r="E207" s="445"/>
      <c r="F207" s="446"/>
      <c r="G207" s="553">
        <f>G208+G220+G229+G215</f>
        <v>563000</v>
      </c>
      <c r="H207" s="554"/>
      <c r="I207" s="553">
        <f t="shared" si="6"/>
        <v>563000</v>
      </c>
      <c r="J207" s="553">
        <f>J208+J220+J229+J215</f>
        <v>563000</v>
      </c>
      <c r="K207" s="554"/>
      <c r="L207" s="553">
        <f t="shared" si="5"/>
        <v>563000</v>
      </c>
    </row>
    <row r="208" spans="1:12" ht="45" customHeight="1">
      <c r="A208" s="615" t="s">
        <v>893</v>
      </c>
      <c r="B208" s="445" t="s">
        <v>1205</v>
      </c>
      <c r="C208" s="445" t="s">
        <v>658</v>
      </c>
      <c r="D208" s="445" t="s">
        <v>892</v>
      </c>
      <c r="E208" s="445" t="s">
        <v>894</v>
      </c>
      <c r="F208" s="446"/>
      <c r="G208" s="553">
        <f>G209</f>
        <v>200000</v>
      </c>
      <c r="H208" s="554"/>
      <c r="I208" s="553">
        <f t="shared" si="6"/>
        <v>200000</v>
      </c>
      <c r="J208" s="553">
        <f>J209</f>
        <v>200000</v>
      </c>
      <c r="K208" s="554"/>
      <c r="L208" s="553">
        <f t="shared" si="5"/>
        <v>200000</v>
      </c>
    </row>
    <row r="209" spans="1:12" ht="69" customHeight="1">
      <c r="A209" s="623" t="s">
        <v>895</v>
      </c>
      <c r="B209" s="445" t="s">
        <v>1205</v>
      </c>
      <c r="C209" s="457" t="s">
        <v>658</v>
      </c>
      <c r="D209" s="457" t="s">
        <v>892</v>
      </c>
      <c r="E209" s="457" t="s">
        <v>896</v>
      </c>
      <c r="F209" s="464"/>
      <c r="G209" s="555">
        <f>G210</f>
        <v>200000</v>
      </c>
      <c r="H209" s="554"/>
      <c r="I209" s="553">
        <f t="shared" si="6"/>
        <v>200000</v>
      </c>
      <c r="J209" s="555">
        <f>J210</f>
        <v>200000</v>
      </c>
      <c r="K209" s="554"/>
      <c r="L209" s="553">
        <f t="shared" si="5"/>
        <v>200000</v>
      </c>
    </row>
    <row r="210" spans="1:12" ht="41.25" customHeight="1">
      <c r="A210" s="567" t="s">
        <v>897</v>
      </c>
      <c r="B210" s="445" t="s">
        <v>1205</v>
      </c>
      <c r="C210" s="445" t="s">
        <v>658</v>
      </c>
      <c r="D210" s="445" t="s">
        <v>892</v>
      </c>
      <c r="E210" s="445" t="s">
        <v>898</v>
      </c>
      <c r="F210" s="446"/>
      <c r="G210" s="553">
        <f>G211+G213</f>
        <v>200000</v>
      </c>
      <c r="H210" s="554"/>
      <c r="I210" s="553">
        <f t="shared" si="6"/>
        <v>200000</v>
      </c>
      <c r="J210" s="553">
        <f>J211+J213</f>
        <v>200000</v>
      </c>
      <c r="K210" s="554"/>
      <c r="L210" s="553">
        <f t="shared" si="5"/>
        <v>200000</v>
      </c>
    </row>
    <row r="211" spans="1:12" ht="0.75" customHeight="1" hidden="1">
      <c r="A211" s="608" t="s">
        <v>899</v>
      </c>
      <c r="B211" s="445" t="s">
        <v>1205</v>
      </c>
      <c r="C211" s="445" t="s">
        <v>658</v>
      </c>
      <c r="D211" s="445" t="s">
        <v>892</v>
      </c>
      <c r="E211" s="445" t="s">
        <v>900</v>
      </c>
      <c r="F211" s="446"/>
      <c r="G211" s="553">
        <f>G212</f>
        <v>0</v>
      </c>
      <c r="H211" s="554"/>
      <c r="I211" s="553">
        <f t="shared" si="6"/>
        <v>0</v>
      </c>
      <c r="J211" s="553">
        <f>J212</f>
        <v>0</v>
      </c>
      <c r="K211" s="554"/>
      <c r="L211" s="553">
        <f t="shared" si="5"/>
        <v>0</v>
      </c>
    </row>
    <row r="212" spans="1:12" ht="26.25" customHeight="1" hidden="1">
      <c r="A212" s="609" t="s">
        <v>654</v>
      </c>
      <c r="B212" s="445" t="s">
        <v>1205</v>
      </c>
      <c r="C212" s="445" t="s">
        <v>658</v>
      </c>
      <c r="D212" s="445" t="s">
        <v>892</v>
      </c>
      <c r="E212" s="445" t="s">
        <v>900</v>
      </c>
      <c r="F212" s="446" t="s">
        <v>655</v>
      </c>
      <c r="G212" s="553"/>
      <c r="H212" s="554"/>
      <c r="I212" s="553">
        <f t="shared" si="6"/>
        <v>0</v>
      </c>
      <c r="J212" s="553"/>
      <c r="K212" s="554"/>
      <c r="L212" s="553">
        <f t="shared" si="5"/>
        <v>0</v>
      </c>
    </row>
    <row r="213" spans="1:12" ht="15">
      <c r="A213" s="608" t="s">
        <v>901</v>
      </c>
      <c r="B213" s="445" t="s">
        <v>1205</v>
      </c>
      <c r="C213" s="445" t="s">
        <v>658</v>
      </c>
      <c r="D213" s="445" t="s">
        <v>892</v>
      </c>
      <c r="E213" s="445" t="s">
        <v>902</v>
      </c>
      <c r="F213" s="446"/>
      <c r="G213" s="553">
        <f>G214</f>
        <v>200000</v>
      </c>
      <c r="H213" s="554"/>
      <c r="I213" s="553">
        <f t="shared" si="6"/>
        <v>200000</v>
      </c>
      <c r="J213" s="553">
        <f>J214</f>
        <v>200000</v>
      </c>
      <c r="K213" s="554"/>
      <c r="L213" s="553">
        <f t="shared" si="5"/>
        <v>200000</v>
      </c>
    </row>
    <row r="214" spans="1:12" ht="29.25" customHeight="1">
      <c r="A214" s="609" t="s">
        <v>654</v>
      </c>
      <c r="B214" s="445" t="s">
        <v>1205</v>
      </c>
      <c r="C214" s="445" t="s">
        <v>658</v>
      </c>
      <c r="D214" s="445" t="s">
        <v>892</v>
      </c>
      <c r="E214" s="445" t="s">
        <v>902</v>
      </c>
      <c r="F214" s="446" t="s">
        <v>655</v>
      </c>
      <c r="G214" s="553">
        <v>200000</v>
      </c>
      <c r="H214" s="554"/>
      <c r="I214" s="553">
        <f t="shared" si="6"/>
        <v>200000</v>
      </c>
      <c r="J214" s="553">
        <v>200000</v>
      </c>
      <c r="K214" s="554"/>
      <c r="L214" s="553">
        <f t="shared" si="5"/>
        <v>200000</v>
      </c>
    </row>
    <row r="215" spans="1:12" ht="54" customHeight="1" hidden="1">
      <c r="A215" s="624" t="s">
        <v>903</v>
      </c>
      <c r="B215" s="445" t="s">
        <v>1205</v>
      </c>
      <c r="C215" s="445" t="s">
        <v>658</v>
      </c>
      <c r="D215" s="445" t="s">
        <v>892</v>
      </c>
      <c r="E215" s="500" t="s">
        <v>904</v>
      </c>
      <c r="F215" s="446"/>
      <c r="G215" s="553">
        <f>G216</f>
        <v>0</v>
      </c>
      <c r="H215" s="554"/>
      <c r="I215" s="553">
        <f t="shared" si="6"/>
        <v>0</v>
      </c>
      <c r="J215" s="553">
        <f>J216</f>
        <v>0</v>
      </c>
      <c r="K215" s="554"/>
      <c r="L215" s="553">
        <f t="shared" si="5"/>
        <v>0</v>
      </c>
    </row>
    <row r="216" spans="1:12" ht="69.75" customHeight="1" hidden="1">
      <c r="A216" s="616" t="s">
        <v>1210</v>
      </c>
      <c r="B216" s="445" t="s">
        <v>1205</v>
      </c>
      <c r="C216" s="445" t="s">
        <v>658</v>
      </c>
      <c r="D216" s="445" t="s">
        <v>892</v>
      </c>
      <c r="E216" s="500" t="s">
        <v>906</v>
      </c>
      <c r="F216" s="446"/>
      <c r="G216" s="553">
        <f>G217</f>
        <v>0</v>
      </c>
      <c r="H216" s="554"/>
      <c r="I216" s="553">
        <f t="shared" si="6"/>
        <v>0</v>
      </c>
      <c r="J216" s="553">
        <f>J217</f>
        <v>0</v>
      </c>
      <c r="K216" s="554"/>
      <c r="L216" s="553">
        <f t="shared" si="5"/>
        <v>0</v>
      </c>
    </row>
    <row r="217" spans="1:12" ht="27" customHeight="1" hidden="1">
      <c r="A217" s="567" t="s">
        <v>907</v>
      </c>
      <c r="B217" s="445" t="s">
        <v>1205</v>
      </c>
      <c r="C217" s="445" t="s">
        <v>658</v>
      </c>
      <c r="D217" s="445" t="s">
        <v>892</v>
      </c>
      <c r="E217" s="500" t="s">
        <v>908</v>
      </c>
      <c r="F217" s="446"/>
      <c r="G217" s="553">
        <f>G218</f>
        <v>0</v>
      </c>
      <c r="H217" s="554"/>
      <c r="I217" s="553">
        <f>I218</f>
        <v>0</v>
      </c>
      <c r="J217" s="553">
        <f>J218</f>
        <v>0</v>
      </c>
      <c r="K217" s="554"/>
      <c r="L217" s="553">
        <f>L218</f>
        <v>0</v>
      </c>
    </row>
    <row r="218" spans="1:12" ht="15.75" customHeight="1" hidden="1">
      <c r="A218" s="606" t="s">
        <v>909</v>
      </c>
      <c r="B218" s="445" t="s">
        <v>1205</v>
      </c>
      <c r="C218" s="445" t="s">
        <v>658</v>
      </c>
      <c r="D218" s="445" t="s">
        <v>892</v>
      </c>
      <c r="E218" s="500" t="s">
        <v>910</v>
      </c>
      <c r="F218" s="446"/>
      <c r="G218" s="553">
        <f>G219</f>
        <v>0</v>
      </c>
      <c r="H218" s="554"/>
      <c r="I218" s="553">
        <f aca="true" t="shared" si="7" ref="I218:I281">G218+H218</f>
        <v>0</v>
      </c>
      <c r="J218" s="553">
        <f>J219</f>
        <v>0</v>
      </c>
      <c r="K218" s="554"/>
      <c r="L218" s="553">
        <f>J218+K218</f>
        <v>0</v>
      </c>
    </row>
    <row r="219" spans="1:12" ht="26.25" customHeight="1" hidden="1">
      <c r="A219" s="609" t="s">
        <v>654</v>
      </c>
      <c r="B219" s="445" t="s">
        <v>1205</v>
      </c>
      <c r="C219" s="445" t="s">
        <v>658</v>
      </c>
      <c r="D219" s="445" t="s">
        <v>892</v>
      </c>
      <c r="E219" s="500" t="s">
        <v>910</v>
      </c>
      <c r="F219" s="446" t="s">
        <v>655</v>
      </c>
      <c r="G219" s="553"/>
      <c r="H219" s="554"/>
      <c r="I219" s="553">
        <f t="shared" si="7"/>
        <v>0</v>
      </c>
      <c r="J219" s="553"/>
      <c r="K219" s="554"/>
      <c r="L219" s="553">
        <f>J219+K219</f>
        <v>0</v>
      </c>
    </row>
    <row r="220" spans="1:12" ht="51.75" customHeight="1">
      <c r="A220" s="615" t="s">
        <v>911</v>
      </c>
      <c r="B220" s="445" t="s">
        <v>1205</v>
      </c>
      <c r="C220" s="445" t="s">
        <v>658</v>
      </c>
      <c r="D220" s="445" t="s">
        <v>892</v>
      </c>
      <c r="E220" s="485" t="s">
        <v>912</v>
      </c>
      <c r="F220" s="446"/>
      <c r="G220" s="553">
        <f>G221</f>
        <v>330000</v>
      </c>
      <c r="H220" s="554"/>
      <c r="I220" s="553">
        <f t="shared" si="7"/>
        <v>330000</v>
      </c>
      <c r="J220" s="553">
        <f>J221</f>
        <v>330000</v>
      </c>
      <c r="K220" s="554"/>
      <c r="L220" s="553">
        <f t="shared" si="5"/>
        <v>330000</v>
      </c>
    </row>
    <row r="221" spans="1:12" ht="72" customHeight="1">
      <c r="A221" s="616" t="s">
        <v>913</v>
      </c>
      <c r="B221" s="445" t="s">
        <v>1205</v>
      </c>
      <c r="C221" s="457" t="s">
        <v>658</v>
      </c>
      <c r="D221" s="457" t="s">
        <v>892</v>
      </c>
      <c r="E221" s="501" t="s">
        <v>914</v>
      </c>
      <c r="F221" s="464"/>
      <c r="G221" s="555">
        <f>G222</f>
        <v>330000</v>
      </c>
      <c r="H221" s="554"/>
      <c r="I221" s="553">
        <f t="shared" si="7"/>
        <v>330000</v>
      </c>
      <c r="J221" s="555">
        <f>J222</f>
        <v>330000</v>
      </c>
      <c r="K221" s="554"/>
      <c r="L221" s="553">
        <f t="shared" si="5"/>
        <v>330000</v>
      </c>
    </row>
    <row r="222" spans="1:12" ht="36" customHeight="1">
      <c r="A222" s="567" t="s">
        <v>915</v>
      </c>
      <c r="B222" s="445" t="s">
        <v>1205</v>
      </c>
      <c r="C222" s="445" t="s">
        <v>658</v>
      </c>
      <c r="D222" s="445" t="s">
        <v>892</v>
      </c>
      <c r="E222" s="470" t="s">
        <v>916</v>
      </c>
      <c r="F222" s="456"/>
      <c r="G222" s="553">
        <f>G227+G223+G225</f>
        <v>330000</v>
      </c>
      <c r="H222" s="554"/>
      <c r="I222" s="553">
        <f t="shared" si="7"/>
        <v>330000</v>
      </c>
      <c r="J222" s="553">
        <f>J227+J223+J225</f>
        <v>330000</v>
      </c>
      <c r="K222" s="554"/>
      <c r="L222" s="553">
        <f t="shared" si="5"/>
        <v>330000</v>
      </c>
    </row>
    <row r="223" spans="1:12" ht="35.25" customHeight="1" hidden="1">
      <c r="A223" s="567" t="s">
        <v>917</v>
      </c>
      <c r="B223" s="445" t="s">
        <v>1205</v>
      </c>
      <c r="C223" s="445" t="s">
        <v>658</v>
      </c>
      <c r="D223" s="445" t="s">
        <v>892</v>
      </c>
      <c r="E223" s="470" t="s">
        <v>918</v>
      </c>
      <c r="F223" s="456"/>
      <c r="G223" s="553">
        <f>G224</f>
        <v>0</v>
      </c>
      <c r="H223" s="554"/>
      <c r="I223" s="553">
        <f t="shared" si="7"/>
        <v>0</v>
      </c>
      <c r="J223" s="553">
        <f>J224</f>
        <v>0</v>
      </c>
      <c r="K223" s="554"/>
      <c r="L223" s="553">
        <f t="shared" si="5"/>
        <v>0</v>
      </c>
    </row>
    <row r="224" spans="1:12" ht="15" customHeight="1" hidden="1">
      <c r="A224" s="625" t="s">
        <v>814</v>
      </c>
      <c r="B224" s="445" t="s">
        <v>1205</v>
      </c>
      <c r="C224" s="445" t="s">
        <v>658</v>
      </c>
      <c r="D224" s="445" t="s">
        <v>892</v>
      </c>
      <c r="E224" s="470" t="s">
        <v>918</v>
      </c>
      <c r="F224" s="456" t="s">
        <v>815</v>
      </c>
      <c r="G224" s="553"/>
      <c r="H224" s="554"/>
      <c r="I224" s="553">
        <f t="shared" si="7"/>
        <v>0</v>
      </c>
      <c r="J224" s="553"/>
      <c r="K224" s="554"/>
      <c r="L224" s="553">
        <f>J224+K224</f>
        <v>0</v>
      </c>
    </row>
    <row r="225" spans="1:12" ht="30" customHeight="1">
      <c r="A225" s="567" t="s">
        <v>919</v>
      </c>
      <c r="B225" s="445" t="s">
        <v>1205</v>
      </c>
      <c r="C225" s="445" t="s">
        <v>658</v>
      </c>
      <c r="D225" s="445" t="s">
        <v>892</v>
      </c>
      <c r="E225" s="470" t="s">
        <v>920</v>
      </c>
      <c r="F225" s="456"/>
      <c r="G225" s="553">
        <f>G226</f>
        <v>330000</v>
      </c>
      <c r="H225" s="554"/>
      <c r="I225" s="553">
        <f t="shared" si="7"/>
        <v>330000</v>
      </c>
      <c r="J225" s="553">
        <f>J226</f>
        <v>330000</v>
      </c>
      <c r="K225" s="554"/>
      <c r="L225" s="553">
        <f>J225+K225</f>
        <v>330000</v>
      </c>
    </row>
    <row r="226" spans="1:12" ht="21" customHeight="1">
      <c r="A226" s="625" t="s">
        <v>814</v>
      </c>
      <c r="B226" s="445" t="s">
        <v>1205</v>
      </c>
      <c r="C226" s="445" t="s">
        <v>658</v>
      </c>
      <c r="D226" s="445" t="s">
        <v>892</v>
      </c>
      <c r="E226" s="470" t="s">
        <v>920</v>
      </c>
      <c r="F226" s="456" t="s">
        <v>815</v>
      </c>
      <c r="G226" s="553">
        <v>330000</v>
      </c>
      <c r="H226" s="554"/>
      <c r="I226" s="553">
        <f t="shared" si="7"/>
        <v>330000</v>
      </c>
      <c r="J226" s="553">
        <v>330000</v>
      </c>
      <c r="K226" s="554"/>
      <c r="L226" s="553">
        <f>J226+K226</f>
        <v>330000</v>
      </c>
    </row>
    <row r="227" spans="1:12" ht="45.75" customHeight="1" hidden="1">
      <c r="A227" s="625" t="s">
        <v>921</v>
      </c>
      <c r="B227" s="445" t="s">
        <v>1205</v>
      </c>
      <c r="C227" s="445" t="s">
        <v>658</v>
      </c>
      <c r="D227" s="445" t="s">
        <v>892</v>
      </c>
      <c r="E227" s="470" t="s">
        <v>922</v>
      </c>
      <c r="F227" s="456"/>
      <c r="G227" s="553">
        <f>G228</f>
        <v>0</v>
      </c>
      <c r="H227" s="554"/>
      <c r="I227" s="553">
        <f t="shared" si="7"/>
        <v>0</v>
      </c>
      <c r="J227" s="553">
        <f>J228</f>
        <v>0</v>
      </c>
      <c r="K227" s="554"/>
      <c r="L227" s="553">
        <f aca="true" t="shared" si="8" ref="L227:L290">J227+K227</f>
        <v>0</v>
      </c>
    </row>
    <row r="228" spans="1:12" ht="15" customHeight="1" hidden="1">
      <c r="A228" s="625" t="s">
        <v>814</v>
      </c>
      <c r="B228" s="445" t="s">
        <v>1205</v>
      </c>
      <c r="C228" s="445" t="s">
        <v>658</v>
      </c>
      <c r="D228" s="445" t="s">
        <v>892</v>
      </c>
      <c r="E228" s="470" t="s">
        <v>922</v>
      </c>
      <c r="F228" s="456" t="s">
        <v>815</v>
      </c>
      <c r="G228" s="553">
        <f>400000-400000</f>
        <v>0</v>
      </c>
      <c r="H228" s="554"/>
      <c r="I228" s="553">
        <f t="shared" si="7"/>
        <v>0</v>
      </c>
      <c r="J228" s="553">
        <f>400000-400000</f>
        <v>0</v>
      </c>
      <c r="K228" s="554"/>
      <c r="L228" s="553">
        <f t="shared" si="8"/>
        <v>0</v>
      </c>
    </row>
    <row r="229" spans="1:12" ht="38.25">
      <c r="A229" s="616" t="s">
        <v>923</v>
      </c>
      <c r="B229" s="445" t="s">
        <v>1205</v>
      </c>
      <c r="C229" s="445" t="s">
        <v>658</v>
      </c>
      <c r="D229" s="445" t="s">
        <v>892</v>
      </c>
      <c r="E229" s="445" t="s">
        <v>924</v>
      </c>
      <c r="F229" s="456"/>
      <c r="G229" s="553">
        <f>G230+G234</f>
        <v>33000</v>
      </c>
      <c r="H229" s="554"/>
      <c r="I229" s="553">
        <f t="shared" si="7"/>
        <v>33000</v>
      </c>
      <c r="J229" s="553">
        <f>J230+J234</f>
        <v>33000</v>
      </c>
      <c r="K229" s="554"/>
      <c r="L229" s="553">
        <f t="shared" si="8"/>
        <v>33000</v>
      </c>
    </row>
    <row r="230" spans="1:12" ht="66" customHeight="1">
      <c r="A230" s="623" t="s">
        <v>925</v>
      </c>
      <c r="B230" s="445" t="s">
        <v>1205</v>
      </c>
      <c r="C230" s="457" t="s">
        <v>658</v>
      </c>
      <c r="D230" s="457" t="s">
        <v>892</v>
      </c>
      <c r="E230" s="457" t="s">
        <v>926</v>
      </c>
      <c r="F230" s="459"/>
      <c r="G230" s="555">
        <f>G231</f>
        <v>28000</v>
      </c>
      <c r="H230" s="554"/>
      <c r="I230" s="553">
        <f t="shared" si="7"/>
        <v>28000</v>
      </c>
      <c r="J230" s="555">
        <f>J231</f>
        <v>28000</v>
      </c>
      <c r="K230" s="554"/>
      <c r="L230" s="553">
        <f t="shared" si="8"/>
        <v>28000</v>
      </c>
    </row>
    <row r="231" spans="1:12" ht="38.25">
      <c r="A231" s="623" t="s">
        <v>927</v>
      </c>
      <c r="B231" s="445" t="s">
        <v>1205</v>
      </c>
      <c r="C231" s="445" t="s">
        <v>658</v>
      </c>
      <c r="D231" s="445" t="s">
        <v>892</v>
      </c>
      <c r="E231" s="445" t="s">
        <v>928</v>
      </c>
      <c r="F231" s="456"/>
      <c r="G231" s="553">
        <f>G232</f>
        <v>28000</v>
      </c>
      <c r="H231" s="554"/>
      <c r="I231" s="553">
        <f t="shared" si="7"/>
        <v>28000</v>
      </c>
      <c r="J231" s="553">
        <f>J232</f>
        <v>28000</v>
      </c>
      <c r="K231" s="554"/>
      <c r="L231" s="553">
        <f t="shared" si="8"/>
        <v>28000</v>
      </c>
    </row>
    <row r="232" spans="1:12" ht="26.25">
      <c r="A232" s="608" t="s">
        <v>929</v>
      </c>
      <c r="B232" s="445" t="s">
        <v>1205</v>
      </c>
      <c r="C232" s="445" t="s">
        <v>658</v>
      </c>
      <c r="D232" s="445" t="s">
        <v>892</v>
      </c>
      <c r="E232" s="445" t="s">
        <v>930</v>
      </c>
      <c r="F232" s="456"/>
      <c r="G232" s="553">
        <f>G233</f>
        <v>28000</v>
      </c>
      <c r="H232" s="554"/>
      <c r="I232" s="553">
        <f t="shared" si="7"/>
        <v>28000</v>
      </c>
      <c r="J232" s="553">
        <f>J233</f>
        <v>28000</v>
      </c>
      <c r="K232" s="554"/>
      <c r="L232" s="553">
        <f t="shared" si="8"/>
        <v>28000</v>
      </c>
    </row>
    <row r="233" spans="1:12" ht="26.25">
      <c r="A233" s="609" t="s">
        <v>654</v>
      </c>
      <c r="B233" s="445" t="s">
        <v>1205</v>
      </c>
      <c r="C233" s="445" t="s">
        <v>658</v>
      </c>
      <c r="D233" s="445" t="s">
        <v>892</v>
      </c>
      <c r="E233" s="445" t="s">
        <v>930</v>
      </c>
      <c r="F233" s="456" t="s">
        <v>655</v>
      </c>
      <c r="G233" s="553">
        <v>28000</v>
      </c>
      <c r="H233" s="554"/>
      <c r="I233" s="553">
        <f t="shared" si="7"/>
        <v>28000</v>
      </c>
      <c r="J233" s="553">
        <v>28000</v>
      </c>
      <c r="K233" s="554"/>
      <c r="L233" s="553">
        <f t="shared" si="8"/>
        <v>28000</v>
      </c>
    </row>
    <row r="234" spans="1:12" ht="70.5" customHeight="1">
      <c r="A234" s="612" t="s">
        <v>931</v>
      </c>
      <c r="B234" s="445" t="s">
        <v>1205</v>
      </c>
      <c r="C234" s="457" t="s">
        <v>658</v>
      </c>
      <c r="D234" s="457" t="s">
        <v>892</v>
      </c>
      <c r="E234" s="457" t="s">
        <v>932</v>
      </c>
      <c r="F234" s="456"/>
      <c r="G234" s="553">
        <f>G235</f>
        <v>5000</v>
      </c>
      <c r="H234" s="554"/>
      <c r="I234" s="553">
        <f t="shared" si="7"/>
        <v>5000</v>
      </c>
      <c r="J234" s="553">
        <f>J235</f>
        <v>5000</v>
      </c>
      <c r="K234" s="554"/>
      <c r="L234" s="553">
        <f t="shared" si="8"/>
        <v>5000</v>
      </c>
    </row>
    <row r="235" spans="1:12" ht="47.25" customHeight="1">
      <c r="A235" s="623" t="s">
        <v>933</v>
      </c>
      <c r="B235" s="445" t="s">
        <v>1205</v>
      </c>
      <c r="C235" s="445" t="s">
        <v>658</v>
      </c>
      <c r="D235" s="445" t="s">
        <v>892</v>
      </c>
      <c r="E235" s="445" t="s">
        <v>934</v>
      </c>
      <c r="F235" s="456"/>
      <c r="G235" s="553">
        <f>G236</f>
        <v>5000</v>
      </c>
      <c r="H235" s="554"/>
      <c r="I235" s="553">
        <f t="shared" si="7"/>
        <v>5000</v>
      </c>
      <c r="J235" s="553">
        <f>J236</f>
        <v>5000</v>
      </c>
      <c r="K235" s="554"/>
      <c r="L235" s="553">
        <f t="shared" si="8"/>
        <v>5000</v>
      </c>
    </row>
    <row r="236" spans="1:12" ht="26.25">
      <c r="A236" s="609" t="s">
        <v>935</v>
      </c>
      <c r="B236" s="445" t="s">
        <v>1205</v>
      </c>
      <c r="C236" s="445" t="s">
        <v>658</v>
      </c>
      <c r="D236" s="445" t="s">
        <v>892</v>
      </c>
      <c r="E236" s="445" t="s">
        <v>936</v>
      </c>
      <c r="F236" s="456"/>
      <c r="G236" s="553">
        <f>G237</f>
        <v>5000</v>
      </c>
      <c r="H236" s="554"/>
      <c r="I236" s="553">
        <f t="shared" si="7"/>
        <v>5000</v>
      </c>
      <c r="J236" s="553">
        <f>J237</f>
        <v>5000</v>
      </c>
      <c r="K236" s="554"/>
      <c r="L236" s="553">
        <f t="shared" si="8"/>
        <v>5000</v>
      </c>
    </row>
    <row r="237" spans="1:12" ht="32.25" customHeight="1">
      <c r="A237" s="609" t="s">
        <v>654</v>
      </c>
      <c r="B237" s="445" t="s">
        <v>1205</v>
      </c>
      <c r="C237" s="445" t="s">
        <v>658</v>
      </c>
      <c r="D237" s="445" t="s">
        <v>892</v>
      </c>
      <c r="E237" s="445" t="s">
        <v>936</v>
      </c>
      <c r="F237" s="456" t="s">
        <v>655</v>
      </c>
      <c r="G237" s="553">
        <v>5000</v>
      </c>
      <c r="H237" s="554"/>
      <c r="I237" s="553">
        <f t="shared" si="7"/>
        <v>5000</v>
      </c>
      <c r="J237" s="553">
        <v>5000</v>
      </c>
      <c r="K237" s="554"/>
      <c r="L237" s="553">
        <f t="shared" si="8"/>
        <v>5000</v>
      </c>
    </row>
    <row r="238" spans="1:12" ht="19.5" customHeight="1">
      <c r="A238" s="609" t="s">
        <v>937</v>
      </c>
      <c r="B238" s="445" t="s">
        <v>1205</v>
      </c>
      <c r="C238" s="445" t="s">
        <v>710</v>
      </c>
      <c r="D238" s="445"/>
      <c r="E238" s="445"/>
      <c r="F238" s="456"/>
      <c r="G238" s="553">
        <f>G248+G239</f>
        <v>2000000</v>
      </c>
      <c r="H238" s="554"/>
      <c r="I238" s="553">
        <f t="shared" si="7"/>
        <v>2000000</v>
      </c>
      <c r="J238" s="553">
        <f>J248+J239</f>
        <v>2000000</v>
      </c>
      <c r="K238" s="554"/>
      <c r="L238" s="553">
        <f t="shared" si="8"/>
        <v>2000000</v>
      </c>
    </row>
    <row r="239" spans="1:12" ht="15" customHeight="1" hidden="1">
      <c r="A239" s="609" t="s">
        <v>938</v>
      </c>
      <c r="B239" s="445" t="s">
        <v>1205</v>
      </c>
      <c r="C239" s="445" t="s">
        <v>710</v>
      </c>
      <c r="D239" s="445" t="s">
        <v>633</v>
      </c>
      <c r="E239" s="445"/>
      <c r="F239" s="456"/>
      <c r="G239" s="553">
        <f>G240</f>
        <v>0</v>
      </c>
      <c r="H239" s="554"/>
      <c r="I239" s="553">
        <f t="shared" si="7"/>
        <v>0</v>
      </c>
      <c r="J239" s="553">
        <f>J240</f>
        <v>0</v>
      </c>
      <c r="K239" s="554"/>
      <c r="L239" s="553">
        <f t="shared" si="8"/>
        <v>0</v>
      </c>
    </row>
    <row r="240" spans="1:12" ht="39" customHeight="1" hidden="1">
      <c r="A240" s="609" t="s">
        <v>939</v>
      </c>
      <c r="B240" s="445" t="s">
        <v>1205</v>
      </c>
      <c r="C240" s="445" t="s">
        <v>710</v>
      </c>
      <c r="D240" s="445" t="s">
        <v>633</v>
      </c>
      <c r="E240" s="445" t="s">
        <v>912</v>
      </c>
      <c r="F240" s="456"/>
      <c r="G240" s="553">
        <f>G241</f>
        <v>0</v>
      </c>
      <c r="H240" s="554"/>
      <c r="I240" s="553">
        <f t="shared" si="7"/>
        <v>0</v>
      </c>
      <c r="J240" s="553">
        <f>J241</f>
        <v>0</v>
      </c>
      <c r="K240" s="554"/>
      <c r="L240" s="553">
        <f t="shared" si="8"/>
        <v>0</v>
      </c>
    </row>
    <row r="241" spans="1:12" ht="64.5" customHeight="1" hidden="1">
      <c r="A241" s="609" t="s">
        <v>940</v>
      </c>
      <c r="B241" s="445" t="s">
        <v>1205</v>
      </c>
      <c r="C241" s="445" t="s">
        <v>710</v>
      </c>
      <c r="D241" s="445" t="s">
        <v>633</v>
      </c>
      <c r="E241" s="445" t="s">
        <v>914</v>
      </c>
      <c r="F241" s="456"/>
      <c r="G241" s="553">
        <f>G242</f>
        <v>0</v>
      </c>
      <c r="H241" s="554"/>
      <c r="I241" s="553">
        <f t="shared" si="7"/>
        <v>0</v>
      </c>
      <c r="J241" s="553">
        <f>J242</f>
        <v>0</v>
      </c>
      <c r="K241" s="554"/>
      <c r="L241" s="553">
        <f t="shared" si="8"/>
        <v>0</v>
      </c>
    </row>
    <row r="242" spans="1:12" ht="64.5" customHeight="1" hidden="1">
      <c r="A242" s="609" t="s">
        <v>941</v>
      </c>
      <c r="B242" s="445" t="s">
        <v>1205</v>
      </c>
      <c r="C242" s="445" t="s">
        <v>710</v>
      </c>
      <c r="D242" s="445" t="s">
        <v>633</v>
      </c>
      <c r="E242" s="445" t="s">
        <v>942</v>
      </c>
      <c r="F242" s="456"/>
      <c r="G242" s="553">
        <f>G243+G245</f>
        <v>0</v>
      </c>
      <c r="H242" s="554"/>
      <c r="I242" s="553">
        <f t="shared" si="7"/>
        <v>0</v>
      </c>
      <c r="J242" s="553">
        <f>J243+J245</f>
        <v>0</v>
      </c>
      <c r="K242" s="554"/>
      <c r="L242" s="553">
        <f t="shared" si="8"/>
        <v>0</v>
      </c>
    </row>
    <row r="243" spans="1:12" ht="26.25" customHeight="1" hidden="1">
      <c r="A243" s="609" t="s">
        <v>943</v>
      </c>
      <c r="B243" s="445" t="s">
        <v>1205</v>
      </c>
      <c r="C243" s="445" t="s">
        <v>710</v>
      </c>
      <c r="D243" s="445" t="s">
        <v>633</v>
      </c>
      <c r="E243" s="445" t="s">
        <v>944</v>
      </c>
      <c r="F243" s="456"/>
      <c r="G243" s="553">
        <f>G244</f>
        <v>0</v>
      </c>
      <c r="H243" s="554"/>
      <c r="I243" s="553">
        <f t="shared" si="7"/>
        <v>0</v>
      </c>
      <c r="J243" s="553">
        <f>J244</f>
        <v>0</v>
      </c>
      <c r="K243" s="554"/>
      <c r="L243" s="553">
        <f t="shared" si="8"/>
        <v>0</v>
      </c>
    </row>
    <row r="244" spans="1:12" ht="26.25" customHeight="1" hidden="1">
      <c r="A244" s="625" t="s">
        <v>870</v>
      </c>
      <c r="B244" s="445" t="s">
        <v>1205</v>
      </c>
      <c r="C244" s="445" t="s">
        <v>710</v>
      </c>
      <c r="D244" s="445" t="s">
        <v>633</v>
      </c>
      <c r="E244" s="445" t="s">
        <v>944</v>
      </c>
      <c r="F244" s="456" t="s">
        <v>871</v>
      </c>
      <c r="G244" s="553"/>
      <c r="H244" s="554"/>
      <c r="I244" s="553">
        <f t="shared" si="7"/>
        <v>0</v>
      </c>
      <c r="J244" s="553"/>
      <c r="K244" s="554"/>
      <c r="L244" s="553">
        <f t="shared" si="8"/>
        <v>0</v>
      </c>
    </row>
    <row r="245" spans="1:12" ht="26.25" customHeight="1" hidden="1">
      <c r="A245" s="625" t="s">
        <v>945</v>
      </c>
      <c r="B245" s="445" t="s">
        <v>1205</v>
      </c>
      <c r="C245" s="445" t="s">
        <v>710</v>
      </c>
      <c r="D245" s="445" t="s">
        <v>633</v>
      </c>
      <c r="E245" s="445" t="s">
        <v>946</v>
      </c>
      <c r="F245" s="456"/>
      <c r="G245" s="553">
        <f>G247+G246</f>
        <v>0</v>
      </c>
      <c r="H245" s="554"/>
      <c r="I245" s="553">
        <f t="shared" si="7"/>
        <v>0</v>
      </c>
      <c r="J245" s="553">
        <f>J247+J246</f>
        <v>0</v>
      </c>
      <c r="K245" s="554"/>
      <c r="L245" s="553">
        <f t="shared" si="8"/>
        <v>0</v>
      </c>
    </row>
    <row r="246" spans="1:12" ht="26.25" customHeight="1" hidden="1">
      <c r="A246" s="609" t="s">
        <v>654</v>
      </c>
      <c r="B246" s="445" t="s">
        <v>1205</v>
      </c>
      <c r="C246" s="445" t="s">
        <v>710</v>
      </c>
      <c r="D246" s="445" t="s">
        <v>633</v>
      </c>
      <c r="E246" s="445" t="s">
        <v>946</v>
      </c>
      <c r="F246" s="456" t="s">
        <v>655</v>
      </c>
      <c r="G246" s="553"/>
      <c r="H246" s="554"/>
      <c r="I246" s="553">
        <f t="shared" si="7"/>
        <v>0</v>
      </c>
      <c r="J246" s="553"/>
      <c r="K246" s="554"/>
      <c r="L246" s="553">
        <f t="shared" si="8"/>
        <v>0</v>
      </c>
    </row>
    <row r="247" spans="1:12" ht="26.25" customHeight="1" hidden="1">
      <c r="A247" s="625" t="s">
        <v>870</v>
      </c>
      <c r="B247" s="445" t="s">
        <v>1205</v>
      </c>
      <c r="C247" s="445" t="s">
        <v>710</v>
      </c>
      <c r="D247" s="445" t="s">
        <v>633</v>
      </c>
      <c r="E247" s="445" t="s">
        <v>946</v>
      </c>
      <c r="F247" s="456" t="s">
        <v>871</v>
      </c>
      <c r="G247" s="553"/>
      <c r="H247" s="554"/>
      <c r="I247" s="553">
        <f t="shared" si="7"/>
        <v>0</v>
      </c>
      <c r="J247" s="553"/>
      <c r="K247" s="554"/>
      <c r="L247" s="553">
        <f t="shared" si="8"/>
        <v>0</v>
      </c>
    </row>
    <row r="248" spans="1:12" ht="15">
      <c r="A248" s="609" t="s">
        <v>947</v>
      </c>
      <c r="B248" s="445" t="s">
        <v>1205</v>
      </c>
      <c r="C248" s="445" t="s">
        <v>710</v>
      </c>
      <c r="D248" s="445" t="s">
        <v>635</v>
      </c>
      <c r="E248" s="445"/>
      <c r="F248" s="456"/>
      <c r="G248" s="553">
        <f>G249+G260+G270+G262</f>
        <v>2000000</v>
      </c>
      <c r="H248" s="554"/>
      <c r="I248" s="553">
        <f t="shared" si="7"/>
        <v>2000000</v>
      </c>
      <c r="J248" s="553">
        <f>J249+J260+J270+J262</f>
        <v>2000000</v>
      </c>
      <c r="K248" s="554"/>
      <c r="L248" s="553">
        <f t="shared" si="8"/>
        <v>2000000</v>
      </c>
    </row>
    <row r="249" spans="1:12" ht="39">
      <c r="A249" s="606" t="s">
        <v>948</v>
      </c>
      <c r="B249" s="445" t="s">
        <v>1205</v>
      </c>
      <c r="C249" s="445" t="s">
        <v>710</v>
      </c>
      <c r="D249" s="445" t="s">
        <v>635</v>
      </c>
      <c r="E249" s="474" t="s">
        <v>949</v>
      </c>
      <c r="F249" s="456"/>
      <c r="G249" s="553">
        <f>G250</f>
        <v>500000</v>
      </c>
      <c r="H249" s="554"/>
      <c r="I249" s="553">
        <f t="shared" si="7"/>
        <v>500000</v>
      </c>
      <c r="J249" s="553">
        <f>J250</f>
        <v>500000</v>
      </c>
      <c r="K249" s="554"/>
      <c r="L249" s="553">
        <f t="shared" si="8"/>
        <v>500000</v>
      </c>
    </row>
    <row r="250" spans="1:12" ht="51.75">
      <c r="A250" s="626" t="s">
        <v>950</v>
      </c>
      <c r="B250" s="445" t="s">
        <v>1205</v>
      </c>
      <c r="C250" s="457" t="s">
        <v>710</v>
      </c>
      <c r="D250" s="457" t="s">
        <v>635</v>
      </c>
      <c r="E250" s="482" t="s">
        <v>1211</v>
      </c>
      <c r="F250" s="459"/>
      <c r="G250" s="555">
        <f>G251</f>
        <v>500000</v>
      </c>
      <c r="H250" s="554"/>
      <c r="I250" s="553">
        <f t="shared" si="7"/>
        <v>500000</v>
      </c>
      <c r="J250" s="555">
        <f>J251</f>
        <v>500000</v>
      </c>
      <c r="K250" s="554"/>
      <c r="L250" s="553">
        <f t="shared" si="8"/>
        <v>500000</v>
      </c>
    </row>
    <row r="251" spans="1:12" ht="24.75" customHeight="1">
      <c r="A251" s="567" t="s">
        <v>952</v>
      </c>
      <c r="B251" s="445" t="s">
        <v>1205</v>
      </c>
      <c r="C251" s="445" t="s">
        <v>710</v>
      </c>
      <c r="D251" s="445" t="s">
        <v>635</v>
      </c>
      <c r="E251" s="474" t="s">
        <v>1212</v>
      </c>
      <c r="F251" s="456"/>
      <c r="G251" s="553">
        <f>G252+G254+G256+G258</f>
        <v>500000</v>
      </c>
      <c r="H251" s="554"/>
      <c r="I251" s="553">
        <f t="shared" si="7"/>
        <v>500000</v>
      </c>
      <c r="J251" s="553">
        <f>J252+J254+J256+J258</f>
        <v>500000</v>
      </c>
      <c r="K251" s="554"/>
      <c r="L251" s="553">
        <f t="shared" si="8"/>
        <v>500000</v>
      </c>
    </row>
    <row r="252" spans="1:12" ht="39" customHeight="1" hidden="1">
      <c r="A252" s="611" t="s">
        <v>1262</v>
      </c>
      <c r="B252" s="445" t="s">
        <v>1205</v>
      </c>
      <c r="C252" s="445" t="s">
        <v>710</v>
      </c>
      <c r="D252" s="445" t="s">
        <v>635</v>
      </c>
      <c r="E252" s="474" t="s">
        <v>1263</v>
      </c>
      <c r="F252" s="456"/>
      <c r="G252" s="553">
        <f>G253</f>
        <v>0</v>
      </c>
      <c r="H252" s="554"/>
      <c r="I252" s="553">
        <f t="shared" si="7"/>
        <v>0</v>
      </c>
      <c r="J252" s="553">
        <f>J253</f>
        <v>0</v>
      </c>
      <c r="K252" s="554"/>
      <c r="L252" s="553">
        <f t="shared" si="8"/>
        <v>0</v>
      </c>
    </row>
    <row r="253" spans="1:12" ht="15" customHeight="1" hidden="1">
      <c r="A253" s="625" t="s">
        <v>814</v>
      </c>
      <c r="B253" s="445" t="s">
        <v>1205</v>
      </c>
      <c r="C253" s="445" t="s">
        <v>710</v>
      </c>
      <c r="D253" s="445" t="s">
        <v>635</v>
      </c>
      <c r="E253" s="474" t="s">
        <v>1263</v>
      </c>
      <c r="F253" s="456" t="s">
        <v>815</v>
      </c>
      <c r="G253" s="553"/>
      <c r="H253" s="554"/>
      <c r="I253" s="553">
        <f t="shared" si="7"/>
        <v>0</v>
      </c>
      <c r="J253" s="553"/>
      <c r="K253" s="554"/>
      <c r="L253" s="553">
        <f t="shared" si="8"/>
        <v>0</v>
      </c>
    </row>
    <row r="254" spans="1:12" ht="51.75" customHeight="1" hidden="1">
      <c r="A254" s="611" t="s">
        <v>1264</v>
      </c>
      <c r="B254" s="445" t="s">
        <v>1205</v>
      </c>
      <c r="C254" s="445" t="s">
        <v>710</v>
      </c>
      <c r="D254" s="445" t="s">
        <v>635</v>
      </c>
      <c r="E254" s="474" t="s">
        <v>1265</v>
      </c>
      <c r="F254" s="456"/>
      <c r="G254" s="553">
        <f>G255</f>
        <v>0</v>
      </c>
      <c r="H254" s="554"/>
      <c r="I254" s="553">
        <f t="shared" si="7"/>
        <v>0</v>
      </c>
      <c r="J254" s="553">
        <f>J255</f>
        <v>0</v>
      </c>
      <c r="K254" s="554"/>
      <c r="L254" s="553">
        <f t="shared" si="8"/>
        <v>0</v>
      </c>
    </row>
    <row r="255" spans="1:12" ht="15" customHeight="1" hidden="1">
      <c r="A255" s="625" t="s">
        <v>814</v>
      </c>
      <c r="B255" s="445" t="s">
        <v>1205</v>
      </c>
      <c r="C255" s="445" t="s">
        <v>710</v>
      </c>
      <c r="D255" s="445" t="s">
        <v>635</v>
      </c>
      <c r="E255" s="474" t="s">
        <v>1265</v>
      </c>
      <c r="F255" s="456" t="s">
        <v>815</v>
      </c>
      <c r="G255" s="553"/>
      <c r="H255" s="554"/>
      <c r="I255" s="553">
        <f t="shared" si="7"/>
        <v>0</v>
      </c>
      <c r="J255" s="553"/>
      <c r="K255" s="554"/>
      <c r="L255" s="553">
        <f t="shared" si="8"/>
        <v>0</v>
      </c>
    </row>
    <row r="256" spans="1:12" ht="25.5" customHeight="1" hidden="1">
      <c r="A256" s="614" t="s">
        <v>953</v>
      </c>
      <c r="B256" s="445" t="s">
        <v>1205</v>
      </c>
      <c r="C256" s="445" t="s">
        <v>710</v>
      </c>
      <c r="D256" s="445" t="s">
        <v>635</v>
      </c>
      <c r="E256" s="474" t="s">
        <v>1266</v>
      </c>
      <c r="F256" s="456"/>
      <c r="G256" s="553">
        <f>G257</f>
        <v>0</v>
      </c>
      <c r="H256" s="554"/>
      <c r="I256" s="553">
        <f t="shared" si="7"/>
        <v>0</v>
      </c>
      <c r="J256" s="553">
        <f>J257</f>
        <v>0</v>
      </c>
      <c r="K256" s="554"/>
      <c r="L256" s="553">
        <f t="shared" si="8"/>
        <v>0</v>
      </c>
    </row>
    <row r="257" spans="1:12" ht="15" customHeight="1" hidden="1">
      <c r="A257" s="625" t="s">
        <v>814</v>
      </c>
      <c r="B257" s="445"/>
      <c r="C257" s="445" t="s">
        <v>710</v>
      </c>
      <c r="D257" s="445" t="s">
        <v>635</v>
      </c>
      <c r="E257" s="474" t="s">
        <v>1266</v>
      </c>
      <c r="F257" s="456" t="s">
        <v>815</v>
      </c>
      <c r="G257" s="553"/>
      <c r="H257" s="554"/>
      <c r="I257" s="553">
        <f t="shared" si="7"/>
        <v>0</v>
      </c>
      <c r="J257" s="553"/>
      <c r="K257" s="554"/>
      <c r="L257" s="553">
        <f t="shared" si="8"/>
        <v>0</v>
      </c>
    </row>
    <row r="258" spans="1:12" ht="38.25">
      <c r="A258" s="475" t="s">
        <v>955</v>
      </c>
      <c r="B258" s="445" t="s">
        <v>1205</v>
      </c>
      <c r="C258" s="445" t="s">
        <v>710</v>
      </c>
      <c r="D258" s="445" t="s">
        <v>635</v>
      </c>
      <c r="E258" s="474" t="s">
        <v>956</v>
      </c>
      <c r="F258" s="456"/>
      <c r="G258" s="553">
        <f>G259</f>
        <v>500000</v>
      </c>
      <c r="H258" s="554"/>
      <c r="I258" s="553">
        <f t="shared" si="7"/>
        <v>500000</v>
      </c>
      <c r="J258" s="553">
        <f>J259</f>
        <v>500000</v>
      </c>
      <c r="K258" s="554"/>
      <c r="L258" s="553">
        <f t="shared" si="8"/>
        <v>500000</v>
      </c>
    </row>
    <row r="259" spans="1:12" ht="15">
      <c r="A259" s="625" t="s">
        <v>814</v>
      </c>
      <c r="B259" s="445" t="s">
        <v>1205</v>
      </c>
      <c r="C259" s="445" t="s">
        <v>710</v>
      </c>
      <c r="D259" s="445" t="s">
        <v>635</v>
      </c>
      <c r="E259" s="474" t="s">
        <v>956</v>
      </c>
      <c r="F259" s="456" t="s">
        <v>815</v>
      </c>
      <c r="G259" s="553">
        <v>500000</v>
      </c>
      <c r="H259" s="554"/>
      <c r="I259" s="553">
        <f t="shared" si="7"/>
        <v>500000</v>
      </c>
      <c r="J259" s="553">
        <v>500000</v>
      </c>
      <c r="K259" s="554"/>
      <c r="L259" s="553">
        <f t="shared" si="8"/>
        <v>500000</v>
      </c>
    </row>
    <row r="260" spans="1:12" ht="52.5" customHeight="1">
      <c r="A260" s="626" t="s">
        <v>957</v>
      </c>
      <c r="B260" s="445" t="s">
        <v>1205</v>
      </c>
      <c r="C260" s="445" t="s">
        <v>710</v>
      </c>
      <c r="D260" s="445" t="s">
        <v>635</v>
      </c>
      <c r="E260" s="474" t="s">
        <v>912</v>
      </c>
      <c r="F260" s="456"/>
      <c r="G260" s="553">
        <f>G261</f>
        <v>500000</v>
      </c>
      <c r="H260" s="554"/>
      <c r="I260" s="553">
        <f t="shared" si="7"/>
        <v>500000</v>
      </c>
      <c r="J260" s="553">
        <f>J261</f>
        <v>500000</v>
      </c>
      <c r="K260" s="554"/>
      <c r="L260" s="553">
        <f t="shared" si="8"/>
        <v>500000</v>
      </c>
    </row>
    <row r="261" spans="1:12" ht="84" customHeight="1">
      <c r="A261" s="625" t="s">
        <v>958</v>
      </c>
      <c r="B261" s="445" t="s">
        <v>1205</v>
      </c>
      <c r="C261" s="457" t="s">
        <v>710</v>
      </c>
      <c r="D261" s="457" t="s">
        <v>635</v>
      </c>
      <c r="E261" s="482" t="s">
        <v>959</v>
      </c>
      <c r="F261" s="459"/>
      <c r="G261" s="555">
        <f>G267</f>
        <v>500000</v>
      </c>
      <c r="H261" s="554"/>
      <c r="I261" s="553">
        <f t="shared" si="7"/>
        <v>500000</v>
      </c>
      <c r="J261" s="555">
        <f>J267</f>
        <v>500000</v>
      </c>
      <c r="K261" s="554"/>
      <c r="L261" s="553">
        <f t="shared" si="8"/>
        <v>500000</v>
      </c>
    </row>
    <row r="262" spans="1:12" ht="38.25" customHeight="1" hidden="1">
      <c r="A262" s="567" t="s">
        <v>991</v>
      </c>
      <c r="B262" s="445" t="s">
        <v>1205</v>
      </c>
      <c r="C262" s="445" t="s">
        <v>710</v>
      </c>
      <c r="D262" s="445" t="s">
        <v>635</v>
      </c>
      <c r="E262" s="470" t="s">
        <v>992</v>
      </c>
      <c r="F262" s="459"/>
      <c r="G262" s="555">
        <f>G263+G265</f>
        <v>0</v>
      </c>
      <c r="H262" s="554"/>
      <c r="I262" s="553">
        <f t="shared" si="7"/>
        <v>0</v>
      </c>
      <c r="J262" s="555">
        <f>J263+J265</f>
        <v>0</v>
      </c>
      <c r="K262" s="554"/>
      <c r="L262" s="553">
        <f t="shared" si="8"/>
        <v>0</v>
      </c>
    </row>
    <row r="263" spans="1:12" ht="24" customHeight="1" hidden="1">
      <c r="A263" s="614" t="s">
        <v>993</v>
      </c>
      <c r="B263" s="445" t="s">
        <v>1205</v>
      </c>
      <c r="C263" s="445" t="s">
        <v>710</v>
      </c>
      <c r="D263" s="445" t="s">
        <v>635</v>
      </c>
      <c r="E263" s="470" t="s">
        <v>994</v>
      </c>
      <c r="F263" s="456"/>
      <c r="G263" s="555">
        <f>G264</f>
        <v>0</v>
      </c>
      <c r="H263" s="554"/>
      <c r="I263" s="553">
        <f t="shared" si="7"/>
        <v>0</v>
      </c>
      <c r="J263" s="555">
        <f>J264</f>
        <v>0</v>
      </c>
      <c r="K263" s="554"/>
      <c r="L263" s="553">
        <f t="shared" si="8"/>
        <v>0</v>
      </c>
    </row>
    <row r="264" spans="1:12" ht="15" customHeight="1" hidden="1">
      <c r="A264" s="625" t="s">
        <v>814</v>
      </c>
      <c r="B264" s="445" t="s">
        <v>1205</v>
      </c>
      <c r="C264" s="445" t="s">
        <v>710</v>
      </c>
      <c r="D264" s="445" t="s">
        <v>635</v>
      </c>
      <c r="E264" s="470" t="s">
        <v>994</v>
      </c>
      <c r="F264" s="456" t="s">
        <v>815</v>
      </c>
      <c r="G264" s="555"/>
      <c r="H264" s="554"/>
      <c r="I264" s="553">
        <f t="shared" si="7"/>
        <v>0</v>
      </c>
      <c r="J264" s="555"/>
      <c r="K264" s="554"/>
      <c r="L264" s="553">
        <f t="shared" si="8"/>
        <v>0</v>
      </c>
    </row>
    <row r="265" spans="1:12" ht="30" customHeight="1" hidden="1">
      <c r="A265" s="614" t="s">
        <v>995</v>
      </c>
      <c r="B265" s="445" t="s">
        <v>1205</v>
      </c>
      <c r="C265" s="445" t="s">
        <v>710</v>
      </c>
      <c r="D265" s="445" t="s">
        <v>635</v>
      </c>
      <c r="E265" s="470" t="s">
        <v>996</v>
      </c>
      <c r="F265" s="456"/>
      <c r="G265" s="555">
        <f>G266</f>
        <v>0</v>
      </c>
      <c r="H265" s="554"/>
      <c r="I265" s="553">
        <f t="shared" si="7"/>
        <v>0</v>
      </c>
      <c r="J265" s="555">
        <f>J266</f>
        <v>0</v>
      </c>
      <c r="K265" s="554"/>
      <c r="L265" s="553">
        <f t="shared" si="8"/>
        <v>0</v>
      </c>
    </row>
    <row r="266" spans="1:12" ht="15.75" customHeight="1" hidden="1">
      <c r="A266" s="625" t="s">
        <v>814</v>
      </c>
      <c r="B266" s="445" t="s">
        <v>1205</v>
      </c>
      <c r="C266" s="445" t="s">
        <v>710</v>
      </c>
      <c r="D266" s="445" t="s">
        <v>635</v>
      </c>
      <c r="E266" s="470" t="s">
        <v>996</v>
      </c>
      <c r="F266" s="456" t="s">
        <v>815</v>
      </c>
      <c r="G266" s="555"/>
      <c r="H266" s="554"/>
      <c r="I266" s="553">
        <f t="shared" si="7"/>
        <v>0</v>
      </c>
      <c r="J266" s="555"/>
      <c r="K266" s="554"/>
      <c r="L266" s="553">
        <f t="shared" si="8"/>
        <v>0</v>
      </c>
    </row>
    <row r="267" spans="1:12" ht="29.25" customHeight="1">
      <c r="A267" s="567" t="s">
        <v>960</v>
      </c>
      <c r="B267" s="445" t="s">
        <v>1205</v>
      </c>
      <c r="C267" s="445" t="s">
        <v>710</v>
      </c>
      <c r="D267" s="445" t="s">
        <v>635</v>
      </c>
      <c r="E267" s="470" t="s">
        <v>961</v>
      </c>
      <c r="F267" s="456"/>
      <c r="G267" s="553">
        <f>G268</f>
        <v>500000</v>
      </c>
      <c r="H267" s="554"/>
      <c r="I267" s="553">
        <f t="shared" si="7"/>
        <v>500000</v>
      </c>
      <c r="J267" s="553">
        <f>J268</f>
        <v>500000</v>
      </c>
      <c r="K267" s="554"/>
      <c r="L267" s="553">
        <f t="shared" si="8"/>
        <v>500000</v>
      </c>
    </row>
    <row r="268" spans="1:12" ht="39">
      <c r="A268" s="608" t="s">
        <v>962</v>
      </c>
      <c r="B268" s="445" t="s">
        <v>1205</v>
      </c>
      <c r="C268" s="445" t="s">
        <v>710</v>
      </c>
      <c r="D268" s="445" t="s">
        <v>635</v>
      </c>
      <c r="E268" s="470" t="s">
        <v>963</v>
      </c>
      <c r="F268" s="456"/>
      <c r="G268" s="553">
        <f>G269</f>
        <v>500000</v>
      </c>
      <c r="H268" s="554"/>
      <c r="I268" s="553">
        <f t="shared" si="7"/>
        <v>500000</v>
      </c>
      <c r="J268" s="553">
        <f>J269</f>
        <v>500000</v>
      </c>
      <c r="K268" s="554"/>
      <c r="L268" s="553">
        <f t="shared" si="8"/>
        <v>500000</v>
      </c>
    </row>
    <row r="269" spans="1:12" ht="15">
      <c r="A269" s="625" t="s">
        <v>814</v>
      </c>
      <c r="B269" s="445" t="s">
        <v>1205</v>
      </c>
      <c r="C269" s="445" t="s">
        <v>710</v>
      </c>
      <c r="D269" s="445" t="s">
        <v>635</v>
      </c>
      <c r="E269" s="470" t="s">
        <v>963</v>
      </c>
      <c r="F269" s="456" t="s">
        <v>815</v>
      </c>
      <c r="G269" s="553">
        <v>500000</v>
      </c>
      <c r="H269" s="554"/>
      <c r="I269" s="553">
        <f t="shared" si="7"/>
        <v>500000</v>
      </c>
      <c r="J269" s="553">
        <v>500000</v>
      </c>
      <c r="K269" s="554"/>
      <c r="L269" s="553">
        <f t="shared" si="8"/>
        <v>500000</v>
      </c>
    </row>
    <row r="270" spans="1:12" ht="43.5" customHeight="1">
      <c r="A270" s="616" t="s">
        <v>884</v>
      </c>
      <c r="B270" s="445" t="s">
        <v>1205</v>
      </c>
      <c r="C270" s="445" t="s">
        <v>710</v>
      </c>
      <c r="D270" s="445" t="s">
        <v>635</v>
      </c>
      <c r="E270" s="474" t="s">
        <v>885</v>
      </c>
      <c r="F270" s="456"/>
      <c r="G270" s="553">
        <f>G271</f>
        <v>1000000</v>
      </c>
      <c r="H270" s="554"/>
      <c r="I270" s="553">
        <f t="shared" si="7"/>
        <v>1000000</v>
      </c>
      <c r="J270" s="553">
        <f>J271</f>
        <v>1000000</v>
      </c>
      <c r="K270" s="554"/>
      <c r="L270" s="553">
        <f t="shared" si="8"/>
        <v>1000000</v>
      </c>
    </row>
    <row r="271" spans="1:12" ht="66.75" customHeight="1">
      <c r="A271" s="616" t="s">
        <v>964</v>
      </c>
      <c r="B271" s="445" t="s">
        <v>1205</v>
      </c>
      <c r="C271" s="457" t="s">
        <v>710</v>
      </c>
      <c r="D271" s="457" t="s">
        <v>635</v>
      </c>
      <c r="E271" s="482" t="s">
        <v>887</v>
      </c>
      <c r="F271" s="459"/>
      <c r="G271" s="555">
        <f>G279+G272</f>
        <v>1000000</v>
      </c>
      <c r="H271" s="554"/>
      <c r="I271" s="553">
        <f t="shared" si="7"/>
        <v>1000000</v>
      </c>
      <c r="J271" s="555">
        <f>J279+J272</f>
        <v>1000000</v>
      </c>
      <c r="K271" s="554"/>
      <c r="L271" s="553">
        <f t="shared" si="8"/>
        <v>1000000</v>
      </c>
    </row>
    <row r="272" spans="1:12" ht="34.5" customHeight="1" hidden="1">
      <c r="A272" s="614" t="s">
        <v>1267</v>
      </c>
      <c r="B272" s="445" t="s">
        <v>1205</v>
      </c>
      <c r="C272" s="445" t="s">
        <v>710</v>
      </c>
      <c r="D272" s="445" t="s">
        <v>635</v>
      </c>
      <c r="E272" s="474" t="s">
        <v>1268</v>
      </c>
      <c r="F272" s="459"/>
      <c r="G272" s="555">
        <f>G273+G275+G277</f>
        <v>0</v>
      </c>
      <c r="H272" s="554"/>
      <c r="I272" s="553">
        <f t="shared" si="7"/>
        <v>0</v>
      </c>
      <c r="J272" s="555">
        <f>J273+J275+J277</f>
        <v>0</v>
      </c>
      <c r="K272" s="554"/>
      <c r="L272" s="553">
        <f t="shared" si="8"/>
        <v>0</v>
      </c>
    </row>
    <row r="273" spans="1:12" ht="45" customHeight="1" hidden="1">
      <c r="A273" s="614" t="s">
        <v>1269</v>
      </c>
      <c r="B273" s="445" t="s">
        <v>1205</v>
      </c>
      <c r="C273" s="445" t="s">
        <v>710</v>
      </c>
      <c r="D273" s="445" t="s">
        <v>635</v>
      </c>
      <c r="E273" s="445" t="s">
        <v>1270</v>
      </c>
      <c r="F273" s="459"/>
      <c r="G273" s="555">
        <f>G274</f>
        <v>0</v>
      </c>
      <c r="H273" s="554"/>
      <c r="I273" s="553">
        <f t="shared" si="7"/>
        <v>0</v>
      </c>
      <c r="J273" s="555">
        <f>J274</f>
        <v>0</v>
      </c>
      <c r="K273" s="554"/>
      <c r="L273" s="553">
        <f t="shared" si="8"/>
        <v>0</v>
      </c>
    </row>
    <row r="274" spans="1:12" ht="15" customHeight="1" hidden="1">
      <c r="A274" s="625" t="s">
        <v>814</v>
      </c>
      <c r="B274" s="445" t="s">
        <v>1205</v>
      </c>
      <c r="C274" s="445" t="s">
        <v>710</v>
      </c>
      <c r="D274" s="445" t="s">
        <v>635</v>
      </c>
      <c r="E274" s="445" t="s">
        <v>1270</v>
      </c>
      <c r="F274" s="459" t="s">
        <v>815</v>
      </c>
      <c r="G274" s="555"/>
      <c r="H274" s="554"/>
      <c r="I274" s="553">
        <f t="shared" si="7"/>
        <v>0</v>
      </c>
      <c r="J274" s="555"/>
      <c r="K274" s="554"/>
      <c r="L274" s="553">
        <f t="shared" si="8"/>
        <v>0</v>
      </c>
    </row>
    <row r="275" spans="1:12" ht="30" customHeight="1" hidden="1">
      <c r="A275" s="614" t="s">
        <v>1271</v>
      </c>
      <c r="B275" s="445" t="s">
        <v>1205</v>
      </c>
      <c r="C275" s="445" t="s">
        <v>710</v>
      </c>
      <c r="D275" s="445" t="s">
        <v>635</v>
      </c>
      <c r="E275" s="445" t="s">
        <v>1272</v>
      </c>
      <c r="F275" s="459"/>
      <c r="G275" s="555">
        <f>G276</f>
        <v>0</v>
      </c>
      <c r="H275" s="554"/>
      <c r="I275" s="553">
        <f t="shared" si="7"/>
        <v>0</v>
      </c>
      <c r="J275" s="555">
        <f>J276</f>
        <v>0</v>
      </c>
      <c r="K275" s="554"/>
      <c r="L275" s="553">
        <f t="shared" si="8"/>
        <v>0</v>
      </c>
    </row>
    <row r="276" spans="1:12" ht="22.5" customHeight="1" hidden="1">
      <c r="A276" s="625" t="s">
        <v>814</v>
      </c>
      <c r="B276" s="445" t="s">
        <v>1205</v>
      </c>
      <c r="C276" s="445" t="s">
        <v>710</v>
      </c>
      <c r="D276" s="445" t="s">
        <v>635</v>
      </c>
      <c r="E276" s="445" t="s">
        <v>1272</v>
      </c>
      <c r="F276" s="459" t="s">
        <v>815</v>
      </c>
      <c r="G276" s="555"/>
      <c r="H276" s="554"/>
      <c r="I276" s="553">
        <f t="shared" si="7"/>
        <v>0</v>
      </c>
      <c r="J276" s="555"/>
      <c r="K276" s="554"/>
      <c r="L276" s="553">
        <f t="shared" si="8"/>
        <v>0</v>
      </c>
    </row>
    <row r="277" spans="1:12" ht="30" customHeight="1" hidden="1">
      <c r="A277" s="614" t="s">
        <v>1273</v>
      </c>
      <c r="B277" s="445" t="s">
        <v>1205</v>
      </c>
      <c r="C277" s="445" t="s">
        <v>710</v>
      </c>
      <c r="D277" s="445" t="s">
        <v>635</v>
      </c>
      <c r="E277" s="445" t="s">
        <v>1274</v>
      </c>
      <c r="F277" s="459"/>
      <c r="G277" s="555">
        <f>G278</f>
        <v>0</v>
      </c>
      <c r="H277" s="554"/>
      <c r="I277" s="553">
        <f t="shared" si="7"/>
        <v>0</v>
      </c>
      <c r="J277" s="555">
        <f>J278</f>
        <v>0</v>
      </c>
      <c r="K277" s="554"/>
      <c r="L277" s="553">
        <f t="shared" si="8"/>
        <v>0</v>
      </c>
    </row>
    <row r="278" spans="1:12" ht="15" customHeight="1" hidden="1">
      <c r="A278" s="625" t="s">
        <v>814</v>
      </c>
      <c r="B278" s="445" t="s">
        <v>1205</v>
      </c>
      <c r="C278" s="445" t="s">
        <v>710</v>
      </c>
      <c r="D278" s="445" t="s">
        <v>635</v>
      </c>
      <c r="E278" s="445" t="s">
        <v>1274</v>
      </c>
      <c r="F278" s="459" t="s">
        <v>815</v>
      </c>
      <c r="G278" s="555"/>
      <c r="H278" s="554"/>
      <c r="I278" s="553">
        <f t="shared" si="7"/>
        <v>0</v>
      </c>
      <c r="J278" s="555"/>
      <c r="K278" s="554"/>
      <c r="L278" s="553">
        <f t="shared" si="8"/>
        <v>0</v>
      </c>
    </row>
    <row r="279" spans="1:12" ht="18" customHeight="1">
      <c r="A279" s="625" t="s">
        <v>965</v>
      </c>
      <c r="B279" s="445" t="s">
        <v>1205</v>
      </c>
      <c r="C279" s="445" t="s">
        <v>710</v>
      </c>
      <c r="D279" s="445" t="s">
        <v>635</v>
      </c>
      <c r="E279" s="474" t="s">
        <v>966</v>
      </c>
      <c r="F279" s="456"/>
      <c r="G279" s="553">
        <f>G284</f>
        <v>1000000</v>
      </c>
      <c r="H279" s="554"/>
      <c r="I279" s="553">
        <f t="shared" si="7"/>
        <v>1000000</v>
      </c>
      <c r="J279" s="553">
        <f>J284</f>
        <v>1000000</v>
      </c>
      <c r="K279" s="554"/>
      <c r="L279" s="553">
        <f t="shared" si="8"/>
        <v>1000000</v>
      </c>
    </row>
    <row r="280" spans="1:12" ht="39" customHeight="1" hidden="1">
      <c r="A280" s="611" t="s">
        <v>1269</v>
      </c>
      <c r="B280" s="445" t="s">
        <v>1205</v>
      </c>
      <c r="C280" s="445" t="s">
        <v>710</v>
      </c>
      <c r="D280" s="445" t="s">
        <v>635</v>
      </c>
      <c r="E280" s="474" t="s">
        <v>1275</v>
      </c>
      <c r="F280" s="456"/>
      <c r="G280" s="553">
        <f>G281</f>
        <v>0</v>
      </c>
      <c r="H280" s="554"/>
      <c r="I280" s="553">
        <f t="shared" si="7"/>
        <v>0</v>
      </c>
      <c r="J280" s="553">
        <f>J281</f>
        <v>0</v>
      </c>
      <c r="K280" s="554"/>
      <c r="L280" s="553">
        <f t="shared" si="8"/>
        <v>0</v>
      </c>
    </row>
    <row r="281" spans="1:12" ht="15" customHeight="1" hidden="1">
      <c r="A281" s="625" t="s">
        <v>814</v>
      </c>
      <c r="B281" s="445" t="s">
        <v>1205</v>
      </c>
      <c r="C281" s="445" t="s">
        <v>710</v>
      </c>
      <c r="D281" s="445" t="s">
        <v>635</v>
      </c>
      <c r="E281" s="474" t="s">
        <v>1275</v>
      </c>
      <c r="F281" s="456" t="s">
        <v>815</v>
      </c>
      <c r="G281" s="553"/>
      <c r="H281" s="554"/>
      <c r="I281" s="553">
        <f t="shared" si="7"/>
        <v>0</v>
      </c>
      <c r="J281" s="553"/>
      <c r="K281" s="554"/>
      <c r="L281" s="553">
        <f t="shared" si="8"/>
        <v>0</v>
      </c>
    </row>
    <row r="282" spans="1:12" ht="25.5" customHeight="1" hidden="1">
      <c r="A282" s="614" t="s">
        <v>973</v>
      </c>
      <c r="B282" s="445" t="s">
        <v>1205</v>
      </c>
      <c r="C282" s="445" t="s">
        <v>710</v>
      </c>
      <c r="D282" s="445" t="s">
        <v>635</v>
      </c>
      <c r="E282" s="474" t="s">
        <v>1276</v>
      </c>
      <c r="F282" s="456"/>
      <c r="G282" s="553">
        <f>G283</f>
        <v>0</v>
      </c>
      <c r="H282" s="554"/>
      <c r="I282" s="553">
        <f aca="true" t="shared" si="9" ref="I282:I345">G282+H282</f>
        <v>0</v>
      </c>
      <c r="J282" s="553">
        <f>J283</f>
        <v>0</v>
      </c>
      <c r="K282" s="554"/>
      <c r="L282" s="553">
        <f t="shared" si="8"/>
        <v>0</v>
      </c>
    </row>
    <row r="283" spans="1:12" ht="15" customHeight="1" hidden="1">
      <c r="A283" s="625" t="s">
        <v>814</v>
      </c>
      <c r="B283" s="445" t="s">
        <v>1205</v>
      </c>
      <c r="C283" s="445" t="s">
        <v>710</v>
      </c>
      <c r="D283" s="445" t="s">
        <v>635</v>
      </c>
      <c r="E283" s="474" t="s">
        <v>1276</v>
      </c>
      <c r="F283" s="456" t="s">
        <v>815</v>
      </c>
      <c r="G283" s="553"/>
      <c r="H283" s="554"/>
      <c r="I283" s="553">
        <f t="shared" si="9"/>
        <v>0</v>
      </c>
      <c r="J283" s="553"/>
      <c r="K283" s="554"/>
      <c r="L283" s="553">
        <f t="shared" si="8"/>
        <v>0</v>
      </c>
    </row>
    <row r="284" spans="1:12" ht="15">
      <c r="A284" s="475" t="s">
        <v>967</v>
      </c>
      <c r="B284" s="445" t="s">
        <v>1205</v>
      </c>
      <c r="C284" s="445" t="s">
        <v>710</v>
      </c>
      <c r="D284" s="445" t="s">
        <v>635</v>
      </c>
      <c r="E284" s="474" t="s">
        <v>968</v>
      </c>
      <c r="F284" s="456"/>
      <c r="G284" s="553">
        <f>G285</f>
        <v>1000000</v>
      </c>
      <c r="H284" s="554"/>
      <c r="I284" s="553">
        <f t="shared" si="9"/>
        <v>1000000</v>
      </c>
      <c r="J284" s="553">
        <f>J285</f>
        <v>1000000</v>
      </c>
      <c r="K284" s="554"/>
      <c r="L284" s="553">
        <f t="shared" si="8"/>
        <v>1000000</v>
      </c>
    </row>
    <row r="285" spans="1:12" ht="15">
      <c r="A285" s="625" t="s">
        <v>814</v>
      </c>
      <c r="B285" s="445" t="s">
        <v>1205</v>
      </c>
      <c r="C285" s="445" t="s">
        <v>710</v>
      </c>
      <c r="D285" s="445" t="s">
        <v>635</v>
      </c>
      <c r="E285" s="474" t="s">
        <v>968</v>
      </c>
      <c r="F285" s="456" t="s">
        <v>815</v>
      </c>
      <c r="G285" s="553">
        <v>1000000</v>
      </c>
      <c r="H285" s="554"/>
      <c r="I285" s="553">
        <f t="shared" si="9"/>
        <v>1000000</v>
      </c>
      <c r="J285" s="553">
        <v>1000000</v>
      </c>
      <c r="K285" s="554"/>
      <c r="L285" s="553">
        <f t="shared" si="8"/>
        <v>1000000</v>
      </c>
    </row>
    <row r="286" spans="1:12" ht="39" customHeight="1" hidden="1">
      <c r="A286" s="608" t="s">
        <v>962</v>
      </c>
      <c r="B286" s="445" t="s">
        <v>1205</v>
      </c>
      <c r="C286" s="445" t="s">
        <v>710</v>
      </c>
      <c r="D286" s="445" t="s">
        <v>635</v>
      </c>
      <c r="E286" s="474" t="s">
        <v>975</v>
      </c>
      <c r="F286" s="456"/>
      <c r="G286" s="553">
        <f>G287</f>
        <v>0</v>
      </c>
      <c r="H286" s="554"/>
      <c r="I286" s="553">
        <f t="shared" si="9"/>
        <v>0</v>
      </c>
      <c r="J286" s="553">
        <f>J287</f>
        <v>0</v>
      </c>
      <c r="K286" s="554"/>
      <c r="L286" s="627">
        <f t="shared" si="8"/>
        <v>0</v>
      </c>
    </row>
    <row r="287" spans="1:12" ht="15" customHeight="1" hidden="1">
      <c r="A287" s="625" t="s">
        <v>814</v>
      </c>
      <c r="B287" s="445" t="s">
        <v>1205</v>
      </c>
      <c r="C287" s="445" t="s">
        <v>710</v>
      </c>
      <c r="D287" s="445" t="s">
        <v>635</v>
      </c>
      <c r="E287" s="474" t="s">
        <v>975</v>
      </c>
      <c r="F287" s="456" t="s">
        <v>815</v>
      </c>
      <c r="G287" s="553"/>
      <c r="H287" s="554"/>
      <c r="I287" s="553">
        <f t="shared" si="9"/>
        <v>0</v>
      </c>
      <c r="J287" s="553"/>
      <c r="K287" s="554"/>
      <c r="L287" s="627">
        <f t="shared" si="8"/>
        <v>0</v>
      </c>
    </row>
    <row r="288" spans="1:12" ht="13.5" customHeight="1">
      <c r="A288" s="607" t="s">
        <v>980</v>
      </c>
      <c r="B288" s="445" t="s">
        <v>1205</v>
      </c>
      <c r="C288" s="445" t="s">
        <v>721</v>
      </c>
      <c r="D288" s="445"/>
      <c r="E288" s="474"/>
      <c r="F288" s="481"/>
      <c r="G288" s="553">
        <f>G289</f>
        <v>667120</v>
      </c>
      <c r="H288" s="554"/>
      <c r="I288" s="553">
        <f t="shared" si="9"/>
        <v>667120</v>
      </c>
      <c r="J288" s="553">
        <f>J289</f>
        <v>667120</v>
      </c>
      <c r="K288" s="554"/>
      <c r="L288" s="553">
        <f t="shared" si="8"/>
        <v>667120</v>
      </c>
    </row>
    <row r="289" spans="1:12" ht="15">
      <c r="A289" s="607" t="s">
        <v>1214</v>
      </c>
      <c r="B289" s="445" t="s">
        <v>1205</v>
      </c>
      <c r="C289" s="445" t="s">
        <v>721</v>
      </c>
      <c r="D289" s="445" t="s">
        <v>721</v>
      </c>
      <c r="E289" s="445"/>
      <c r="F289" s="446"/>
      <c r="G289" s="553">
        <f>G290</f>
        <v>667120</v>
      </c>
      <c r="H289" s="554"/>
      <c r="I289" s="553">
        <f t="shared" si="9"/>
        <v>667120</v>
      </c>
      <c r="J289" s="553">
        <f>J290</f>
        <v>667120</v>
      </c>
      <c r="K289" s="554"/>
      <c r="L289" s="553">
        <f t="shared" si="8"/>
        <v>667120</v>
      </c>
    </row>
    <row r="290" spans="1:12" ht="57" customHeight="1">
      <c r="A290" s="567" t="s">
        <v>1044</v>
      </c>
      <c r="B290" s="445" t="s">
        <v>1205</v>
      </c>
      <c r="C290" s="445" t="s">
        <v>721</v>
      </c>
      <c r="D290" s="445" t="s">
        <v>721</v>
      </c>
      <c r="E290" s="474" t="s">
        <v>1045</v>
      </c>
      <c r="F290" s="446"/>
      <c r="G290" s="553">
        <f>G291+G296</f>
        <v>667120</v>
      </c>
      <c r="H290" s="554"/>
      <c r="I290" s="553">
        <f t="shared" si="9"/>
        <v>667120</v>
      </c>
      <c r="J290" s="553">
        <f>J291+J296</f>
        <v>667120</v>
      </c>
      <c r="K290" s="554"/>
      <c r="L290" s="553">
        <f t="shared" si="8"/>
        <v>667120</v>
      </c>
    </row>
    <row r="291" spans="1:12" ht="76.5" customHeight="1">
      <c r="A291" s="567" t="s">
        <v>1046</v>
      </c>
      <c r="B291" s="445" t="s">
        <v>1205</v>
      </c>
      <c r="C291" s="457" t="s">
        <v>721</v>
      </c>
      <c r="D291" s="457" t="s">
        <v>721</v>
      </c>
      <c r="E291" s="482" t="s">
        <v>1047</v>
      </c>
      <c r="F291" s="483"/>
      <c r="G291" s="555">
        <f>G292</f>
        <v>85000</v>
      </c>
      <c r="H291" s="554"/>
      <c r="I291" s="553">
        <f t="shared" si="9"/>
        <v>85000</v>
      </c>
      <c r="J291" s="555">
        <f>J292</f>
        <v>85000</v>
      </c>
      <c r="K291" s="554"/>
      <c r="L291" s="553">
        <f aca="true" t="shared" si="10" ref="L291:L354">J291+K291</f>
        <v>85000</v>
      </c>
    </row>
    <row r="292" spans="1:12" ht="39.75" customHeight="1">
      <c r="A292" s="567" t="s">
        <v>1048</v>
      </c>
      <c r="B292" s="445" t="s">
        <v>1205</v>
      </c>
      <c r="C292" s="445" t="s">
        <v>721</v>
      </c>
      <c r="D292" s="445" t="s">
        <v>721</v>
      </c>
      <c r="E292" s="474" t="s">
        <v>1049</v>
      </c>
      <c r="F292" s="481"/>
      <c r="G292" s="553">
        <f>G293</f>
        <v>85000</v>
      </c>
      <c r="H292" s="554"/>
      <c r="I292" s="553">
        <f t="shared" si="9"/>
        <v>85000</v>
      </c>
      <c r="J292" s="553">
        <f>J293</f>
        <v>85000</v>
      </c>
      <c r="K292" s="554"/>
      <c r="L292" s="553">
        <f t="shared" si="10"/>
        <v>85000</v>
      </c>
    </row>
    <row r="293" spans="1:12" ht="19.5" customHeight="1">
      <c r="A293" s="567" t="s">
        <v>1050</v>
      </c>
      <c r="B293" s="445" t="s">
        <v>1205</v>
      </c>
      <c r="C293" s="445" t="s">
        <v>721</v>
      </c>
      <c r="D293" s="445" t="s">
        <v>721</v>
      </c>
      <c r="E293" s="474" t="s">
        <v>1051</v>
      </c>
      <c r="F293" s="481"/>
      <c r="G293" s="553">
        <f>G294+G295</f>
        <v>85000</v>
      </c>
      <c r="H293" s="554"/>
      <c r="I293" s="553">
        <f t="shared" si="9"/>
        <v>85000</v>
      </c>
      <c r="J293" s="553">
        <f>J294+J295</f>
        <v>85000</v>
      </c>
      <c r="K293" s="554"/>
      <c r="L293" s="553">
        <f t="shared" si="10"/>
        <v>85000</v>
      </c>
    </row>
    <row r="294" spans="1:12" ht="27.75" customHeight="1">
      <c r="A294" s="609" t="s">
        <v>654</v>
      </c>
      <c r="B294" s="445" t="s">
        <v>1205</v>
      </c>
      <c r="C294" s="445" t="s">
        <v>721</v>
      </c>
      <c r="D294" s="445" t="s">
        <v>721</v>
      </c>
      <c r="E294" s="474" t="s">
        <v>1051</v>
      </c>
      <c r="F294" s="481" t="s">
        <v>655</v>
      </c>
      <c r="G294" s="553">
        <f>85000-20000</f>
        <v>65000</v>
      </c>
      <c r="H294" s="554"/>
      <c r="I294" s="553">
        <f t="shared" si="9"/>
        <v>65000</v>
      </c>
      <c r="J294" s="553">
        <f>85000-20000</f>
        <v>65000</v>
      </c>
      <c r="K294" s="554"/>
      <c r="L294" s="553">
        <f t="shared" si="10"/>
        <v>65000</v>
      </c>
    </row>
    <row r="295" spans="1:12" ht="19.5" customHeight="1">
      <c r="A295" s="607" t="s">
        <v>827</v>
      </c>
      <c r="B295" s="445" t="s">
        <v>1205</v>
      </c>
      <c r="C295" s="445" t="s">
        <v>721</v>
      </c>
      <c r="D295" s="445" t="s">
        <v>721</v>
      </c>
      <c r="E295" s="474" t="s">
        <v>1051</v>
      </c>
      <c r="F295" s="481" t="s">
        <v>828</v>
      </c>
      <c r="G295" s="553">
        <f>20000</f>
        <v>20000</v>
      </c>
      <c r="H295" s="554"/>
      <c r="I295" s="553">
        <f t="shared" si="9"/>
        <v>20000</v>
      </c>
      <c r="J295" s="553">
        <f>20000</f>
        <v>20000</v>
      </c>
      <c r="K295" s="554"/>
      <c r="L295" s="553">
        <f t="shared" si="10"/>
        <v>20000</v>
      </c>
    </row>
    <row r="296" spans="1:12" ht="55.5" customHeight="1">
      <c r="A296" s="616" t="s">
        <v>1052</v>
      </c>
      <c r="B296" s="445" t="s">
        <v>1205</v>
      </c>
      <c r="C296" s="445" t="s">
        <v>721</v>
      </c>
      <c r="D296" s="445" t="s">
        <v>721</v>
      </c>
      <c r="E296" s="474" t="s">
        <v>1053</v>
      </c>
      <c r="F296" s="481"/>
      <c r="G296" s="553">
        <f>G297</f>
        <v>582120</v>
      </c>
      <c r="H296" s="554"/>
      <c r="I296" s="553">
        <f t="shared" si="9"/>
        <v>582120</v>
      </c>
      <c r="J296" s="553">
        <f>J297</f>
        <v>582120</v>
      </c>
      <c r="K296" s="554"/>
      <c r="L296" s="553">
        <f t="shared" si="10"/>
        <v>582120</v>
      </c>
    </row>
    <row r="297" spans="1:12" ht="39.75" customHeight="1">
      <c r="A297" s="567" t="s">
        <v>1054</v>
      </c>
      <c r="B297" s="445" t="s">
        <v>1205</v>
      </c>
      <c r="C297" s="445" t="s">
        <v>721</v>
      </c>
      <c r="D297" s="445" t="s">
        <v>721</v>
      </c>
      <c r="E297" s="474" t="s">
        <v>1055</v>
      </c>
      <c r="F297" s="481"/>
      <c r="G297" s="553">
        <f>G298+G300</f>
        <v>582120</v>
      </c>
      <c r="H297" s="554"/>
      <c r="I297" s="553">
        <f t="shared" si="9"/>
        <v>582120</v>
      </c>
      <c r="J297" s="553">
        <f>J298+J300</f>
        <v>582120</v>
      </c>
      <c r="K297" s="554"/>
      <c r="L297" s="553">
        <f t="shared" si="10"/>
        <v>582120</v>
      </c>
    </row>
    <row r="298" spans="1:12" ht="15" customHeight="1" hidden="1">
      <c r="A298" s="607" t="s">
        <v>1056</v>
      </c>
      <c r="B298" s="445" t="s">
        <v>1205</v>
      </c>
      <c r="C298" s="445" t="s">
        <v>721</v>
      </c>
      <c r="D298" s="445" t="s">
        <v>721</v>
      </c>
      <c r="E298" s="474" t="s">
        <v>1057</v>
      </c>
      <c r="F298" s="446"/>
      <c r="G298" s="553">
        <f>G299</f>
        <v>0</v>
      </c>
      <c r="H298" s="554"/>
      <c r="I298" s="553">
        <f t="shared" si="9"/>
        <v>0</v>
      </c>
      <c r="J298" s="553">
        <f>J299</f>
        <v>0</v>
      </c>
      <c r="K298" s="554"/>
      <c r="L298" s="553">
        <f t="shared" si="10"/>
        <v>0</v>
      </c>
    </row>
    <row r="299" spans="1:12" ht="15" customHeight="1" hidden="1">
      <c r="A299" s="607" t="s">
        <v>827</v>
      </c>
      <c r="B299" s="445" t="s">
        <v>1205</v>
      </c>
      <c r="C299" s="445" t="s">
        <v>721</v>
      </c>
      <c r="D299" s="445" t="s">
        <v>721</v>
      </c>
      <c r="E299" s="474" t="s">
        <v>1057</v>
      </c>
      <c r="F299" s="481" t="s">
        <v>828</v>
      </c>
      <c r="G299" s="553"/>
      <c r="H299" s="554"/>
      <c r="I299" s="553">
        <f t="shared" si="9"/>
        <v>0</v>
      </c>
      <c r="J299" s="553"/>
      <c r="K299" s="554"/>
      <c r="L299" s="553">
        <f t="shared" si="10"/>
        <v>0</v>
      </c>
    </row>
    <row r="300" spans="1:12" ht="30" customHeight="1">
      <c r="A300" s="611" t="s">
        <v>1058</v>
      </c>
      <c r="B300" s="445" t="s">
        <v>1205</v>
      </c>
      <c r="C300" s="445" t="s">
        <v>721</v>
      </c>
      <c r="D300" s="445" t="s">
        <v>721</v>
      </c>
      <c r="E300" s="474" t="s">
        <v>1059</v>
      </c>
      <c r="F300" s="446"/>
      <c r="G300" s="553">
        <f>G301</f>
        <v>582120</v>
      </c>
      <c r="H300" s="554"/>
      <c r="I300" s="553">
        <f t="shared" si="9"/>
        <v>582120</v>
      </c>
      <c r="J300" s="553">
        <f>J301</f>
        <v>582120</v>
      </c>
      <c r="K300" s="554"/>
      <c r="L300" s="553">
        <f t="shared" si="10"/>
        <v>582120</v>
      </c>
    </row>
    <row r="301" spans="1:12" ht="15">
      <c r="A301" s="607" t="s">
        <v>827</v>
      </c>
      <c r="B301" s="445" t="s">
        <v>1205</v>
      </c>
      <c r="C301" s="445" t="s">
        <v>721</v>
      </c>
      <c r="D301" s="445" t="s">
        <v>721</v>
      </c>
      <c r="E301" s="474" t="s">
        <v>1059</v>
      </c>
      <c r="F301" s="481" t="s">
        <v>828</v>
      </c>
      <c r="G301" s="553">
        <v>582120</v>
      </c>
      <c r="H301" s="554"/>
      <c r="I301" s="553">
        <f t="shared" si="9"/>
        <v>582120</v>
      </c>
      <c r="J301" s="553">
        <v>582120</v>
      </c>
      <c r="K301" s="554"/>
      <c r="L301" s="553">
        <f t="shared" si="10"/>
        <v>582120</v>
      </c>
    </row>
    <row r="302" spans="1:12" ht="15">
      <c r="A302" s="607" t="s">
        <v>1114</v>
      </c>
      <c r="B302" s="445" t="s">
        <v>1205</v>
      </c>
      <c r="C302" s="445" t="s">
        <v>832</v>
      </c>
      <c r="D302" s="445"/>
      <c r="E302" s="474"/>
      <c r="F302" s="481"/>
      <c r="G302" s="553">
        <f>G303</f>
        <v>280884</v>
      </c>
      <c r="H302" s="554"/>
      <c r="I302" s="553">
        <f t="shared" si="9"/>
        <v>280884</v>
      </c>
      <c r="J302" s="553">
        <f>J303</f>
        <v>280884</v>
      </c>
      <c r="K302" s="554"/>
      <c r="L302" s="553">
        <f t="shared" si="10"/>
        <v>280884</v>
      </c>
    </row>
    <row r="303" spans="1:12" ht="15">
      <c r="A303" s="567" t="s">
        <v>1115</v>
      </c>
      <c r="B303" s="445" t="s">
        <v>1205</v>
      </c>
      <c r="C303" s="445" t="s">
        <v>832</v>
      </c>
      <c r="D303" s="445" t="s">
        <v>721</v>
      </c>
      <c r="E303" s="445"/>
      <c r="F303" s="446"/>
      <c r="G303" s="553">
        <f>G304</f>
        <v>280884</v>
      </c>
      <c r="H303" s="554"/>
      <c r="I303" s="553">
        <f t="shared" si="9"/>
        <v>280884</v>
      </c>
      <c r="J303" s="553">
        <f>J304</f>
        <v>280884</v>
      </c>
      <c r="K303" s="554"/>
      <c r="L303" s="553">
        <f t="shared" si="10"/>
        <v>280884</v>
      </c>
    </row>
    <row r="304" spans="1:12" ht="15">
      <c r="A304" s="607" t="s">
        <v>698</v>
      </c>
      <c r="B304" s="445" t="s">
        <v>1205</v>
      </c>
      <c r="C304" s="445" t="s">
        <v>832</v>
      </c>
      <c r="D304" s="445" t="s">
        <v>721</v>
      </c>
      <c r="E304" s="470" t="s">
        <v>699</v>
      </c>
      <c r="F304" s="456"/>
      <c r="G304" s="553">
        <f>G305</f>
        <v>280884</v>
      </c>
      <c r="H304" s="554"/>
      <c r="I304" s="553">
        <f t="shared" si="9"/>
        <v>280884</v>
      </c>
      <c r="J304" s="553">
        <f>J305</f>
        <v>280884</v>
      </c>
      <c r="K304" s="554"/>
      <c r="L304" s="553">
        <f t="shared" si="10"/>
        <v>280884</v>
      </c>
    </row>
    <row r="305" spans="1:12" ht="15">
      <c r="A305" s="607" t="s">
        <v>705</v>
      </c>
      <c r="B305" s="445" t="s">
        <v>1205</v>
      </c>
      <c r="C305" s="445" t="s">
        <v>832</v>
      </c>
      <c r="D305" s="445" t="s">
        <v>721</v>
      </c>
      <c r="E305" s="445" t="s">
        <v>706</v>
      </c>
      <c r="F305" s="446"/>
      <c r="G305" s="553">
        <f>G306+G308</f>
        <v>280884</v>
      </c>
      <c r="H305" s="554"/>
      <c r="I305" s="553">
        <f t="shared" si="9"/>
        <v>280884</v>
      </c>
      <c r="J305" s="553">
        <f>J306+J308</f>
        <v>280884</v>
      </c>
      <c r="K305" s="554"/>
      <c r="L305" s="553">
        <f t="shared" si="10"/>
        <v>280884</v>
      </c>
    </row>
    <row r="306" spans="1:12" ht="25.5">
      <c r="A306" s="559" t="s">
        <v>1116</v>
      </c>
      <c r="B306" s="445" t="s">
        <v>1205</v>
      </c>
      <c r="C306" s="445" t="s">
        <v>832</v>
      </c>
      <c r="D306" s="445" t="s">
        <v>721</v>
      </c>
      <c r="E306" s="445" t="s">
        <v>1117</v>
      </c>
      <c r="F306" s="446"/>
      <c r="G306" s="553">
        <f>G307</f>
        <v>280884</v>
      </c>
      <c r="H306" s="554"/>
      <c r="I306" s="553">
        <f t="shared" si="9"/>
        <v>280884</v>
      </c>
      <c r="J306" s="553">
        <f>J307</f>
        <v>280884</v>
      </c>
      <c r="K306" s="554"/>
      <c r="L306" s="553">
        <f t="shared" si="10"/>
        <v>280884</v>
      </c>
    </row>
    <row r="307" spans="1:12" ht="26.25">
      <c r="A307" s="609" t="s">
        <v>654</v>
      </c>
      <c r="B307" s="445" t="s">
        <v>1205</v>
      </c>
      <c r="C307" s="445" t="s">
        <v>832</v>
      </c>
      <c r="D307" s="445" t="s">
        <v>721</v>
      </c>
      <c r="E307" s="445" t="s">
        <v>1117</v>
      </c>
      <c r="F307" s="456" t="s">
        <v>655</v>
      </c>
      <c r="G307" s="553">
        <f>5758+275126</f>
        <v>280884</v>
      </c>
      <c r="H307" s="554"/>
      <c r="I307" s="553">
        <f t="shared" si="9"/>
        <v>280884</v>
      </c>
      <c r="J307" s="553">
        <f>5758+275126</f>
        <v>280884</v>
      </c>
      <c r="K307" s="554"/>
      <c r="L307" s="553">
        <f t="shared" si="10"/>
        <v>280884</v>
      </c>
    </row>
    <row r="308" spans="1:12" ht="46.5" customHeight="1" hidden="1">
      <c r="A308" s="567" t="s">
        <v>1215</v>
      </c>
      <c r="B308" s="445" t="s">
        <v>1205</v>
      </c>
      <c r="C308" s="445" t="s">
        <v>832</v>
      </c>
      <c r="D308" s="445" t="s">
        <v>721</v>
      </c>
      <c r="E308" s="445" t="s">
        <v>708</v>
      </c>
      <c r="F308" s="446"/>
      <c r="G308" s="553">
        <f>G309</f>
        <v>0</v>
      </c>
      <c r="H308" s="554"/>
      <c r="I308" s="553">
        <f t="shared" si="9"/>
        <v>0</v>
      </c>
      <c r="J308" s="553">
        <f>J309</f>
        <v>0</v>
      </c>
      <c r="K308" s="554"/>
      <c r="L308" s="553">
        <f t="shared" si="10"/>
        <v>0</v>
      </c>
    </row>
    <row r="309" spans="1:12" ht="26.25" customHeight="1" hidden="1">
      <c r="A309" s="609" t="s">
        <v>654</v>
      </c>
      <c r="B309" s="445" t="s">
        <v>1205</v>
      </c>
      <c r="C309" s="445" t="s">
        <v>832</v>
      </c>
      <c r="D309" s="445" t="s">
        <v>721</v>
      </c>
      <c r="E309" s="445" t="s">
        <v>708</v>
      </c>
      <c r="F309" s="456" t="s">
        <v>643</v>
      </c>
      <c r="G309" s="553"/>
      <c r="H309" s="554"/>
      <c r="I309" s="553">
        <f t="shared" si="9"/>
        <v>0</v>
      </c>
      <c r="J309" s="553"/>
      <c r="K309" s="554"/>
      <c r="L309" s="553">
        <f t="shared" si="10"/>
        <v>0</v>
      </c>
    </row>
    <row r="310" spans="1:12" ht="17.25" customHeight="1">
      <c r="A310" s="607" t="s">
        <v>1118</v>
      </c>
      <c r="B310" s="445" t="s">
        <v>1205</v>
      </c>
      <c r="C310" s="445" t="s">
        <v>1119</v>
      </c>
      <c r="D310" s="445"/>
      <c r="E310" s="474"/>
      <c r="F310" s="481"/>
      <c r="G310" s="553">
        <f>G311+G317+G333</f>
        <v>12602756</v>
      </c>
      <c r="H310" s="554"/>
      <c r="I310" s="553">
        <f t="shared" si="9"/>
        <v>12602756</v>
      </c>
      <c r="J310" s="553">
        <f>J311+J317+J333</f>
        <v>12602756</v>
      </c>
      <c r="K310" s="554"/>
      <c r="L310" s="553">
        <f t="shared" si="10"/>
        <v>12602756</v>
      </c>
    </row>
    <row r="311" spans="1:12" ht="15">
      <c r="A311" s="607" t="s">
        <v>1120</v>
      </c>
      <c r="B311" s="445" t="s">
        <v>1205</v>
      </c>
      <c r="C311" s="445" t="s">
        <v>1119</v>
      </c>
      <c r="D311" s="445" t="s">
        <v>633</v>
      </c>
      <c r="E311" s="445"/>
      <c r="F311" s="446"/>
      <c r="G311" s="553">
        <f>G312</f>
        <v>148731</v>
      </c>
      <c r="H311" s="554"/>
      <c r="I311" s="553">
        <f t="shared" si="9"/>
        <v>148731</v>
      </c>
      <c r="J311" s="553">
        <f>J312</f>
        <v>148731</v>
      </c>
      <c r="K311" s="554"/>
      <c r="L311" s="553">
        <f t="shared" si="10"/>
        <v>148731</v>
      </c>
    </row>
    <row r="312" spans="1:12" ht="47.25" customHeight="1">
      <c r="A312" s="607" t="s">
        <v>1121</v>
      </c>
      <c r="B312" s="445" t="s">
        <v>1205</v>
      </c>
      <c r="C312" s="445" t="s">
        <v>1119</v>
      </c>
      <c r="D312" s="445" t="s">
        <v>633</v>
      </c>
      <c r="E312" s="445" t="s">
        <v>660</v>
      </c>
      <c r="F312" s="446"/>
      <c r="G312" s="553">
        <f>G313</f>
        <v>148731</v>
      </c>
      <c r="H312" s="554"/>
      <c r="I312" s="553">
        <f t="shared" si="9"/>
        <v>148731</v>
      </c>
      <c r="J312" s="553">
        <f>J313</f>
        <v>148731</v>
      </c>
      <c r="K312" s="554"/>
      <c r="L312" s="553">
        <f t="shared" si="10"/>
        <v>148731</v>
      </c>
    </row>
    <row r="313" spans="1:12" ht="51.75" customHeight="1">
      <c r="A313" s="616" t="s">
        <v>1122</v>
      </c>
      <c r="B313" s="445" t="s">
        <v>1205</v>
      </c>
      <c r="C313" s="457" t="s">
        <v>1119</v>
      </c>
      <c r="D313" s="457" t="s">
        <v>633</v>
      </c>
      <c r="E313" s="457" t="s">
        <v>738</v>
      </c>
      <c r="F313" s="464"/>
      <c r="G313" s="555">
        <f>G315</f>
        <v>148731</v>
      </c>
      <c r="H313" s="554"/>
      <c r="I313" s="553">
        <f t="shared" si="9"/>
        <v>148731</v>
      </c>
      <c r="J313" s="555">
        <f>J315</f>
        <v>148731</v>
      </c>
      <c r="K313" s="554"/>
      <c r="L313" s="553">
        <f t="shared" si="10"/>
        <v>148731</v>
      </c>
    </row>
    <row r="314" spans="1:12" ht="30.75" customHeight="1">
      <c r="A314" s="618" t="s">
        <v>1123</v>
      </c>
      <c r="B314" s="445" t="s">
        <v>1205</v>
      </c>
      <c r="C314" s="445" t="s">
        <v>1119</v>
      </c>
      <c r="D314" s="445" t="s">
        <v>633</v>
      </c>
      <c r="E314" s="445" t="s">
        <v>1124</v>
      </c>
      <c r="F314" s="446"/>
      <c r="G314" s="553">
        <f>G315</f>
        <v>148731</v>
      </c>
      <c r="H314" s="554"/>
      <c r="I314" s="553">
        <f t="shared" si="9"/>
        <v>148731</v>
      </c>
      <c r="J314" s="553">
        <f>J315</f>
        <v>148731</v>
      </c>
      <c r="K314" s="554"/>
      <c r="L314" s="553">
        <f t="shared" si="10"/>
        <v>148731</v>
      </c>
    </row>
    <row r="315" spans="1:12" ht="33" customHeight="1">
      <c r="A315" s="616" t="s">
        <v>1125</v>
      </c>
      <c r="B315" s="445" t="s">
        <v>1205</v>
      </c>
      <c r="C315" s="445" t="s">
        <v>1126</v>
      </c>
      <c r="D315" s="445" t="s">
        <v>633</v>
      </c>
      <c r="E315" s="445" t="s">
        <v>1127</v>
      </c>
      <c r="F315" s="446"/>
      <c r="G315" s="553">
        <f>G316</f>
        <v>148731</v>
      </c>
      <c r="H315" s="554"/>
      <c r="I315" s="553">
        <f t="shared" si="9"/>
        <v>148731</v>
      </c>
      <c r="J315" s="553">
        <f>J316</f>
        <v>148731</v>
      </c>
      <c r="K315" s="554"/>
      <c r="L315" s="553">
        <f t="shared" si="10"/>
        <v>148731</v>
      </c>
    </row>
    <row r="316" spans="1:12" ht="15">
      <c r="A316" s="620" t="s">
        <v>827</v>
      </c>
      <c r="B316" s="445" t="s">
        <v>1205</v>
      </c>
      <c r="C316" s="445" t="s">
        <v>1126</v>
      </c>
      <c r="D316" s="445" t="s">
        <v>633</v>
      </c>
      <c r="E316" s="445" t="s">
        <v>1127</v>
      </c>
      <c r="F316" s="446" t="s">
        <v>828</v>
      </c>
      <c r="G316" s="553">
        <v>148731</v>
      </c>
      <c r="H316" s="554"/>
      <c r="I316" s="553">
        <f t="shared" si="9"/>
        <v>148731</v>
      </c>
      <c r="J316" s="553">
        <v>148731</v>
      </c>
      <c r="K316" s="554"/>
      <c r="L316" s="553">
        <f t="shared" si="10"/>
        <v>148731</v>
      </c>
    </row>
    <row r="317" spans="1:12" ht="17.25" customHeight="1">
      <c r="A317" s="607" t="s">
        <v>1128</v>
      </c>
      <c r="B317" s="445" t="s">
        <v>1205</v>
      </c>
      <c r="C317" s="445">
        <v>10</v>
      </c>
      <c r="D317" s="445" t="s">
        <v>645</v>
      </c>
      <c r="E317" s="445"/>
      <c r="F317" s="446"/>
      <c r="G317" s="553">
        <f>G318</f>
        <v>10897141</v>
      </c>
      <c r="H317" s="554"/>
      <c r="I317" s="553">
        <f t="shared" si="9"/>
        <v>10897141</v>
      </c>
      <c r="J317" s="553">
        <f>J318</f>
        <v>10897141</v>
      </c>
      <c r="K317" s="554"/>
      <c r="L317" s="553">
        <f t="shared" si="10"/>
        <v>10897141</v>
      </c>
    </row>
    <row r="318" spans="1:12" ht="44.25" customHeight="1">
      <c r="A318" s="607" t="s">
        <v>1121</v>
      </c>
      <c r="B318" s="445" t="s">
        <v>1205</v>
      </c>
      <c r="C318" s="445">
        <v>10</v>
      </c>
      <c r="D318" s="445" t="s">
        <v>645</v>
      </c>
      <c r="E318" s="445" t="s">
        <v>660</v>
      </c>
      <c r="F318" s="446"/>
      <c r="G318" s="553">
        <f>G319</f>
        <v>10897141</v>
      </c>
      <c r="H318" s="554"/>
      <c r="I318" s="553">
        <f t="shared" si="9"/>
        <v>10897141</v>
      </c>
      <c r="J318" s="553">
        <f>J319</f>
        <v>10897141</v>
      </c>
      <c r="K318" s="554"/>
      <c r="L318" s="553">
        <f t="shared" si="10"/>
        <v>10897141</v>
      </c>
    </row>
    <row r="319" spans="1:12" ht="59.25" customHeight="1">
      <c r="A319" s="565" t="s">
        <v>1134</v>
      </c>
      <c r="B319" s="445" t="s">
        <v>1205</v>
      </c>
      <c r="C319" s="457">
        <v>10</v>
      </c>
      <c r="D319" s="457" t="s">
        <v>645</v>
      </c>
      <c r="E319" s="457" t="s">
        <v>738</v>
      </c>
      <c r="F319" s="464"/>
      <c r="G319" s="555">
        <f>G320</f>
        <v>10897141</v>
      </c>
      <c r="H319" s="554"/>
      <c r="I319" s="553">
        <f t="shared" si="9"/>
        <v>10897141</v>
      </c>
      <c r="J319" s="555">
        <f>J320</f>
        <v>10897141</v>
      </c>
      <c r="K319" s="554"/>
      <c r="L319" s="553">
        <f t="shared" si="10"/>
        <v>10897141</v>
      </c>
    </row>
    <row r="320" spans="1:12" ht="35.25" customHeight="1">
      <c r="A320" s="565" t="s">
        <v>1135</v>
      </c>
      <c r="B320" s="445" t="s">
        <v>1205</v>
      </c>
      <c r="C320" s="445">
        <v>10</v>
      </c>
      <c r="D320" s="445" t="s">
        <v>645</v>
      </c>
      <c r="E320" s="445" t="s">
        <v>1136</v>
      </c>
      <c r="F320" s="446"/>
      <c r="G320" s="553">
        <f>G321+G324+G327+G330</f>
        <v>10897141</v>
      </c>
      <c r="H320" s="554"/>
      <c r="I320" s="553">
        <f t="shared" si="9"/>
        <v>10897141</v>
      </c>
      <c r="J320" s="553">
        <f>J321+J324+J327+J330</f>
        <v>10897141</v>
      </c>
      <c r="K320" s="554"/>
      <c r="L320" s="553">
        <f t="shared" si="10"/>
        <v>10897141</v>
      </c>
    </row>
    <row r="321" spans="1:12" ht="26.25">
      <c r="A321" s="608" t="s">
        <v>1137</v>
      </c>
      <c r="B321" s="445" t="s">
        <v>1205</v>
      </c>
      <c r="C321" s="445">
        <v>10</v>
      </c>
      <c r="D321" s="445" t="s">
        <v>645</v>
      </c>
      <c r="E321" s="445" t="s">
        <v>1138</v>
      </c>
      <c r="F321" s="446"/>
      <c r="G321" s="553">
        <f>G323+G322</f>
        <v>63415</v>
      </c>
      <c r="H321" s="554"/>
      <c r="I321" s="553">
        <f t="shared" si="9"/>
        <v>63415</v>
      </c>
      <c r="J321" s="553">
        <f>J323+J322</f>
        <v>63415</v>
      </c>
      <c r="K321" s="554"/>
      <c r="L321" s="553">
        <f t="shared" si="10"/>
        <v>63415</v>
      </c>
    </row>
    <row r="322" spans="1:12" ht="15" customHeight="1">
      <c r="A322" s="609" t="s">
        <v>654</v>
      </c>
      <c r="B322" s="445" t="s">
        <v>1205</v>
      </c>
      <c r="C322" s="445">
        <v>10</v>
      </c>
      <c r="D322" s="445" t="s">
        <v>645</v>
      </c>
      <c r="E322" s="445" t="s">
        <v>1138</v>
      </c>
      <c r="F322" s="446" t="s">
        <v>655</v>
      </c>
      <c r="G322" s="553">
        <v>980</v>
      </c>
      <c r="H322" s="554"/>
      <c r="I322" s="553">
        <f t="shared" si="9"/>
        <v>980</v>
      </c>
      <c r="J322" s="553">
        <v>980</v>
      </c>
      <c r="K322" s="554"/>
      <c r="L322" s="553">
        <f t="shared" si="10"/>
        <v>980</v>
      </c>
    </row>
    <row r="323" spans="1:12" ht="17.25" customHeight="1">
      <c r="A323" s="628" t="s">
        <v>827</v>
      </c>
      <c r="B323" s="445" t="s">
        <v>1205</v>
      </c>
      <c r="C323" s="445">
        <v>10</v>
      </c>
      <c r="D323" s="445" t="s">
        <v>645</v>
      </c>
      <c r="E323" s="445" t="s">
        <v>1138</v>
      </c>
      <c r="F323" s="446" t="s">
        <v>828</v>
      </c>
      <c r="G323" s="553">
        <v>62435</v>
      </c>
      <c r="H323" s="554"/>
      <c r="I323" s="553">
        <f t="shared" si="9"/>
        <v>62435</v>
      </c>
      <c r="J323" s="553">
        <v>62435</v>
      </c>
      <c r="K323" s="554"/>
      <c r="L323" s="553">
        <f t="shared" si="10"/>
        <v>62435</v>
      </c>
    </row>
    <row r="324" spans="1:12" ht="34.5" customHeight="1">
      <c r="A324" s="608" t="s">
        <v>1139</v>
      </c>
      <c r="B324" s="445" t="s">
        <v>1205</v>
      </c>
      <c r="C324" s="445">
        <v>10</v>
      </c>
      <c r="D324" s="445" t="s">
        <v>645</v>
      </c>
      <c r="E324" s="445" t="s">
        <v>1140</v>
      </c>
      <c r="F324" s="446"/>
      <c r="G324" s="553">
        <f>G326+G325</f>
        <v>295849</v>
      </c>
      <c r="H324" s="554"/>
      <c r="I324" s="553">
        <f t="shared" si="9"/>
        <v>295849</v>
      </c>
      <c r="J324" s="553">
        <f>J326+J325</f>
        <v>295849</v>
      </c>
      <c r="K324" s="554"/>
      <c r="L324" s="553">
        <f t="shared" si="10"/>
        <v>295849</v>
      </c>
    </row>
    <row r="325" spans="1:12" ht="15.75" customHeight="1">
      <c r="A325" s="609" t="s">
        <v>654</v>
      </c>
      <c r="B325" s="445" t="s">
        <v>1205</v>
      </c>
      <c r="C325" s="445">
        <v>10</v>
      </c>
      <c r="D325" s="445" t="s">
        <v>645</v>
      </c>
      <c r="E325" s="445" t="s">
        <v>1140</v>
      </c>
      <c r="F325" s="446" t="s">
        <v>655</v>
      </c>
      <c r="G325" s="553">
        <v>5240</v>
      </c>
      <c r="H325" s="554"/>
      <c r="I325" s="553">
        <f t="shared" si="9"/>
        <v>5240</v>
      </c>
      <c r="J325" s="553">
        <v>5240</v>
      </c>
      <c r="K325" s="554"/>
      <c r="L325" s="553">
        <f t="shared" si="10"/>
        <v>5240</v>
      </c>
    </row>
    <row r="326" spans="1:12" ht="24.75" customHeight="1">
      <c r="A326" s="628" t="s">
        <v>827</v>
      </c>
      <c r="B326" s="445" t="s">
        <v>1205</v>
      </c>
      <c r="C326" s="445">
        <v>10</v>
      </c>
      <c r="D326" s="445" t="s">
        <v>645</v>
      </c>
      <c r="E326" s="445" t="s">
        <v>1140</v>
      </c>
      <c r="F326" s="446" t="s">
        <v>828</v>
      </c>
      <c r="G326" s="553">
        <v>290609</v>
      </c>
      <c r="H326" s="554"/>
      <c r="I326" s="553">
        <f t="shared" si="9"/>
        <v>290609</v>
      </c>
      <c r="J326" s="553">
        <v>290609</v>
      </c>
      <c r="K326" s="554"/>
      <c r="L326" s="553">
        <f t="shared" si="10"/>
        <v>290609</v>
      </c>
    </row>
    <row r="327" spans="1:12" ht="18.75" customHeight="1">
      <c r="A327" s="607" t="s">
        <v>1141</v>
      </c>
      <c r="B327" s="445" t="s">
        <v>1205</v>
      </c>
      <c r="C327" s="445">
        <v>10</v>
      </c>
      <c r="D327" s="445" t="s">
        <v>645</v>
      </c>
      <c r="E327" s="445" t="s">
        <v>1142</v>
      </c>
      <c r="F327" s="446"/>
      <c r="G327" s="553">
        <f>G329+G328</f>
        <v>9062577</v>
      </c>
      <c r="H327" s="554"/>
      <c r="I327" s="553">
        <f t="shared" si="9"/>
        <v>9062577</v>
      </c>
      <c r="J327" s="553">
        <f>J329+J328</f>
        <v>9062577</v>
      </c>
      <c r="K327" s="554"/>
      <c r="L327" s="553">
        <f t="shared" si="10"/>
        <v>9062577</v>
      </c>
    </row>
    <row r="328" spans="1:12" ht="39.75" customHeight="1">
      <c r="A328" s="609" t="s">
        <v>654</v>
      </c>
      <c r="B328" s="445" t="s">
        <v>1205</v>
      </c>
      <c r="C328" s="445">
        <v>10</v>
      </c>
      <c r="D328" s="445" t="s">
        <v>645</v>
      </c>
      <c r="E328" s="445" t="s">
        <v>1142</v>
      </c>
      <c r="F328" s="446" t="s">
        <v>655</v>
      </c>
      <c r="G328" s="553">
        <v>148440</v>
      </c>
      <c r="H328" s="554"/>
      <c r="I328" s="553">
        <f t="shared" si="9"/>
        <v>148440</v>
      </c>
      <c r="J328" s="553">
        <v>148440</v>
      </c>
      <c r="K328" s="554"/>
      <c r="L328" s="553">
        <f t="shared" si="10"/>
        <v>148440</v>
      </c>
    </row>
    <row r="329" spans="1:12" ht="20.25" customHeight="1">
      <c r="A329" s="628" t="s">
        <v>827</v>
      </c>
      <c r="B329" s="445" t="s">
        <v>1205</v>
      </c>
      <c r="C329" s="445">
        <v>10</v>
      </c>
      <c r="D329" s="445" t="s">
        <v>645</v>
      </c>
      <c r="E329" s="445" t="s">
        <v>1142</v>
      </c>
      <c r="F329" s="446" t="s">
        <v>828</v>
      </c>
      <c r="G329" s="553">
        <v>8914137</v>
      </c>
      <c r="H329" s="554"/>
      <c r="I329" s="553">
        <f t="shared" si="9"/>
        <v>8914137</v>
      </c>
      <c r="J329" s="553">
        <v>8914137</v>
      </c>
      <c r="K329" s="554"/>
      <c r="L329" s="553">
        <f t="shared" si="10"/>
        <v>8914137</v>
      </c>
    </row>
    <row r="330" spans="1:12" s="420" customFormat="1" ht="15">
      <c r="A330" s="607" t="s">
        <v>1143</v>
      </c>
      <c r="B330" s="445" t="s">
        <v>1205</v>
      </c>
      <c r="C330" s="445">
        <v>10</v>
      </c>
      <c r="D330" s="445" t="s">
        <v>645</v>
      </c>
      <c r="E330" s="445" t="s">
        <v>1144</v>
      </c>
      <c r="F330" s="446"/>
      <c r="G330" s="553">
        <f>G332+G331</f>
        <v>1475300</v>
      </c>
      <c r="H330" s="554"/>
      <c r="I330" s="553">
        <f t="shared" si="9"/>
        <v>1475300</v>
      </c>
      <c r="J330" s="553">
        <f>J332+J331</f>
        <v>1475300</v>
      </c>
      <c r="K330" s="554"/>
      <c r="L330" s="553">
        <f t="shared" si="10"/>
        <v>1475300</v>
      </c>
    </row>
    <row r="331" spans="1:12" ht="26.25">
      <c r="A331" s="609" t="s">
        <v>654</v>
      </c>
      <c r="B331" s="445" t="s">
        <v>1205</v>
      </c>
      <c r="C331" s="445">
        <v>10</v>
      </c>
      <c r="D331" s="445" t="s">
        <v>645</v>
      </c>
      <c r="E331" s="445" t="s">
        <v>1144</v>
      </c>
      <c r="F331" s="446" t="s">
        <v>655</v>
      </c>
      <c r="G331" s="553">
        <v>24490</v>
      </c>
      <c r="H331" s="554"/>
      <c r="I331" s="553">
        <f t="shared" si="9"/>
        <v>24490</v>
      </c>
      <c r="J331" s="553">
        <v>24490</v>
      </c>
      <c r="K331" s="554"/>
      <c r="L331" s="553">
        <f t="shared" si="10"/>
        <v>24490</v>
      </c>
    </row>
    <row r="332" spans="1:12" ht="15">
      <c r="A332" s="628" t="s">
        <v>827</v>
      </c>
      <c r="B332" s="445" t="s">
        <v>1205</v>
      </c>
      <c r="C332" s="445">
        <v>10</v>
      </c>
      <c r="D332" s="445" t="s">
        <v>645</v>
      </c>
      <c r="E332" s="445" t="s">
        <v>1144</v>
      </c>
      <c r="F332" s="446" t="s">
        <v>828</v>
      </c>
      <c r="G332" s="553">
        <v>1450810</v>
      </c>
      <c r="H332" s="554"/>
      <c r="I332" s="553">
        <f t="shared" si="9"/>
        <v>1450810</v>
      </c>
      <c r="J332" s="553">
        <v>1450810</v>
      </c>
      <c r="K332" s="554"/>
      <c r="L332" s="553">
        <f t="shared" si="10"/>
        <v>1450810</v>
      </c>
    </row>
    <row r="333" spans="1:12" ht="24" customHeight="1">
      <c r="A333" s="607" t="s">
        <v>1153</v>
      </c>
      <c r="B333" s="445" t="s">
        <v>1205</v>
      </c>
      <c r="C333" s="445">
        <v>10</v>
      </c>
      <c r="D333" s="445" t="s">
        <v>658</v>
      </c>
      <c r="E333" s="445"/>
      <c r="F333" s="446"/>
      <c r="G333" s="553">
        <f>G334</f>
        <v>1556884</v>
      </c>
      <c r="H333" s="553">
        <f>H334</f>
        <v>0</v>
      </c>
      <c r="I333" s="553">
        <f t="shared" si="9"/>
        <v>1556884</v>
      </c>
      <c r="J333" s="553">
        <f>J334</f>
        <v>1556884</v>
      </c>
      <c r="K333" s="553">
        <f>K334</f>
        <v>0</v>
      </c>
      <c r="L333" s="553">
        <f t="shared" si="10"/>
        <v>1556884</v>
      </c>
    </row>
    <row r="334" spans="1:12" ht="44.25" customHeight="1">
      <c r="A334" s="607" t="s">
        <v>736</v>
      </c>
      <c r="B334" s="445" t="s">
        <v>1205</v>
      </c>
      <c r="C334" s="445">
        <v>10</v>
      </c>
      <c r="D334" s="445" t="s">
        <v>658</v>
      </c>
      <c r="E334" s="520" t="s">
        <v>660</v>
      </c>
      <c r="F334" s="446"/>
      <c r="G334" s="553">
        <f>G335</f>
        <v>1556884</v>
      </c>
      <c r="H334" s="553">
        <f>H335</f>
        <v>0</v>
      </c>
      <c r="I334" s="553">
        <f t="shared" si="9"/>
        <v>1556884</v>
      </c>
      <c r="J334" s="553">
        <f>J335</f>
        <v>1556884</v>
      </c>
      <c r="K334" s="553">
        <f>K335</f>
        <v>0</v>
      </c>
      <c r="L334" s="553">
        <f t="shared" si="10"/>
        <v>1556884</v>
      </c>
    </row>
    <row r="335" spans="1:12" ht="54.75" customHeight="1">
      <c r="A335" s="565" t="s">
        <v>1134</v>
      </c>
      <c r="B335" s="445" t="s">
        <v>1205</v>
      </c>
      <c r="C335" s="445">
        <v>10</v>
      </c>
      <c r="D335" s="445" t="s">
        <v>658</v>
      </c>
      <c r="E335" s="520" t="s">
        <v>738</v>
      </c>
      <c r="F335" s="446"/>
      <c r="G335" s="553">
        <f>G336</f>
        <v>1556884</v>
      </c>
      <c r="H335" s="553">
        <f>H337+H338</f>
        <v>0</v>
      </c>
      <c r="I335" s="553">
        <f t="shared" si="9"/>
        <v>1556884</v>
      </c>
      <c r="J335" s="553">
        <f>J336</f>
        <v>1556884</v>
      </c>
      <c r="K335" s="553">
        <f>K337+K338</f>
        <v>0</v>
      </c>
      <c r="L335" s="553">
        <f t="shared" si="10"/>
        <v>1556884</v>
      </c>
    </row>
    <row r="336" spans="1:12" ht="30.75" customHeight="1">
      <c r="A336" s="565" t="s">
        <v>1135</v>
      </c>
      <c r="B336" s="445" t="s">
        <v>1205</v>
      </c>
      <c r="C336" s="445">
        <v>10</v>
      </c>
      <c r="D336" s="445" t="s">
        <v>645</v>
      </c>
      <c r="E336" s="445" t="s">
        <v>1136</v>
      </c>
      <c r="F336" s="446"/>
      <c r="G336" s="553">
        <f>G337+G338</f>
        <v>1556884</v>
      </c>
      <c r="H336" s="553"/>
      <c r="I336" s="553">
        <f t="shared" si="9"/>
        <v>1556884</v>
      </c>
      <c r="J336" s="553">
        <f>J337+J338</f>
        <v>1556884</v>
      </c>
      <c r="K336" s="553"/>
      <c r="L336" s="553">
        <f t="shared" si="10"/>
        <v>1556884</v>
      </c>
    </row>
    <row r="337" spans="1:12" ht="24" customHeight="1">
      <c r="A337" s="607" t="s">
        <v>1154</v>
      </c>
      <c r="B337" s="445" t="s">
        <v>1205</v>
      </c>
      <c r="C337" s="445" t="s">
        <v>1119</v>
      </c>
      <c r="D337" s="445" t="s">
        <v>658</v>
      </c>
      <c r="E337" s="445" t="s">
        <v>1155</v>
      </c>
      <c r="F337" s="446" t="s">
        <v>655</v>
      </c>
      <c r="G337" s="553">
        <v>280</v>
      </c>
      <c r="H337" s="554"/>
      <c r="I337" s="553">
        <f t="shared" si="9"/>
        <v>280</v>
      </c>
      <c r="J337" s="553">
        <v>280</v>
      </c>
      <c r="K337" s="554"/>
      <c r="L337" s="553">
        <f t="shared" si="10"/>
        <v>280</v>
      </c>
    </row>
    <row r="338" spans="1:12" ht="26.25">
      <c r="A338" s="609" t="s">
        <v>654</v>
      </c>
      <c r="B338" s="445" t="s">
        <v>1205</v>
      </c>
      <c r="C338" s="445" t="s">
        <v>1119</v>
      </c>
      <c r="D338" s="445" t="s">
        <v>658</v>
      </c>
      <c r="E338" s="445" t="s">
        <v>1155</v>
      </c>
      <c r="F338" s="446" t="s">
        <v>828</v>
      </c>
      <c r="G338" s="553">
        <v>1556604</v>
      </c>
      <c r="H338" s="554"/>
      <c r="I338" s="553">
        <f t="shared" si="9"/>
        <v>1556604</v>
      </c>
      <c r="J338" s="553">
        <v>1556604</v>
      </c>
      <c r="K338" s="554"/>
      <c r="L338" s="553">
        <f t="shared" si="10"/>
        <v>1556604</v>
      </c>
    </row>
    <row r="339" spans="1:12" ht="15">
      <c r="A339" s="607" t="s">
        <v>1164</v>
      </c>
      <c r="B339" s="445" t="s">
        <v>1205</v>
      </c>
      <c r="C339" s="445" t="s">
        <v>727</v>
      </c>
      <c r="D339" s="445"/>
      <c r="E339" s="445"/>
      <c r="F339" s="446"/>
      <c r="G339" s="553">
        <f>G340</f>
        <v>100000</v>
      </c>
      <c r="H339" s="554"/>
      <c r="I339" s="553">
        <f t="shared" si="9"/>
        <v>100000</v>
      </c>
      <c r="J339" s="553">
        <f>J340</f>
        <v>100000</v>
      </c>
      <c r="K339" s="554"/>
      <c r="L339" s="553">
        <f t="shared" si="10"/>
        <v>100000</v>
      </c>
    </row>
    <row r="340" spans="1:12" ht="15">
      <c r="A340" s="607" t="s">
        <v>1165</v>
      </c>
      <c r="B340" s="445" t="s">
        <v>1205</v>
      </c>
      <c r="C340" s="445" t="s">
        <v>727</v>
      </c>
      <c r="D340" s="445" t="s">
        <v>633</v>
      </c>
      <c r="E340" s="445"/>
      <c r="F340" s="446"/>
      <c r="G340" s="553">
        <f>G341</f>
        <v>100000</v>
      </c>
      <c r="H340" s="554"/>
      <c r="I340" s="553">
        <f t="shared" si="9"/>
        <v>100000</v>
      </c>
      <c r="J340" s="553">
        <f>J341</f>
        <v>100000</v>
      </c>
      <c r="K340" s="554"/>
      <c r="L340" s="553">
        <f t="shared" si="10"/>
        <v>100000</v>
      </c>
    </row>
    <row r="341" spans="1:12" ht="54.75" customHeight="1">
      <c r="A341" s="567" t="s">
        <v>1044</v>
      </c>
      <c r="B341" s="445" t="s">
        <v>1205</v>
      </c>
      <c r="C341" s="445" t="s">
        <v>727</v>
      </c>
      <c r="D341" s="445" t="s">
        <v>633</v>
      </c>
      <c r="E341" s="474" t="s">
        <v>1045</v>
      </c>
      <c r="F341" s="446"/>
      <c r="G341" s="553">
        <f>G342</f>
        <v>100000</v>
      </c>
      <c r="H341" s="554"/>
      <c r="I341" s="553">
        <f t="shared" si="9"/>
        <v>100000</v>
      </c>
      <c r="J341" s="553">
        <f>J342</f>
        <v>100000</v>
      </c>
      <c r="K341" s="554"/>
      <c r="L341" s="553">
        <f t="shared" si="10"/>
        <v>100000</v>
      </c>
    </row>
    <row r="342" spans="1:12" ht="75" customHeight="1">
      <c r="A342" s="616" t="s">
        <v>1166</v>
      </c>
      <c r="B342" s="445" t="s">
        <v>1205</v>
      </c>
      <c r="C342" s="457" t="s">
        <v>727</v>
      </c>
      <c r="D342" s="457" t="s">
        <v>633</v>
      </c>
      <c r="E342" s="482" t="s">
        <v>1167</v>
      </c>
      <c r="F342" s="464"/>
      <c r="G342" s="555">
        <f>G343</f>
        <v>100000</v>
      </c>
      <c r="H342" s="554"/>
      <c r="I342" s="553">
        <f t="shared" si="9"/>
        <v>100000</v>
      </c>
      <c r="J342" s="555">
        <f>J343</f>
        <v>100000</v>
      </c>
      <c r="K342" s="554"/>
      <c r="L342" s="553">
        <f t="shared" si="10"/>
        <v>100000</v>
      </c>
    </row>
    <row r="343" spans="1:12" ht="44.25" customHeight="1">
      <c r="A343" s="616" t="s">
        <v>1168</v>
      </c>
      <c r="B343" s="445" t="s">
        <v>1205</v>
      </c>
      <c r="C343" s="445" t="s">
        <v>727</v>
      </c>
      <c r="D343" s="445" t="s">
        <v>633</v>
      </c>
      <c r="E343" s="474" t="s">
        <v>1169</v>
      </c>
      <c r="F343" s="446"/>
      <c r="G343" s="553">
        <f>G344</f>
        <v>100000</v>
      </c>
      <c r="H343" s="554"/>
      <c r="I343" s="553">
        <f t="shared" si="9"/>
        <v>100000</v>
      </c>
      <c r="J343" s="553">
        <f>J344</f>
        <v>100000</v>
      </c>
      <c r="K343" s="554"/>
      <c r="L343" s="553">
        <f t="shared" si="10"/>
        <v>100000</v>
      </c>
    </row>
    <row r="344" spans="1:12" ht="39.75" customHeight="1">
      <c r="A344" s="607" t="s">
        <v>1170</v>
      </c>
      <c r="B344" s="445" t="s">
        <v>1205</v>
      </c>
      <c r="C344" s="445" t="s">
        <v>727</v>
      </c>
      <c r="D344" s="445" t="s">
        <v>633</v>
      </c>
      <c r="E344" s="474" t="s">
        <v>1171</v>
      </c>
      <c r="F344" s="446"/>
      <c r="G344" s="553">
        <f>G346+G345</f>
        <v>100000</v>
      </c>
      <c r="H344" s="554"/>
      <c r="I344" s="553">
        <f t="shared" si="9"/>
        <v>100000</v>
      </c>
      <c r="J344" s="553">
        <f>J346+J345</f>
        <v>100000</v>
      </c>
      <c r="K344" s="554"/>
      <c r="L344" s="553">
        <f t="shared" si="10"/>
        <v>100000</v>
      </c>
    </row>
    <row r="345" spans="1:12" ht="43.5" customHeight="1" hidden="1">
      <c r="A345" s="609" t="s">
        <v>642</v>
      </c>
      <c r="B345" s="445" t="s">
        <v>1205</v>
      </c>
      <c r="C345" s="445" t="s">
        <v>727</v>
      </c>
      <c r="D345" s="445" t="s">
        <v>633</v>
      </c>
      <c r="E345" s="474" t="s">
        <v>1171</v>
      </c>
      <c r="F345" s="446" t="s">
        <v>643</v>
      </c>
      <c r="G345" s="553">
        <f>3195-3195</f>
        <v>0</v>
      </c>
      <c r="H345" s="554"/>
      <c r="I345" s="553">
        <f t="shared" si="9"/>
        <v>0</v>
      </c>
      <c r="J345" s="553">
        <f>3195-3195</f>
        <v>0</v>
      </c>
      <c r="K345" s="554"/>
      <c r="L345" s="553">
        <f t="shared" si="10"/>
        <v>0</v>
      </c>
    </row>
    <row r="346" spans="1:12" ht="30.75" customHeight="1">
      <c r="A346" s="609" t="s">
        <v>654</v>
      </c>
      <c r="B346" s="445" t="s">
        <v>1205</v>
      </c>
      <c r="C346" s="445" t="s">
        <v>727</v>
      </c>
      <c r="D346" s="445" t="s">
        <v>633</v>
      </c>
      <c r="E346" s="474" t="s">
        <v>1171</v>
      </c>
      <c r="F346" s="446" t="s">
        <v>655</v>
      </c>
      <c r="G346" s="553">
        <v>100000</v>
      </c>
      <c r="H346" s="554"/>
      <c r="I346" s="553">
        <f aca="true" t="shared" si="11" ref="I346:I368">G346+H346</f>
        <v>100000</v>
      </c>
      <c r="J346" s="553">
        <v>100000</v>
      </c>
      <c r="K346" s="554"/>
      <c r="L346" s="553">
        <f t="shared" si="10"/>
        <v>100000</v>
      </c>
    </row>
    <row r="347" spans="1:12" ht="38.25" customHeight="1" hidden="1">
      <c r="A347" s="616" t="s">
        <v>1216</v>
      </c>
      <c r="B347" s="445" t="s">
        <v>1205</v>
      </c>
      <c r="C347" s="445" t="s">
        <v>727</v>
      </c>
      <c r="D347" s="445" t="s">
        <v>633</v>
      </c>
      <c r="E347" s="474" t="s">
        <v>1217</v>
      </c>
      <c r="F347" s="446"/>
      <c r="G347" s="553"/>
      <c r="H347" s="554"/>
      <c r="I347" s="553">
        <f t="shared" si="11"/>
        <v>0</v>
      </c>
      <c r="J347" s="553"/>
      <c r="K347" s="554"/>
      <c r="L347" s="553">
        <f t="shared" si="10"/>
        <v>0</v>
      </c>
    </row>
    <row r="348" spans="1:12" ht="39" customHeight="1" hidden="1">
      <c r="A348" s="607" t="s">
        <v>1170</v>
      </c>
      <c r="B348" s="457" t="s">
        <v>1205</v>
      </c>
      <c r="C348" s="445" t="s">
        <v>727</v>
      </c>
      <c r="D348" s="445" t="s">
        <v>633</v>
      </c>
      <c r="E348" s="474" t="s">
        <v>1218</v>
      </c>
      <c r="F348" s="446"/>
      <c r="G348" s="553">
        <f>G349</f>
        <v>0</v>
      </c>
      <c r="H348" s="554"/>
      <c r="I348" s="553">
        <f t="shared" si="11"/>
        <v>0</v>
      </c>
      <c r="J348" s="553">
        <f>J349</f>
        <v>0</v>
      </c>
      <c r="K348" s="554"/>
      <c r="L348" s="553">
        <f t="shared" si="10"/>
        <v>0</v>
      </c>
    </row>
    <row r="349" spans="1:12" ht="26.25" customHeight="1" hidden="1">
      <c r="A349" s="609" t="s">
        <v>654</v>
      </c>
      <c r="B349" s="445" t="s">
        <v>1205</v>
      </c>
      <c r="C349" s="445" t="s">
        <v>727</v>
      </c>
      <c r="D349" s="445" t="s">
        <v>633</v>
      </c>
      <c r="E349" s="474" t="s">
        <v>1218</v>
      </c>
      <c r="F349" s="446" t="s">
        <v>655</v>
      </c>
      <c r="G349" s="553"/>
      <c r="H349" s="554"/>
      <c r="I349" s="553">
        <f t="shared" si="11"/>
        <v>0</v>
      </c>
      <c r="J349" s="553"/>
      <c r="K349" s="554"/>
      <c r="L349" s="553">
        <f t="shared" si="10"/>
        <v>0</v>
      </c>
    </row>
    <row r="350" spans="1:12" ht="20.25" customHeight="1">
      <c r="A350" s="607" t="s">
        <v>1172</v>
      </c>
      <c r="B350" s="445" t="s">
        <v>1205</v>
      </c>
      <c r="C350" s="445" t="s">
        <v>735</v>
      </c>
      <c r="D350" s="445"/>
      <c r="E350" s="445"/>
      <c r="F350" s="446"/>
      <c r="G350" s="553">
        <f>G351</f>
        <v>1868.22</v>
      </c>
      <c r="H350" s="554"/>
      <c r="I350" s="553">
        <f t="shared" si="11"/>
        <v>1868.22</v>
      </c>
      <c r="J350" s="553">
        <f>J351</f>
        <v>0</v>
      </c>
      <c r="K350" s="554"/>
      <c r="L350" s="553">
        <f t="shared" si="10"/>
        <v>0</v>
      </c>
    </row>
    <row r="351" spans="1:12" ht="24" customHeight="1">
      <c r="A351" s="607" t="s">
        <v>1173</v>
      </c>
      <c r="B351" s="445" t="s">
        <v>1205</v>
      </c>
      <c r="C351" s="445" t="s">
        <v>735</v>
      </c>
      <c r="D351" s="445" t="s">
        <v>633</v>
      </c>
      <c r="E351" s="445"/>
      <c r="F351" s="446"/>
      <c r="G351" s="553">
        <f>G352</f>
        <v>1868.22</v>
      </c>
      <c r="H351" s="554"/>
      <c r="I351" s="553">
        <f t="shared" si="11"/>
        <v>1868.22</v>
      </c>
      <c r="J351" s="553">
        <f>J352</f>
        <v>0</v>
      </c>
      <c r="K351" s="554"/>
      <c r="L351" s="553">
        <f t="shared" si="10"/>
        <v>0</v>
      </c>
    </row>
    <row r="352" spans="1:12" s="461" customFormat="1" ht="42" customHeight="1">
      <c r="A352" s="612" t="s">
        <v>1187</v>
      </c>
      <c r="B352" s="445" t="s">
        <v>1205</v>
      </c>
      <c r="C352" s="445" t="s">
        <v>735</v>
      </c>
      <c r="D352" s="445" t="s">
        <v>633</v>
      </c>
      <c r="E352" s="470" t="s">
        <v>1175</v>
      </c>
      <c r="F352" s="446"/>
      <c r="G352" s="553">
        <f>G353</f>
        <v>1868.22</v>
      </c>
      <c r="H352" s="557"/>
      <c r="I352" s="553">
        <f t="shared" si="11"/>
        <v>1868.22</v>
      </c>
      <c r="J352" s="553">
        <f>J353</f>
        <v>0</v>
      </c>
      <c r="K352" s="557"/>
      <c r="L352" s="553">
        <f t="shared" si="10"/>
        <v>0</v>
      </c>
    </row>
    <row r="353" spans="1:12" s="461" customFormat="1" ht="62.25" customHeight="1">
      <c r="A353" s="606" t="s">
        <v>1176</v>
      </c>
      <c r="B353" s="445" t="s">
        <v>1205</v>
      </c>
      <c r="C353" s="457" t="s">
        <v>735</v>
      </c>
      <c r="D353" s="457" t="s">
        <v>633</v>
      </c>
      <c r="E353" s="470" t="s">
        <v>1177</v>
      </c>
      <c r="F353" s="464"/>
      <c r="G353" s="555">
        <f>G355</f>
        <v>1868.22</v>
      </c>
      <c r="H353" s="557"/>
      <c r="I353" s="553">
        <f t="shared" si="11"/>
        <v>1868.22</v>
      </c>
      <c r="J353" s="555">
        <f>J355</f>
        <v>0</v>
      </c>
      <c r="K353" s="557"/>
      <c r="L353" s="553">
        <f t="shared" si="10"/>
        <v>0</v>
      </c>
    </row>
    <row r="354" spans="1:12" ht="48" customHeight="1">
      <c r="A354" s="606" t="s">
        <v>1178</v>
      </c>
      <c r="B354" s="445" t="s">
        <v>1205</v>
      </c>
      <c r="C354" s="445" t="s">
        <v>735</v>
      </c>
      <c r="D354" s="445" t="s">
        <v>633</v>
      </c>
      <c r="E354" s="470" t="s">
        <v>1179</v>
      </c>
      <c r="F354" s="464"/>
      <c r="G354" s="555">
        <f>G355</f>
        <v>1868.22</v>
      </c>
      <c r="H354" s="554"/>
      <c r="I354" s="553">
        <f t="shared" si="11"/>
        <v>1868.22</v>
      </c>
      <c r="J354" s="555">
        <f>J355</f>
        <v>0</v>
      </c>
      <c r="K354" s="554"/>
      <c r="L354" s="553">
        <f t="shared" si="10"/>
        <v>0</v>
      </c>
    </row>
    <row r="355" spans="1:12" ht="20.25" customHeight="1">
      <c r="A355" s="607" t="s">
        <v>1180</v>
      </c>
      <c r="B355" s="445" t="s">
        <v>1205</v>
      </c>
      <c r="C355" s="445" t="s">
        <v>735</v>
      </c>
      <c r="D355" s="445" t="s">
        <v>633</v>
      </c>
      <c r="E355" s="470" t="s">
        <v>1181</v>
      </c>
      <c r="F355" s="446"/>
      <c r="G355" s="553">
        <f>G356</f>
        <v>1868.22</v>
      </c>
      <c r="H355" s="554"/>
      <c r="I355" s="553">
        <f t="shared" si="11"/>
        <v>1868.22</v>
      </c>
      <c r="J355" s="553">
        <f>J356</f>
        <v>0</v>
      </c>
      <c r="K355" s="554"/>
      <c r="L355" s="553">
        <f aca="true" t="shared" si="12" ref="L355:L368">J355+K355</f>
        <v>0</v>
      </c>
    </row>
    <row r="356" spans="1:12" ht="26.25" customHeight="1">
      <c r="A356" s="606" t="s">
        <v>1182</v>
      </c>
      <c r="B356" s="445" t="s">
        <v>1205</v>
      </c>
      <c r="C356" s="445" t="s">
        <v>735</v>
      </c>
      <c r="D356" s="445" t="s">
        <v>633</v>
      </c>
      <c r="E356" s="470" t="s">
        <v>1181</v>
      </c>
      <c r="F356" s="446" t="s">
        <v>1183</v>
      </c>
      <c r="G356" s="553">
        <v>1868.22</v>
      </c>
      <c r="H356" s="554"/>
      <c r="I356" s="553">
        <f t="shared" si="11"/>
        <v>1868.22</v>
      </c>
      <c r="J356" s="553"/>
      <c r="K356" s="554"/>
      <c r="L356" s="553">
        <f t="shared" si="12"/>
        <v>0</v>
      </c>
    </row>
    <row r="357" spans="1:12" ht="32.25" customHeight="1">
      <c r="A357" s="607" t="s">
        <v>1184</v>
      </c>
      <c r="B357" s="457" t="s">
        <v>1205</v>
      </c>
      <c r="C357" s="445" t="s">
        <v>1185</v>
      </c>
      <c r="D357" s="445"/>
      <c r="E357" s="445"/>
      <c r="F357" s="446"/>
      <c r="G357" s="553">
        <f aca="true" t="shared" si="13" ref="G357:G362">G358</f>
        <v>6680765</v>
      </c>
      <c r="H357" s="554"/>
      <c r="I357" s="553">
        <f t="shared" si="11"/>
        <v>6680765</v>
      </c>
      <c r="J357" s="553">
        <f aca="true" t="shared" si="14" ref="J357:J362">J358</f>
        <v>6214665</v>
      </c>
      <c r="K357" s="554"/>
      <c r="L357" s="553">
        <f t="shared" si="12"/>
        <v>6214665</v>
      </c>
    </row>
    <row r="358" spans="1:12" ht="41.25" customHeight="1">
      <c r="A358" s="607" t="s">
        <v>1186</v>
      </c>
      <c r="B358" s="445" t="s">
        <v>1205</v>
      </c>
      <c r="C358" s="445" t="s">
        <v>1185</v>
      </c>
      <c r="D358" s="445" t="s">
        <v>633</v>
      </c>
      <c r="E358" s="445"/>
      <c r="F358" s="446"/>
      <c r="G358" s="553">
        <f t="shared" si="13"/>
        <v>6680765</v>
      </c>
      <c r="H358" s="554"/>
      <c r="I358" s="553">
        <f t="shared" si="11"/>
        <v>6680765</v>
      </c>
      <c r="J358" s="553">
        <f t="shared" si="14"/>
        <v>6214665</v>
      </c>
      <c r="K358" s="554"/>
      <c r="L358" s="553">
        <f t="shared" si="12"/>
        <v>6214665</v>
      </c>
    </row>
    <row r="359" spans="1:12" ht="48.75" customHeight="1">
      <c r="A359" s="612" t="s">
        <v>1187</v>
      </c>
      <c r="B359" s="445" t="s">
        <v>1205</v>
      </c>
      <c r="C359" s="445" t="s">
        <v>1185</v>
      </c>
      <c r="D359" s="445" t="s">
        <v>633</v>
      </c>
      <c r="E359" s="445" t="s">
        <v>1175</v>
      </c>
      <c r="F359" s="446"/>
      <c r="G359" s="553">
        <f t="shared" si="13"/>
        <v>6680765</v>
      </c>
      <c r="H359" s="554"/>
      <c r="I359" s="553">
        <f t="shared" si="11"/>
        <v>6680765</v>
      </c>
      <c r="J359" s="553">
        <f t="shared" si="14"/>
        <v>6214665</v>
      </c>
      <c r="K359" s="554"/>
      <c r="L359" s="553">
        <f t="shared" si="12"/>
        <v>6214665</v>
      </c>
    </row>
    <row r="360" spans="1:12" ht="65.25" customHeight="1">
      <c r="A360" s="606" t="s">
        <v>1188</v>
      </c>
      <c r="B360" s="445" t="s">
        <v>1205</v>
      </c>
      <c r="C360" s="457" t="s">
        <v>1185</v>
      </c>
      <c r="D360" s="457" t="s">
        <v>633</v>
      </c>
      <c r="E360" s="457" t="s">
        <v>1189</v>
      </c>
      <c r="F360" s="464"/>
      <c r="G360" s="555">
        <f t="shared" si="13"/>
        <v>6680765</v>
      </c>
      <c r="H360" s="554"/>
      <c r="I360" s="553">
        <f t="shared" si="11"/>
        <v>6680765</v>
      </c>
      <c r="J360" s="555">
        <f t="shared" si="14"/>
        <v>6214665</v>
      </c>
      <c r="K360" s="554"/>
      <c r="L360" s="553">
        <f t="shared" si="12"/>
        <v>6214665</v>
      </c>
    </row>
    <row r="361" spans="1:12" ht="33.75" customHeight="1">
      <c r="A361" s="612" t="s">
        <v>1190</v>
      </c>
      <c r="B361" s="445" t="s">
        <v>1205</v>
      </c>
      <c r="C361" s="445" t="s">
        <v>1185</v>
      </c>
      <c r="D361" s="445" t="s">
        <v>633</v>
      </c>
      <c r="E361" s="445" t="s">
        <v>1191</v>
      </c>
      <c r="F361" s="446"/>
      <c r="G361" s="553">
        <f t="shared" si="13"/>
        <v>6680765</v>
      </c>
      <c r="H361" s="554"/>
      <c r="I361" s="553">
        <f t="shared" si="11"/>
        <v>6680765</v>
      </c>
      <c r="J361" s="553">
        <f t="shared" si="14"/>
        <v>6214665</v>
      </c>
      <c r="K361" s="554"/>
      <c r="L361" s="553">
        <f t="shared" si="12"/>
        <v>6214665</v>
      </c>
    </row>
    <row r="362" spans="1:12" ht="39">
      <c r="A362" s="611" t="s">
        <v>1192</v>
      </c>
      <c r="B362" s="445" t="s">
        <v>1205</v>
      </c>
      <c r="C362" s="445" t="s">
        <v>1185</v>
      </c>
      <c r="D362" s="445" t="s">
        <v>633</v>
      </c>
      <c r="E362" s="445" t="s">
        <v>1193</v>
      </c>
      <c r="F362" s="446"/>
      <c r="G362" s="553">
        <f t="shared" si="13"/>
        <v>6680765</v>
      </c>
      <c r="H362" s="554"/>
      <c r="I362" s="553">
        <f t="shared" si="11"/>
        <v>6680765</v>
      </c>
      <c r="J362" s="553">
        <f t="shared" si="14"/>
        <v>6214665</v>
      </c>
      <c r="K362" s="554"/>
      <c r="L362" s="553">
        <f t="shared" si="12"/>
        <v>6214665</v>
      </c>
    </row>
    <row r="363" spans="1:12" ht="15">
      <c r="A363" s="625" t="s">
        <v>814</v>
      </c>
      <c r="B363" s="445" t="s">
        <v>1205</v>
      </c>
      <c r="C363" s="445" t="s">
        <v>1185</v>
      </c>
      <c r="D363" s="445" t="s">
        <v>633</v>
      </c>
      <c r="E363" s="445" t="s">
        <v>1193</v>
      </c>
      <c r="F363" s="456" t="s">
        <v>815</v>
      </c>
      <c r="G363" s="553">
        <v>6680765</v>
      </c>
      <c r="H363" s="554"/>
      <c r="I363" s="553">
        <f t="shared" si="11"/>
        <v>6680765</v>
      </c>
      <c r="J363" s="553">
        <v>6214665</v>
      </c>
      <c r="K363" s="554"/>
      <c r="L363" s="553">
        <f t="shared" si="12"/>
        <v>6214665</v>
      </c>
    </row>
    <row r="364" spans="1:12" ht="31.5" customHeight="1">
      <c r="A364" s="606" t="s">
        <v>1219</v>
      </c>
      <c r="B364" s="445" t="s">
        <v>1220</v>
      </c>
      <c r="C364" s="445"/>
      <c r="D364" s="445"/>
      <c r="E364" s="474"/>
      <c r="F364" s="481"/>
      <c r="G364" s="553">
        <f>G365+G372+G494</f>
        <v>311417329</v>
      </c>
      <c r="H364" s="554">
        <f>H365+H372+H494</f>
        <v>15037667</v>
      </c>
      <c r="I364" s="553">
        <f t="shared" si="11"/>
        <v>326454996</v>
      </c>
      <c r="J364" s="553">
        <f>J365+J372+J494</f>
        <v>311938016</v>
      </c>
      <c r="K364" s="554">
        <f>K365+K372+K494</f>
        <v>15037667</v>
      </c>
      <c r="L364" s="553">
        <f t="shared" si="12"/>
        <v>326975683</v>
      </c>
    </row>
    <row r="365" spans="1:12" ht="15" customHeight="1" hidden="1">
      <c r="A365" s="607" t="s">
        <v>850</v>
      </c>
      <c r="B365" s="445" t="s">
        <v>1220</v>
      </c>
      <c r="C365" s="445" t="s">
        <v>658</v>
      </c>
      <c r="D365" s="445"/>
      <c r="E365" s="445"/>
      <c r="F365" s="446"/>
      <c r="G365" s="553">
        <f>G366</f>
        <v>0</v>
      </c>
      <c r="H365" s="554">
        <f>H366</f>
        <v>0</v>
      </c>
      <c r="I365" s="553">
        <f t="shared" si="11"/>
        <v>0</v>
      </c>
      <c r="J365" s="553">
        <f>J366</f>
        <v>0</v>
      </c>
      <c r="K365" s="554">
        <f>K366</f>
        <v>0</v>
      </c>
      <c r="L365" s="553">
        <f t="shared" si="12"/>
        <v>0</v>
      </c>
    </row>
    <row r="366" spans="1:12" ht="15" customHeight="1" hidden="1">
      <c r="A366" s="607" t="s">
        <v>891</v>
      </c>
      <c r="B366" s="445" t="s">
        <v>1220</v>
      </c>
      <c r="C366" s="445" t="s">
        <v>658</v>
      </c>
      <c r="D366" s="445" t="s">
        <v>892</v>
      </c>
      <c r="E366" s="445"/>
      <c r="F366" s="446"/>
      <c r="G366" s="553">
        <f>G367</f>
        <v>0</v>
      </c>
      <c r="H366" s="554">
        <f>H367</f>
        <v>0</v>
      </c>
      <c r="I366" s="553">
        <f t="shared" si="11"/>
        <v>0</v>
      </c>
      <c r="J366" s="553">
        <f>J367</f>
        <v>0</v>
      </c>
      <c r="K366" s="554">
        <f>K367</f>
        <v>0</v>
      </c>
      <c r="L366" s="553">
        <f t="shared" si="12"/>
        <v>0</v>
      </c>
    </row>
    <row r="367" spans="1:12" ht="39" customHeight="1" hidden="1">
      <c r="A367" s="624" t="s">
        <v>1221</v>
      </c>
      <c r="B367" s="445" t="s">
        <v>1220</v>
      </c>
      <c r="C367" s="445" t="s">
        <v>658</v>
      </c>
      <c r="D367" s="445" t="s">
        <v>892</v>
      </c>
      <c r="E367" s="500" t="s">
        <v>904</v>
      </c>
      <c r="F367" s="446"/>
      <c r="G367" s="553">
        <f>G368</f>
        <v>0</v>
      </c>
      <c r="H367" s="554"/>
      <c r="I367" s="553">
        <f t="shared" si="11"/>
        <v>0</v>
      </c>
      <c r="J367" s="553">
        <f>J368</f>
        <v>0</v>
      </c>
      <c r="K367" s="554"/>
      <c r="L367" s="553">
        <f t="shared" si="12"/>
        <v>0</v>
      </c>
    </row>
    <row r="368" spans="1:12" ht="72" customHeight="1" hidden="1">
      <c r="A368" s="616" t="s">
        <v>1222</v>
      </c>
      <c r="B368" s="445" t="s">
        <v>1220</v>
      </c>
      <c r="C368" s="445" t="s">
        <v>658</v>
      </c>
      <c r="D368" s="445" t="s">
        <v>892</v>
      </c>
      <c r="E368" s="500" t="s">
        <v>906</v>
      </c>
      <c r="F368" s="446"/>
      <c r="G368" s="553">
        <f>G369</f>
        <v>0</v>
      </c>
      <c r="H368" s="554"/>
      <c r="I368" s="553">
        <f t="shared" si="11"/>
        <v>0</v>
      </c>
      <c r="J368" s="553">
        <f>J369</f>
        <v>0</v>
      </c>
      <c r="K368" s="554"/>
      <c r="L368" s="553">
        <f t="shared" si="12"/>
        <v>0</v>
      </c>
    </row>
    <row r="369" spans="1:12" ht="30.75" customHeight="1" hidden="1">
      <c r="A369" s="567" t="s">
        <v>907</v>
      </c>
      <c r="B369" s="445" t="s">
        <v>1220</v>
      </c>
      <c r="C369" s="445" t="s">
        <v>658</v>
      </c>
      <c r="D369" s="445" t="s">
        <v>892</v>
      </c>
      <c r="E369" s="500" t="s">
        <v>908</v>
      </c>
      <c r="F369" s="446"/>
      <c r="G369" s="553">
        <f>G370</f>
        <v>0</v>
      </c>
      <c r="H369" s="554"/>
      <c r="I369" s="553">
        <f>I370</f>
        <v>0</v>
      </c>
      <c r="J369" s="553">
        <f>J370</f>
        <v>0</v>
      </c>
      <c r="K369" s="554"/>
      <c r="L369" s="553">
        <f>L370</f>
        <v>0</v>
      </c>
    </row>
    <row r="370" spans="1:12" ht="19.5" customHeight="1" hidden="1">
      <c r="A370" s="606" t="s">
        <v>909</v>
      </c>
      <c r="B370" s="445" t="s">
        <v>1220</v>
      </c>
      <c r="C370" s="445" t="s">
        <v>658</v>
      </c>
      <c r="D370" s="445" t="s">
        <v>892</v>
      </c>
      <c r="E370" s="500" t="s">
        <v>910</v>
      </c>
      <c r="F370" s="446"/>
      <c r="G370" s="553">
        <f>G371</f>
        <v>0</v>
      </c>
      <c r="H370" s="554"/>
      <c r="I370" s="553">
        <f aca="true" t="shared" si="15" ref="I370:I433">G370+H370</f>
        <v>0</v>
      </c>
      <c r="J370" s="553">
        <f>J371</f>
        <v>0</v>
      </c>
      <c r="K370" s="554"/>
      <c r="L370" s="553">
        <f aca="true" t="shared" si="16" ref="L370:L433">J370+K370</f>
        <v>0</v>
      </c>
    </row>
    <row r="371" spans="1:12" ht="24.75" customHeight="1" hidden="1">
      <c r="A371" s="609" t="s">
        <v>654</v>
      </c>
      <c r="B371" s="445" t="s">
        <v>1220</v>
      </c>
      <c r="C371" s="445" t="s">
        <v>658</v>
      </c>
      <c r="D371" s="445" t="s">
        <v>892</v>
      </c>
      <c r="E371" s="500" t="s">
        <v>910</v>
      </c>
      <c r="F371" s="446" t="s">
        <v>655</v>
      </c>
      <c r="G371" s="553"/>
      <c r="H371" s="554"/>
      <c r="I371" s="553">
        <f t="shared" si="15"/>
        <v>0</v>
      </c>
      <c r="J371" s="553"/>
      <c r="K371" s="554"/>
      <c r="L371" s="553">
        <f t="shared" si="16"/>
        <v>0</v>
      </c>
    </row>
    <row r="372" spans="1:12" ht="16.5" customHeight="1">
      <c r="A372" s="607" t="s">
        <v>980</v>
      </c>
      <c r="B372" s="445" t="s">
        <v>1220</v>
      </c>
      <c r="C372" s="445" t="s">
        <v>721</v>
      </c>
      <c r="D372" s="445"/>
      <c r="E372" s="474"/>
      <c r="F372" s="481"/>
      <c r="G372" s="553">
        <f>G373+G390+G453+G461+G477</f>
        <v>280916344</v>
      </c>
      <c r="H372" s="553">
        <f>H373+H390+H453+H461+H477</f>
        <v>15037667</v>
      </c>
      <c r="I372" s="553">
        <f t="shared" si="15"/>
        <v>295954011</v>
      </c>
      <c r="J372" s="553">
        <f>J373+J390+J453+J461+J477</f>
        <v>281437031</v>
      </c>
      <c r="K372" s="553">
        <f>K373+K390+K453+K461+K477</f>
        <v>15037667</v>
      </c>
      <c r="L372" s="553">
        <f t="shared" si="16"/>
        <v>296474698</v>
      </c>
    </row>
    <row r="373" spans="1:12" ht="18" customHeight="1">
      <c r="A373" s="607" t="s">
        <v>981</v>
      </c>
      <c r="B373" s="445" t="s">
        <v>1220</v>
      </c>
      <c r="C373" s="445" t="s">
        <v>721</v>
      </c>
      <c r="D373" s="445" t="s">
        <v>633</v>
      </c>
      <c r="E373" s="474"/>
      <c r="F373" s="481"/>
      <c r="G373" s="553">
        <f aca="true" t="shared" si="17" ref="G373:K375">G374</f>
        <v>68011373</v>
      </c>
      <c r="H373" s="553">
        <f t="shared" si="17"/>
        <v>6548886</v>
      </c>
      <c r="I373" s="553">
        <f t="shared" si="15"/>
        <v>74560259</v>
      </c>
      <c r="J373" s="553">
        <f t="shared" si="17"/>
        <v>67011373</v>
      </c>
      <c r="K373" s="553">
        <f t="shared" si="17"/>
        <v>6548886</v>
      </c>
      <c r="L373" s="553">
        <f t="shared" si="16"/>
        <v>73560259</v>
      </c>
    </row>
    <row r="374" spans="1:12" ht="29.25" customHeight="1">
      <c r="A374" s="607" t="s">
        <v>982</v>
      </c>
      <c r="B374" s="445" t="s">
        <v>1220</v>
      </c>
      <c r="C374" s="445" t="s">
        <v>721</v>
      </c>
      <c r="D374" s="445" t="s">
        <v>633</v>
      </c>
      <c r="E374" s="445" t="s">
        <v>983</v>
      </c>
      <c r="F374" s="446"/>
      <c r="G374" s="553">
        <f t="shared" si="17"/>
        <v>68011373</v>
      </c>
      <c r="H374" s="554">
        <f t="shared" si="17"/>
        <v>6548886</v>
      </c>
      <c r="I374" s="553">
        <f t="shared" si="15"/>
        <v>74560259</v>
      </c>
      <c r="J374" s="553">
        <f t="shared" si="17"/>
        <v>67011373</v>
      </c>
      <c r="K374" s="554">
        <f t="shared" si="17"/>
        <v>6548886</v>
      </c>
      <c r="L374" s="553">
        <f t="shared" si="16"/>
        <v>73560259</v>
      </c>
    </row>
    <row r="375" spans="1:12" ht="41.25" customHeight="1">
      <c r="A375" s="606" t="s">
        <v>984</v>
      </c>
      <c r="B375" s="445" t="s">
        <v>1220</v>
      </c>
      <c r="C375" s="457" t="s">
        <v>721</v>
      </c>
      <c r="D375" s="457" t="s">
        <v>633</v>
      </c>
      <c r="E375" s="457" t="s">
        <v>985</v>
      </c>
      <c r="F375" s="464"/>
      <c r="G375" s="555">
        <f t="shared" si="17"/>
        <v>68011373</v>
      </c>
      <c r="H375" s="555">
        <f t="shared" si="17"/>
        <v>6548886</v>
      </c>
      <c r="I375" s="553">
        <f t="shared" si="15"/>
        <v>74560259</v>
      </c>
      <c r="J375" s="555">
        <f t="shared" si="17"/>
        <v>67011373</v>
      </c>
      <c r="K375" s="555">
        <f t="shared" si="17"/>
        <v>6548886</v>
      </c>
      <c r="L375" s="553">
        <f t="shared" si="16"/>
        <v>73560259</v>
      </c>
    </row>
    <row r="376" spans="1:12" ht="27.75" customHeight="1">
      <c r="A376" s="567" t="s">
        <v>986</v>
      </c>
      <c r="B376" s="445" t="s">
        <v>1220</v>
      </c>
      <c r="C376" s="445" t="s">
        <v>721</v>
      </c>
      <c r="D376" s="445" t="s">
        <v>633</v>
      </c>
      <c r="E376" s="445" t="s">
        <v>987</v>
      </c>
      <c r="F376" s="446"/>
      <c r="G376" s="553">
        <f>G377+G384+G386+G382+G380</f>
        <v>68011373</v>
      </c>
      <c r="H376" s="554">
        <f>H377+H386</f>
        <v>6548886</v>
      </c>
      <c r="I376" s="553">
        <f t="shared" si="15"/>
        <v>74560259</v>
      </c>
      <c r="J376" s="553">
        <f>J377+J384+J386+J382+J380</f>
        <v>67011373</v>
      </c>
      <c r="K376" s="554">
        <f>K377+K386</f>
        <v>6548886</v>
      </c>
      <c r="L376" s="553">
        <f t="shared" si="16"/>
        <v>73560259</v>
      </c>
    </row>
    <row r="377" spans="1:12" ht="84.75" customHeight="1">
      <c r="A377" s="611" t="s">
        <v>988</v>
      </c>
      <c r="B377" s="445" t="s">
        <v>1220</v>
      </c>
      <c r="C377" s="445" t="s">
        <v>721</v>
      </c>
      <c r="D377" s="445" t="s">
        <v>633</v>
      </c>
      <c r="E377" s="445" t="s">
        <v>989</v>
      </c>
      <c r="F377" s="446"/>
      <c r="G377" s="553">
        <f>G378+G379</f>
        <v>39608388</v>
      </c>
      <c r="H377" s="554"/>
      <c r="I377" s="553">
        <f t="shared" si="15"/>
        <v>39608388</v>
      </c>
      <c r="J377" s="553">
        <f>J378+J379</f>
        <v>39608388</v>
      </c>
      <c r="K377" s="554"/>
      <c r="L377" s="553">
        <f t="shared" si="16"/>
        <v>39608388</v>
      </c>
    </row>
    <row r="378" spans="1:12" ht="60" customHeight="1">
      <c r="A378" s="629" t="s">
        <v>642</v>
      </c>
      <c r="B378" s="445" t="s">
        <v>1220</v>
      </c>
      <c r="C378" s="445" t="s">
        <v>721</v>
      </c>
      <c r="D378" s="445" t="s">
        <v>633</v>
      </c>
      <c r="E378" s="445" t="s">
        <v>989</v>
      </c>
      <c r="F378" s="446" t="s">
        <v>643</v>
      </c>
      <c r="G378" s="553">
        <f>45470627-6371741</f>
        <v>39098886</v>
      </c>
      <c r="H378" s="554"/>
      <c r="I378" s="553">
        <f t="shared" si="15"/>
        <v>39098886</v>
      </c>
      <c r="J378" s="553">
        <f>45470627-6371741</f>
        <v>39098886</v>
      </c>
      <c r="K378" s="554"/>
      <c r="L378" s="553">
        <f t="shared" si="16"/>
        <v>39098886</v>
      </c>
    </row>
    <row r="379" spans="1:12" ht="31.5" customHeight="1">
      <c r="A379" s="609" t="s">
        <v>654</v>
      </c>
      <c r="B379" s="445" t="s">
        <v>1220</v>
      </c>
      <c r="C379" s="445" t="s">
        <v>721</v>
      </c>
      <c r="D379" s="445" t="s">
        <v>633</v>
      </c>
      <c r="E379" s="445" t="s">
        <v>989</v>
      </c>
      <c r="F379" s="446" t="s">
        <v>655</v>
      </c>
      <c r="G379" s="553">
        <v>509502</v>
      </c>
      <c r="H379" s="554"/>
      <c r="I379" s="553">
        <f t="shared" si="15"/>
        <v>509502</v>
      </c>
      <c r="J379" s="553">
        <v>509502</v>
      </c>
      <c r="K379" s="554"/>
      <c r="L379" s="553">
        <f t="shared" si="16"/>
        <v>509502</v>
      </c>
    </row>
    <row r="380" spans="1:12" ht="0.75" customHeight="1" hidden="1">
      <c r="A380" s="611" t="s">
        <v>1006</v>
      </c>
      <c r="B380" s="445" t="s">
        <v>1220</v>
      </c>
      <c r="C380" s="445" t="s">
        <v>721</v>
      </c>
      <c r="D380" s="445" t="s">
        <v>633</v>
      </c>
      <c r="E380" s="445" t="s">
        <v>1223</v>
      </c>
      <c r="F380" s="446"/>
      <c r="G380" s="553">
        <f>G381</f>
        <v>0</v>
      </c>
      <c r="H380" s="554"/>
      <c r="I380" s="553">
        <f t="shared" si="15"/>
        <v>0</v>
      </c>
      <c r="J380" s="553">
        <f>J381</f>
        <v>0</v>
      </c>
      <c r="K380" s="554"/>
      <c r="L380" s="553">
        <f t="shared" si="16"/>
        <v>0</v>
      </c>
    </row>
    <row r="381" spans="1:12" ht="26.25" customHeight="1" hidden="1">
      <c r="A381" s="609" t="s">
        <v>654</v>
      </c>
      <c r="B381" s="445" t="s">
        <v>1220</v>
      </c>
      <c r="C381" s="445" t="s">
        <v>721</v>
      </c>
      <c r="D381" s="445" t="s">
        <v>633</v>
      </c>
      <c r="E381" s="445" t="s">
        <v>1223</v>
      </c>
      <c r="F381" s="446" t="s">
        <v>655</v>
      </c>
      <c r="G381" s="553"/>
      <c r="H381" s="554"/>
      <c r="I381" s="553">
        <f t="shared" si="15"/>
        <v>0</v>
      </c>
      <c r="J381" s="553"/>
      <c r="K381" s="554"/>
      <c r="L381" s="553">
        <f t="shared" si="16"/>
        <v>0</v>
      </c>
    </row>
    <row r="382" spans="1:12" ht="0.75" customHeight="1" hidden="1">
      <c r="A382" s="611" t="s">
        <v>1008</v>
      </c>
      <c r="B382" s="445" t="s">
        <v>1220</v>
      </c>
      <c r="C382" s="445" t="s">
        <v>721</v>
      </c>
      <c r="D382" s="445" t="s">
        <v>633</v>
      </c>
      <c r="E382" s="445" t="s">
        <v>1224</v>
      </c>
      <c r="F382" s="446"/>
      <c r="G382" s="553">
        <f>G383</f>
        <v>0</v>
      </c>
      <c r="H382" s="554"/>
      <c r="I382" s="553">
        <f t="shared" si="15"/>
        <v>0</v>
      </c>
      <c r="J382" s="553">
        <f>J383</f>
        <v>0</v>
      </c>
      <c r="K382" s="554"/>
      <c r="L382" s="553">
        <f t="shared" si="16"/>
        <v>0</v>
      </c>
    </row>
    <row r="383" spans="1:12" ht="26.25" customHeight="1" hidden="1">
      <c r="A383" s="609" t="s">
        <v>654</v>
      </c>
      <c r="B383" s="445" t="s">
        <v>1220</v>
      </c>
      <c r="C383" s="445" t="s">
        <v>721</v>
      </c>
      <c r="D383" s="445" t="s">
        <v>633</v>
      </c>
      <c r="E383" s="445" t="s">
        <v>1224</v>
      </c>
      <c r="F383" s="446" t="s">
        <v>655</v>
      </c>
      <c r="G383" s="553">
        <f>175343-175343</f>
        <v>0</v>
      </c>
      <c r="H383" s="554"/>
      <c r="I383" s="553">
        <f t="shared" si="15"/>
        <v>0</v>
      </c>
      <c r="J383" s="553">
        <f>175343-175343</f>
        <v>0</v>
      </c>
      <c r="K383" s="554"/>
      <c r="L383" s="553">
        <f t="shared" si="16"/>
        <v>0</v>
      </c>
    </row>
    <row r="384" spans="1:12" ht="26.25" customHeight="1" hidden="1">
      <c r="A384" s="611" t="s">
        <v>1225</v>
      </c>
      <c r="B384" s="445" t="s">
        <v>1220</v>
      </c>
      <c r="C384" s="445" t="s">
        <v>721</v>
      </c>
      <c r="D384" s="445" t="s">
        <v>633</v>
      </c>
      <c r="E384" s="445" t="s">
        <v>1226</v>
      </c>
      <c r="F384" s="446"/>
      <c r="G384" s="553">
        <f>G385</f>
        <v>0</v>
      </c>
      <c r="H384" s="554"/>
      <c r="I384" s="553">
        <f t="shared" si="15"/>
        <v>0</v>
      </c>
      <c r="J384" s="553">
        <f>J385</f>
        <v>0</v>
      </c>
      <c r="K384" s="554"/>
      <c r="L384" s="553">
        <f t="shared" si="16"/>
        <v>0</v>
      </c>
    </row>
    <row r="385" spans="1:12" ht="26.25" customHeight="1" hidden="1">
      <c r="A385" s="609" t="s">
        <v>654</v>
      </c>
      <c r="B385" s="445" t="s">
        <v>1220</v>
      </c>
      <c r="C385" s="445" t="s">
        <v>721</v>
      </c>
      <c r="D385" s="445" t="s">
        <v>633</v>
      </c>
      <c r="E385" s="445" t="s">
        <v>1226</v>
      </c>
      <c r="F385" s="446" t="s">
        <v>655</v>
      </c>
      <c r="G385" s="553"/>
      <c r="H385" s="554"/>
      <c r="I385" s="553">
        <f t="shared" si="15"/>
        <v>0</v>
      </c>
      <c r="J385" s="553"/>
      <c r="K385" s="554"/>
      <c r="L385" s="553">
        <f t="shared" si="16"/>
        <v>0</v>
      </c>
    </row>
    <row r="386" spans="1:12" ht="25.5" customHeight="1">
      <c r="A386" s="567" t="s">
        <v>816</v>
      </c>
      <c r="B386" s="445" t="s">
        <v>1220</v>
      </c>
      <c r="C386" s="445" t="s">
        <v>721</v>
      </c>
      <c r="D386" s="445" t="s">
        <v>633</v>
      </c>
      <c r="E386" s="445" t="s">
        <v>990</v>
      </c>
      <c r="F386" s="446"/>
      <c r="G386" s="553">
        <f>G387+G388+G389</f>
        <v>28402985</v>
      </c>
      <c r="H386" s="554">
        <f>H387+H388+H389</f>
        <v>6548886</v>
      </c>
      <c r="I386" s="553">
        <f t="shared" si="15"/>
        <v>34951871</v>
      </c>
      <c r="J386" s="553">
        <f>J387+J388+J389</f>
        <v>27402985</v>
      </c>
      <c r="K386" s="554">
        <f>K387+K388+K389</f>
        <v>6548886</v>
      </c>
      <c r="L386" s="553">
        <f t="shared" si="16"/>
        <v>33951871</v>
      </c>
    </row>
    <row r="387" spans="1:12" ht="45" customHeight="1">
      <c r="A387" s="609" t="s">
        <v>642</v>
      </c>
      <c r="B387" s="445" t="s">
        <v>1220</v>
      </c>
      <c r="C387" s="445" t="s">
        <v>721</v>
      </c>
      <c r="D387" s="445" t="s">
        <v>633</v>
      </c>
      <c r="E387" s="445" t="s">
        <v>990</v>
      </c>
      <c r="F387" s="446" t="s">
        <v>643</v>
      </c>
      <c r="G387" s="553">
        <f>22202400-4000000</f>
        <v>18202400</v>
      </c>
      <c r="H387" s="554"/>
      <c r="I387" s="553">
        <f t="shared" si="15"/>
        <v>18202400</v>
      </c>
      <c r="J387" s="553">
        <f>22202400-5000000</f>
        <v>17202400</v>
      </c>
      <c r="K387" s="554"/>
      <c r="L387" s="553">
        <f t="shared" si="16"/>
        <v>17202400</v>
      </c>
    </row>
    <row r="388" spans="1:12" ht="28.5" customHeight="1">
      <c r="A388" s="609" t="s">
        <v>654</v>
      </c>
      <c r="B388" s="445" t="s">
        <v>1220</v>
      </c>
      <c r="C388" s="445" t="s">
        <v>721</v>
      </c>
      <c r="D388" s="445" t="s">
        <v>633</v>
      </c>
      <c r="E388" s="445" t="s">
        <v>990</v>
      </c>
      <c r="F388" s="446" t="s">
        <v>655</v>
      </c>
      <c r="G388" s="553">
        <v>8276200</v>
      </c>
      <c r="H388" s="554">
        <f>6390555+158331</f>
        <v>6548886</v>
      </c>
      <c r="I388" s="553">
        <f t="shared" si="15"/>
        <v>14825086</v>
      </c>
      <c r="J388" s="553">
        <v>8276200</v>
      </c>
      <c r="K388" s="554">
        <f>6390555+158331</f>
        <v>6548886</v>
      </c>
      <c r="L388" s="553">
        <f t="shared" si="16"/>
        <v>14825086</v>
      </c>
    </row>
    <row r="389" spans="1:12" ht="15">
      <c r="A389" s="567" t="s">
        <v>696</v>
      </c>
      <c r="B389" s="445" t="s">
        <v>1220</v>
      </c>
      <c r="C389" s="445" t="s">
        <v>721</v>
      </c>
      <c r="D389" s="445" t="s">
        <v>633</v>
      </c>
      <c r="E389" s="445" t="s">
        <v>990</v>
      </c>
      <c r="F389" s="446" t="s">
        <v>697</v>
      </c>
      <c r="G389" s="553">
        <v>1924385</v>
      </c>
      <c r="H389" s="554"/>
      <c r="I389" s="553">
        <f t="shared" si="15"/>
        <v>1924385</v>
      </c>
      <c r="J389" s="553">
        <v>1924385</v>
      </c>
      <c r="K389" s="554"/>
      <c r="L389" s="553">
        <f t="shared" si="16"/>
        <v>1924385</v>
      </c>
    </row>
    <row r="390" spans="1:12" ht="15">
      <c r="A390" s="607" t="s">
        <v>997</v>
      </c>
      <c r="B390" s="445" t="s">
        <v>1220</v>
      </c>
      <c r="C390" s="445" t="s">
        <v>721</v>
      </c>
      <c r="D390" s="445" t="s">
        <v>635</v>
      </c>
      <c r="E390" s="445"/>
      <c r="F390" s="446"/>
      <c r="G390" s="553">
        <f>G391+G440+G433+G448+G426</f>
        <v>191578099</v>
      </c>
      <c r="H390" s="553">
        <f>H391+H440+H433+H448</f>
        <v>7257341</v>
      </c>
      <c r="I390" s="553">
        <f t="shared" si="15"/>
        <v>198835440</v>
      </c>
      <c r="J390" s="553">
        <f>J391+J440+J433+J448+J426</f>
        <v>191578099</v>
      </c>
      <c r="K390" s="553">
        <f>K391+K440+K433+K448</f>
        <v>7257341</v>
      </c>
      <c r="L390" s="553">
        <f t="shared" si="16"/>
        <v>198835440</v>
      </c>
    </row>
    <row r="391" spans="1:12" ht="26.25">
      <c r="A391" s="607" t="s">
        <v>982</v>
      </c>
      <c r="B391" s="445" t="s">
        <v>1220</v>
      </c>
      <c r="C391" s="445" t="s">
        <v>721</v>
      </c>
      <c r="D391" s="445" t="s">
        <v>635</v>
      </c>
      <c r="E391" s="445" t="s">
        <v>983</v>
      </c>
      <c r="F391" s="446"/>
      <c r="G391" s="553">
        <f>G392</f>
        <v>191400299</v>
      </c>
      <c r="H391" s="553">
        <f>H392</f>
        <v>7257341</v>
      </c>
      <c r="I391" s="553">
        <f t="shared" si="15"/>
        <v>198657640</v>
      </c>
      <c r="J391" s="553">
        <f>J392</f>
        <v>191400299</v>
      </c>
      <c r="K391" s="553">
        <f>K392</f>
        <v>7257341</v>
      </c>
      <c r="L391" s="553">
        <f t="shared" si="16"/>
        <v>198657640</v>
      </c>
    </row>
    <row r="392" spans="1:12" ht="39">
      <c r="A392" s="606" t="s">
        <v>984</v>
      </c>
      <c r="B392" s="445" t="s">
        <v>1220</v>
      </c>
      <c r="C392" s="457" t="s">
        <v>721</v>
      </c>
      <c r="D392" s="457" t="s">
        <v>635</v>
      </c>
      <c r="E392" s="457" t="s">
        <v>985</v>
      </c>
      <c r="F392" s="464"/>
      <c r="G392" s="555">
        <f>G393+G421</f>
        <v>191400299</v>
      </c>
      <c r="H392" s="555">
        <f>H393+H421</f>
        <v>7257341</v>
      </c>
      <c r="I392" s="553">
        <f t="shared" si="15"/>
        <v>198657640</v>
      </c>
      <c r="J392" s="555">
        <f>J393+J421</f>
        <v>191400299</v>
      </c>
      <c r="K392" s="555">
        <f>K393+K421</f>
        <v>7257341</v>
      </c>
      <c r="L392" s="553">
        <f t="shared" si="16"/>
        <v>198657640</v>
      </c>
    </row>
    <row r="393" spans="1:12" ht="33.75" customHeight="1">
      <c r="A393" s="567" t="s">
        <v>1002</v>
      </c>
      <c r="B393" s="445" t="s">
        <v>1220</v>
      </c>
      <c r="C393" s="445" t="s">
        <v>721</v>
      </c>
      <c r="D393" s="445" t="s">
        <v>635</v>
      </c>
      <c r="E393" s="445" t="s">
        <v>1003</v>
      </c>
      <c r="F393" s="446"/>
      <c r="G393" s="553">
        <f>G398+G406+G408+G410+G412+G414+G416+G419+G401+G403+G394+G396</f>
        <v>191400299</v>
      </c>
      <c r="H393" s="553">
        <f>H398+H406+H408+H410+H412+H414+H416+H419+H401+H403+H394+H396</f>
        <v>7257341</v>
      </c>
      <c r="I393" s="553">
        <f t="shared" si="15"/>
        <v>198657640</v>
      </c>
      <c r="J393" s="553">
        <f>J398+J406+J408+J410+J412+J414+J416+J419+J401+J403+J394+J396</f>
        <v>191400299</v>
      </c>
      <c r="K393" s="553">
        <f>K398+K406+K408+K410+K412+K414+K416+K419+K401+K403+K394+K396</f>
        <v>7257341</v>
      </c>
      <c r="L393" s="553">
        <f t="shared" si="16"/>
        <v>198657640</v>
      </c>
    </row>
    <row r="394" spans="1:12" ht="38.25" customHeight="1" hidden="1">
      <c r="A394" s="567" t="s">
        <v>1227</v>
      </c>
      <c r="B394" s="445" t="s">
        <v>1220</v>
      </c>
      <c r="C394" s="445" t="s">
        <v>721</v>
      </c>
      <c r="D394" s="445" t="s">
        <v>635</v>
      </c>
      <c r="E394" s="445" t="s">
        <v>1228</v>
      </c>
      <c r="F394" s="446"/>
      <c r="G394" s="553">
        <f>G395</f>
        <v>0</v>
      </c>
      <c r="H394" s="553"/>
      <c r="I394" s="553">
        <f t="shared" si="15"/>
        <v>0</v>
      </c>
      <c r="J394" s="553">
        <f>J395</f>
        <v>0</v>
      </c>
      <c r="K394" s="553"/>
      <c r="L394" s="553">
        <f t="shared" si="16"/>
        <v>0</v>
      </c>
    </row>
    <row r="395" spans="1:12" ht="26.25" customHeight="1" hidden="1">
      <c r="A395" s="609" t="s">
        <v>654</v>
      </c>
      <c r="B395" s="445" t="s">
        <v>1220</v>
      </c>
      <c r="C395" s="445" t="s">
        <v>721</v>
      </c>
      <c r="D395" s="445" t="s">
        <v>635</v>
      </c>
      <c r="E395" s="445" t="s">
        <v>1228</v>
      </c>
      <c r="F395" s="446" t="s">
        <v>655</v>
      </c>
      <c r="G395" s="553"/>
      <c r="H395" s="553"/>
      <c r="I395" s="553">
        <f t="shared" si="15"/>
        <v>0</v>
      </c>
      <c r="J395" s="553"/>
      <c r="K395" s="553"/>
      <c r="L395" s="553">
        <f t="shared" si="16"/>
        <v>0</v>
      </c>
    </row>
    <row r="396" spans="1:12" ht="33" customHeight="1" hidden="1">
      <c r="A396" s="630" t="s">
        <v>1000</v>
      </c>
      <c r="B396" s="445" t="s">
        <v>1220</v>
      </c>
      <c r="C396" s="445" t="s">
        <v>721</v>
      </c>
      <c r="D396" s="445" t="s">
        <v>635</v>
      </c>
      <c r="E396" s="445" t="s">
        <v>1229</v>
      </c>
      <c r="F396" s="446"/>
      <c r="G396" s="553">
        <f>G397</f>
        <v>0</v>
      </c>
      <c r="H396" s="553"/>
      <c r="I396" s="553">
        <f t="shared" si="15"/>
        <v>0</v>
      </c>
      <c r="J396" s="553">
        <f>J397</f>
        <v>0</v>
      </c>
      <c r="K396" s="553"/>
      <c r="L396" s="553">
        <f t="shared" si="16"/>
        <v>0</v>
      </c>
    </row>
    <row r="397" spans="1:12" ht="30" customHeight="1" hidden="1">
      <c r="A397" s="609" t="s">
        <v>654</v>
      </c>
      <c r="B397" s="445" t="s">
        <v>1220</v>
      </c>
      <c r="C397" s="445" t="s">
        <v>721</v>
      </c>
      <c r="D397" s="445" t="s">
        <v>635</v>
      </c>
      <c r="E397" s="445" t="s">
        <v>1229</v>
      </c>
      <c r="F397" s="446" t="s">
        <v>655</v>
      </c>
      <c r="G397" s="553"/>
      <c r="H397" s="553"/>
      <c r="I397" s="553">
        <f t="shared" si="15"/>
        <v>0</v>
      </c>
      <c r="J397" s="553"/>
      <c r="K397" s="553"/>
      <c r="L397" s="553">
        <f t="shared" si="16"/>
        <v>0</v>
      </c>
    </row>
    <row r="398" spans="1:12" ht="81" customHeight="1">
      <c r="A398" s="611" t="s">
        <v>1004</v>
      </c>
      <c r="B398" s="445" t="s">
        <v>1220</v>
      </c>
      <c r="C398" s="445" t="s">
        <v>721</v>
      </c>
      <c r="D398" s="445" t="s">
        <v>635</v>
      </c>
      <c r="E398" s="445" t="s">
        <v>1005</v>
      </c>
      <c r="F398" s="446"/>
      <c r="G398" s="553">
        <f>G399+G400</f>
        <v>169901716</v>
      </c>
      <c r="H398" s="554"/>
      <c r="I398" s="553">
        <f t="shared" si="15"/>
        <v>169901716</v>
      </c>
      <c r="J398" s="553">
        <f>J399+J400</f>
        <v>169901716</v>
      </c>
      <c r="K398" s="554"/>
      <c r="L398" s="553">
        <f t="shared" si="16"/>
        <v>169901716</v>
      </c>
    </row>
    <row r="399" spans="1:12" ht="60" customHeight="1">
      <c r="A399" s="609" t="s">
        <v>642</v>
      </c>
      <c r="B399" s="445" t="s">
        <v>1220</v>
      </c>
      <c r="C399" s="445" t="s">
        <v>721</v>
      </c>
      <c r="D399" s="445" t="s">
        <v>635</v>
      </c>
      <c r="E399" s="445" t="s">
        <v>1005</v>
      </c>
      <c r="F399" s="446" t="s">
        <v>643</v>
      </c>
      <c r="G399" s="553">
        <v>162981899</v>
      </c>
      <c r="H399" s="554"/>
      <c r="I399" s="553">
        <f t="shared" si="15"/>
        <v>162981899</v>
      </c>
      <c r="J399" s="553">
        <v>162981899</v>
      </c>
      <c r="K399" s="554"/>
      <c r="L399" s="553">
        <f t="shared" si="16"/>
        <v>162981899</v>
      </c>
    </row>
    <row r="400" spans="1:12" ht="27.75" customHeight="1">
      <c r="A400" s="609" t="s">
        <v>654</v>
      </c>
      <c r="B400" s="445" t="s">
        <v>1220</v>
      </c>
      <c r="C400" s="445" t="s">
        <v>721</v>
      </c>
      <c r="D400" s="445" t="s">
        <v>635</v>
      </c>
      <c r="E400" s="445" t="s">
        <v>1005</v>
      </c>
      <c r="F400" s="446" t="s">
        <v>655</v>
      </c>
      <c r="G400" s="553">
        <v>6919817</v>
      </c>
      <c r="H400" s="554"/>
      <c r="I400" s="553">
        <f t="shared" si="15"/>
        <v>6919817</v>
      </c>
      <c r="J400" s="553">
        <v>6919817</v>
      </c>
      <c r="K400" s="554"/>
      <c r="L400" s="553">
        <f t="shared" si="16"/>
        <v>6919817</v>
      </c>
    </row>
    <row r="401" spans="1:12" ht="0.75" customHeight="1" hidden="1">
      <c r="A401" s="611" t="s">
        <v>1006</v>
      </c>
      <c r="B401" s="445" t="s">
        <v>1220</v>
      </c>
      <c r="C401" s="445" t="s">
        <v>721</v>
      </c>
      <c r="D401" s="445" t="s">
        <v>635</v>
      </c>
      <c r="E401" s="445" t="s">
        <v>1007</v>
      </c>
      <c r="F401" s="446"/>
      <c r="G401" s="553">
        <f>G402</f>
        <v>0</v>
      </c>
      <c r="H401" s="554"/>
      <c r="I401" s="553">
        <f t="shared" si="15"/>
        <v>0</v>
      </c>
      <c r="J401" s="553">
        <f>J402</f>
        <v>0</v>
      </c>
      <c r="K401" s="554"/>
      <c r="L401" s="553">
        <f t="shared" si="16"/>
        <v>0</v>
      </c>
    </row>
    <row r="402" spans="1:12" ht="26.25" customHeight="1" hidden="1">
      <c r="A402" s="609" t="s">
        <v>654</v>
      </c>
      <c r="B402" s="445" t="s">
        <v>1220</v>
      </c>
      <c r="C402" s="445" t="s">
        <v>721</v>
      </c>
      <c r="D402" s="445" t="s">
        <v>635</v>
      </c>
      <c r="E402" s="445" t="s">
        <v>1007</v>
      </c>
      <c r="F402" s="446" t="s">
        <v>655</v>
      </c>
      <c r="G402" s="553"/>
      <c r="H402" s="554"/>
      <c r="I402" s="553">
        <f t="shared" si="15"/>
        <v>0</v>
      </c>
      <c r="J402" s="553"/>
      <c r="K402" s="554"/>
      <c r="L402" s="553">
        <f t="shared" si="16"/>
        <v>0</v>
      </c>
    </row>
    <row r="403" spans="1:12" ht="26.25" customHeight="1" hidden="1">
      <c r="A403" s="611" t="s">
        <v>1008</v>
      </c>
      <c r="B403" s="445" t="s">
        <v>1220</v>
      </c>
      <c r="C403" s="445" t="s">
        <v>721</v>
      </c>
      <c r="D403" s="445" t="s">
        <v>635</v>
      </c>
      <c r="E403" s="445" t="s">
        <v>1009</v>
      </c>
      <c r="F403" s="446"/>
      <c r="G403" s="553">
        <f>G404</f>
        <v>0</v>
      </c>
      <c r="H403" s="554"/>
      <c r="I403" s="553">
        <f t="shared" si="15"/>
        <v>0</v>
      </c>
      <c r="J403" s="553">
        <f>J404</f>
        <v>0</v>
      </c>
      <c r="K403" s="554"/>
      <c r="L403" s="553">
        <f t="shared" si="16"/>
        <v>0</v>
      </c>
    </row>
    <row r="404" spans="1:12" ht="31.5" customHeight="1" hidden="1">
      <c r="A404" s="609" t="s">
        <v>654</v>
      </c>
      <c r="B404" s="445" t="s">
        <v>1220</v>
      </c>
      <c r="C404" s="445" t="s">
        <v>721</v>
      </c>
      <c r="D404" s="445" t="s">
        <v>635</v>
      </c>
      <c r="E404" s="445" t="s">
        <v>1009</v>
      </c>
      <c r="F404" s="446" t="s">
        <v>655</v>
      </c>
      <c r="G404" s="553">
        <f>1526555.5-1526555.5</f>
        <v>0</v>
      </c>
      <c r="H404" s="554"/>
      <c r="I404" s="553">
        <f t="shared" si="15"/>
        <v>0</v>
      </c>
      <c r="J404" s="553">
        <f>1526555.5-1526555.5</f>
        <v>0</v>
      </c>
      <c r="K404" s="554"/>
      <c r="L404" s="553">
        <f t="shared" si="16"/>
        <v>0</v>
      </c>
    </row>
    <row r="405" spans="1:12" ht="26.25" customHeight="1" hidden="1">
      <c r="A405" s="609" t="s">
        <v>654</v>
      </c>
      <c r="B405" s="445" t="s">
        <v>1220</v>
      </c>
      <c r="C405" s="445" t="s">
        <v>721</v>
      </c>
      <c r="D405" s="445" t="s">
        <v>635</v>
      </c>
      <c r="E405" s="445" t="s">
        <v>1230</v>
      </c>
      <c r="F405" s="446" t="s">
        <v>655</v>
      </c>
      <c r="G405" s="553"/>
      <c r="H405" s="554"/>
      <c r="I405" s="553">
        <f t="shared" si="15"/>
        <v>0</v>
      </c>
      <c r="J405" s="553"/>
      <c r="K405" s="554"/>
      <c r="L405" s="553">
        <f t="shared" si="16"/>
        <v>0</v>
      </c>
    </row>
    <row r="406" spans="1:12" ht="15" customHeight="1" hidden="1">
      <c r="A406" s="611" t="s">
        <v>1010</v>
      </c>
      <c r="B406" s="445" t="s">
        <v>1220</v>
      </c>
      <c r="C406" s="445" t="s">
        <v>721</v>
      </c>
      <c r="D406" s="445" t="s">
        <v>635</v>
      </c>
      <c r="E406" s="445" t="s">
        <v>1011</v>
      </c>
      <c r="F406" s="446"/>
      <c r="G406" s="553">
        <f>G407</f>
        <v>0</v>
      </c>
      <c r="H406" s="554"/>
      <c r="I406" s="553">
        <f t="shared" si="15"/>
        <v>0</v>
      </c>
      <c r="J406" s="553">
        <f>J407</f>
        <v>0</v>
      </c>
      <c r="K406" s="554"/>
      <c r="L406" s="553">
        <f t="shared" si="16"/>
        <v>0</v>
      </c>
    </row>
    <row r="407" spans="1:12" ht="26.25" customHeight="1" hidden="1">
      <c r="A407" s="609" t="s">
        <v>654</v>
      </c>
      <c r="B407" s="445"/>
      <c r="C407" s="445" t="s">
        <v>721</v>
      </c>
      <c r="D407" s="445" t="s">
        <v>635</v>
      </c>
      <c r="E407" s="445" t="s">
        <v>1011</v>
      </c>
      <c r="F407" s="446" t="s">
        <v>655</v>
      </c>
      <c r="G407" s="553"/>
      <c r="H407" s="554"/>
      <c r="I407" s="553">
        <f t="shared" si="15"/>
        <v>0</v>
      </c>
      <c r="J407" s="553"/>
      <c r="K407" s="554"/>
      <c r="L407" s="553">
        <f t="shared" si="16"/>
        <v>0</v>
      </c>
    </row>
    <row r="408" spans="1:12" ht="15" customHeight="1" hidden="1">
      <c r="A408" s="611" t="s">
        <v>1277</v>
      </c>
      <c r="B408" s="445"/>
      <c r="C408" s="445" t="s">
        <v>721</v>
      </c>
      <c r="D408" s="445" t="s">
        <v>635</v>
      </c>
      <c r="E408" s="445" t="s">
        <v>1013</v>
      </c>
      <c r="F408" s="446"/>
      <c r="G408" s="553">
        <f>G409</f>
        <v>0</v>
      </c>
      <c r="H408" s="554"/>
      <c r="I408" s="553">
        <f t="shared" si="15"/>
        <v>0</v>
      </c>
      <c r="J408" s="553">
        <f>J409</f>
        <v>0</v>
      </c>
      <c r="K408" s="554"/>
      <c r="L408" s="553">
        <f t="shared" si="16"/>
        <v>0</v>
      </c>
    </row>
    <row r="409" spans="1:12" ht="26.25" customHeight="1" hidden="1">
      <c r="A409" s="609" t="s">
        <v>654</v>
      </c>
      <c r="B409" s="445"/>
      <c r="C409" s="445" t="s">
        <v>721</v>
      </c>
      <c r="D409" s="445" t="s">
        <v>635</v>
      </c>
      <c r="E409" s="445" t="s">
        <v>1013</v>
      </c>
      <c r="F409" s="446" t="s">
        <v>655</v>
      </c>
      <c r="G409" s="553"/>
      <c r="H409" s="554"/>
      <c r="I409" s="553">
        <f t="shared" si="15"/>
        <v>0</v>
      </c>
      <c r="J409" s="553"/>
      <c r="K409" s="554"/>
      <c r="L409" s="553">
        <f t="shared" si="16"/>
        <v>0</v>
      </c>
    </row>
    <row r="410" spans="1:12" ht="21" customHeight="1" hidden="1">
      <c r="A410" s="611" t="s">
        <v>1014</v>
      </c>
      <c r="B410" s="445" t="s">
        <v>1220</v>
      </c>
      <c r="C410" s="445" t="s">
        <v>721</v>
      </c>
      <c r="D410" s="445" t="s">
        <v>635</v>
      </c>
      <c r="E410" s="445" t="s">
        <v>1015</v>
      </c>
      <c r="F410" s="446"/>
      <c r="G410" s="553">
        <f>G411</f>
        <v>0</v>
      </c>
      <c r="H410" s="554"/>
      <c r="I410" s="553">
        <f t="shared" si="15"/>
        <v>0</v>
      </c>
      <c r="J410" s="553">
        <f>J411</f>
        <v>0</v>
      </c>
      <c r="K410" s="554"/>
      <c r="L410" s="553">
        <f t="shared" si="16"/>
        <v>0</v>
      </c>
    </row>
    <row r="411" spans="1:12" ht="26.25" customHeight="1" hidden="1">
      <c r="A411" s="609" t="s">
        <v>654</v>
      </c>
      <c r="B411" s="445" t="s">
        <v>1220</v>
      </c>
      <c r="C411" s="445" t="s">
        <v>721</v>
      </c>
      <c r="D411" s="445" t="s">
        <v>635</v>
      </c>
      <c r="E411" s="445" t="s">
        <v>1015</v>
      </c>
      <c r="F411" s="446" t="s">
        <v>655</v>
      </c>
      <c r="G411" s="553"/>
      <c r="H411" s="554"/>
      <c r="I411" s="553">
        <f t="shared" si="15"/>
        <v>0</v>
      </c>
      <c r="J411" s="553"/>
      <c r="K411" s="554"/>
      <c r="L411" s="553">
        <f t="shared" si="16"/>
        <v>0</v>
      </c>
    </row>
    <row r="412" spans="1:12" ht="43.5" customHeight="1" hidden="1">
      <c r="A412" s="611" t="s">
        <v>1016</v>
      </c>
      <c r="B412" s="445" t="s">
        <v>1220</v>
      </c>
      <c r="C412" s="445" t="s">
        <v>721</v>
      </c>
      <c r="D412" s="445" t="s">
        <v>635</v>
      </c>
      <c r="E412" s="445" t="s">
        <v>1017</v>
      </c>
      <c r="F412" s="446"/>
      <c r="G412" s="553">
        <f>G413</f>
        <v>0</v>
      </c>
      <c r="H412" s="554"/>
      <c r="I412" s="553">
        <f t="shared" si="15"/>
        <v>0</v>
      </c>
      <c r="J412" s="553">
        <f>J413</f>
        <v>0</v>
      </c>
      <c r="K412" s="554"/>
      <c r="L412" s="553">
        <f t="shared" si="16"/>
        <v>0</v>
      </c>
    </row>
    <row r="413" spans="1:12" ht="26.25" customHeight="1" hidden="1">
      <c r="A413" s="609" t="s">
        <v>654</v>
      </c>
      <c r="B413" s="445" t="s">
        <v>1220</v>
      </c>
      <c r="C413" s="445" t="s">
        <v>721</v>
      </c>
      <c r="D413" s="445" t="s">
        <v>635</v>
      </c>
      <c r="E413" s="445" t="s">
        <v>1017</v>
      </c>
      <c r="F413" s="446" t="s">
        <v>655</v>
      </c>
      <c r="G413" s="553"/>
      <c r="H413" s="554"/>
      <c r="I413" s="553">
        <f t="shared" si="15"/>
        <v>0</v>
      </c>
      <c r="J413" s="553"/>
      <c r="K413" s="554"/>
      <c r="L413" s="553">
        <f t="shared" si="16"/>
        <v>0</v>
      </c>
    </row>
    <row r="414" spans="1:12" ht="15" customHeight="1" hidden="1">
      <c r="A414" s="625" t="s">
        <v>1018</v>
      </c>
      <c r="B414" s="445" t="s">
        <v>1220</v>
      </c>
      <c r="C414" s="445" t="s">
        <v>721</v>
      </c>
      <c r="D414" s="445" t="s">
        <v>635</v>
      </c>
      <c r="E414" s="445" t="s">
        <v>1019</v>
      </c>
      <c r="F414" s="446"/>
      <c r="G414" s="553">
        <f>G415</f>
        <v>0</v>
      </c>
      <c r="H414" s="554"/>
      <c r="I414" s="553">
        <f t="shared" si="15"/>
        <v>0</v>
      </c>
      <c r="J414" s="553">
        <f>J415</f>
        <v>0</v>
      </c>
      <c r="K414" s="554"/>
      <c r="L414" s="553">
        <f t="shared" si="16"/>
        <v>0</v>
      </c>
    </row>
    <row r="415" spans="1:12" ht="51.75" customHeight="1" hidden="1">
      <c r="A415" s="609" t="s">
        <v>642</v>
      </c>
      <c r="B415" s="445" t="s">
        <v>1220</v>
      </c>
      <c r="C415" s="445" t="s">
        <v>721</v>
      </c>
      <c r="D415" s="445" t="s">
        <v>635</v>
      </c>
      <c r="E415" s="445" t="s">
        <v>1019</v>
      </c>
      <c r="F415" s="446" t="s">
        <v>643</v>
      </c>
      <c r="G415" s="553"/>
      <c r="H415" s="554"/>
      <c r="I415" s="553">
        <f t="shared" si="15"/>
        <v>0</v>
      </c>
      <c r="J415" s="553"/>
      <c r="K415" s="554"/>
      <c r="L415" s="553">
        <f t="shared" si="16"/>
        <v>0</v>
      </c>
    </row>
    <row r="416" spans="1:12" ht="27" customHeight="1">
      <c r="A416" s="567" t="s">
        <v>816</v>
      </c>
      <c r="B416" s="445" t="s">
        <v>1220</v>
      </c>
      <c r="C416" s="445" t="s">
        <v>721</v>
      </c>
      <c r="D416" s="445" t="s">
        <v>635</v>
      </c>
      <c r="E416" s="445" t="s">
        <v>1020</v>
      </c>
      <c r="F416" s="446"/>
      <c r="G416" s="553">
        <f>G417+G418</f>
        <v>21498583</v>
      </c>
      <c r="H416" s="566">
        <f>H417+H418</f>
        <v>7257341</v>
      </c>
      <c r="I416" s="553">
        <f t="shared" si="15"/>
        <v>28755924</v>
      </c>
      <c r="J416" s="553">
        <f>J417+J418</f>
        <v>21498583</v>
      </c>
      <c r="K416" s="566">
        <f>K417+K418</f>
        <v>7257341</v>
      </c>
      <c r="L416" s="553">
        <f t="shared" si="16"/>
        <v>28755924</v>
      </c>
    </row>
    <row r="417" spans="1:12" ht="26.25">
      <c r="A417" s="609" t="s">
        <v>654</v>
      </c>
      <c r="B417" s="445" t="s">
        <v>1220</v>
      </c>
      <c r="C417" s="445" t="s">
        <v>721</v>
      </c>
      <c r="D417" s="445" t="s">
        <v>635</v>
      </c>
      <c r="E417" s="445" t="s">
        <v>1020</v>
      </c>
      <c r="F417" s="446" t="s">
        <v>655</v>
      </c>
      <c r="G417" s="631">
        <v>19425845</v>
      </c>
      <c r="H417" s="566">
        <f>6327341+930000</f>
        <v>7257341</v>
      </c>
      <c r="I417" s="553">
        <f t="shared" si="15"/>
        <v>26683186</v>
      </c>
      <c r="J417" s="553">
        <v>19425845</v>
      </c>
      <c r="K417" s="566">
        <f>6327341+930000</f>
        <v>7257341</v>
      </c>
      <c r="L417" s="553">
        <f t="shared" si="16"/>
        <v>26683186</v>
      </c>
    </row>
    <row r="418" spans="1:12" ht="21" customHeight="1">
      <c r="A418" s="567" t="s">
        <v>696</v>
      </c>
      <c r="B418" s="445" t="s">
        <v>1220</v>
      </c>
      <c r="C418" s="445" t="s">
        <v>721</v>
      </c>
      <c r="D418" s="445" t="s">
        <v>635</v>
      </c>
      <c r="E418" s="445" t="s">
        <v>1020</v>
      </c>
      <c r="F418" s="446" t="s">
        <v>697</v>
      </c>
      <c r="G418" s="553">
        <v>2072738</v>
      </c>
      <c r="H418" s="554"/>
      <c r="I418" s="553">
        <f t="shared" si="15"/>
        <v>2072738</v>
      </c>
      <c r="J418" s="553">
        <v>2072738</v>
      </c>
      <c r="K418" s="554"/>
      <c r="L418" s="553">
        <f t="shared" si="16"/>
        <v>2072738</v>
      </c>
    </row>
    <row r="419" spans="1:12" ht="15" customHeight="1" hidden="1">
      <c r="A419" s="609" t="s">
        <v>1021</v>
      </c>
      <c r="B419" s="445" t="s">
        <v>1220</v>
      </c>
      <c r="C419" s="445" t="s">
        <v>721</v>
      </c>
      <c r="D419" s="445" t="s">
        <v>635</v>
      </c>
      <c r="E419" s="445" t="s">
        <v>1022</v>
      </c>
      <c r="F419" s="446"/>
      <c r="G419" s="553">
        <f>G420</f>
        <v>0</v>
      </c>
      <c r="H419" s="554"/>
      <c r="I419" s="553">
        <f t="shared" si="15"/>
        <v>0</v>
      </c>
      <c r="J419" s="553">
        <f>J420</f>
        <v>0</v>
      </c>
      <c r="K419" s="554"/>
      <c r="L419" s="553">
        <f t="shared" si="16"/>
        <v>0</v>
      </c>
    </row>
    <row r="420" spans="1:12" ht="26.25" customHeight="1" hidden="1">
      <c r="A420" s="609" t="s">
        <v>654</v>
      </c>
      <c r="B420" s="445" t="s">
        <v>1220</v>
      </c>
      <c r="C420" s="445" t="s">
        <v>721</v>
      </c>
      <c r="D420" s="445" t="s">
        <v>635</v>
      </c>
      <c r="E420" s="445" t="s">
        <v>1022</v>
      </c>
      <c r="F420" s="446" t="s">
        <v>655</v>
      </c>
      <c r="G420" s="553"/>
      <c r="H420" s="554"/>
      <c r="I420" s="553">
        <f t="shared" si="15"/>
        <v>0</v>
      </c>
      <c r="J420" s="553"/>
      <c r="K420" s="554"/>
      <c r="L420" s="553">
        <f t="shared" si="16"/>
        <v>0</v>
      </c>
    </row>
    <row r="421" spans="1:12" ht="25.5" customHeight="1" hidden="1">
      <c r="A421" s="567" t="s">
        <v>1145</v>
      </c>
      <c r="B421" s="445" t="s">
        <v>1220</v>
      </c>
      <c r="C421" s="445" t="s">
        <v>721</v>
      </c>
      <c r="D421" s="445" t="s">
        <v>635</v>
      </c>
      <c r="E421" s="445" t="s">
        <v>1146</v>
      </c>
      <c r="F421" s="446"/>
      <c r="G421" s="553">
        <f>G422+G424</f>
        <v>0</v>
      </c>
      <c r="H421" s="554"/>
      <c r="I421" s="553">
        <f t="shared" si="15"/>
        <v>0</v>
      </c>
      <c r="J421" s="553">
        <f>J422+J424</f>
        <v>0</v>
      </c>
      <c r="K421" s="554"/>
      <c r="L421" s="553">
        <f t="shared" si="16"/>
        <v>0</v>
      </c>
    </row>
    <row r="422" spans="1:12" ht="26.25" customHeight="1" hidden="1">
      <c r="A422" s="611" t="s">
        <v>1232</v>
      </c>
      <c r="B422" s="445" t="s">
        <v>1220</v>
      </c>
      <c r="C422" s="445" t="s">
        <v>721</v>
      </c>
      <c r="D422" s="445" t="s">
        <v>635</v>
      </c>
      <c r="E422" s="445" t="s">
        <v>1233</v>
      </c>
      <c r="F422" s="446"/>
      <c r="G422" s="553">
        <f>G423</f>
        <v>0</v>
      </c>
      <c r="H422" s="554"/>
      <c r="I422" s="553">
        <f t="shared" si="15"/>
        <v>0</v>
      </c>
      <c r="J422" s="553">
        <f>J423</f>
        <v>0</v>
      </c>
      <c r="K422" s="554"/>
      <c r="L422" s="553">
        <f t="shared" si="16"/>
        <v>0</v>
      </c>
    </row>
    <row r="423" spans="1:12" ht="51.75" customHeight="1" hidden="1">
      <c r="A423" s="609" t="s">
        <v>642</v>
      </c>
      <c r="B423" s="445" t="s">
        <v>1220</v>
      </c>
      <c r="C423" s="445" t="s">
        <v>721</v>
      </c>
      <c r="D423" s="445" t="s">
        <v>635</v>
      </c>
      <c r="E423" s="445" t="s">
        <v>1233</v>
      </c>
      <c r="F423" s="446" t="s">
        <v>643</v>
      </c>
      <c r="G423" s="553"/>
      <c r="H423" s="554"/>
      <c r="I423" s="553">
        <f t="shared" si="15"/>
        <v>0</v>
      </c>
      <c r="J423" s="553"/>
      <c r="K423" s="554"/>
      <c r="L423" s="553">
        <f t="shared" si="16"/>
        <v>0</v>
      </c>
    </row>
    <row r="424" spans="1:12" ht="26.25" customHeight="1" hidden="1">
      <c r="A424" s="611" t="s">
        <v>1234</v>
      </c>
      <c r="B424" s="445" t="s">
        <v>1220</v>
      </c>
      <c r="C424" s="445" t="s">
        <v>721</v>
      </c>
      <c r="D424" s="445" t="s">
        <v>635</v>
      </c>
      <c r="E424" s="445" t="s">
        <v>1235</v>
      </c>
      <c r="F424" s="446"/>
      <c r="G424" s="553">
        <f>G425</f>
        <v>0</v>
      </c>
      <c r="H424" s="554"/>
      <c r="I424" s="553">
        <f t="shared" si="15"/>
        <v>0</v>
      </c>
      <c r="J424" s="553">
        <f>J425</f>
        <v>0</v>
      </c>
      <c r="K424" s="554"/>
      <c r="L424" s="553">
        <f t="shared" si="16"/>
        <v>0</v>
      </c>
    </row>
    <row r="425" spans="1:12" ht="51.75" customHeight="1" hidden="1">
      <c r="A425" s="609" t="s">
        <v>642</v>
      </c>
      <c r="B425" s="445" t="s">
        <v>1220</v>
      </c>
      <c r="C425" s="445" t="s">
        <v>721</v>
      </c>
      <c r="D425" s="445" t="s">
        <v>635</v>
      </c>
      <c r="E425" s="445" t="s">
        <v>1235</v>
      </c>
      <c r="F425" s="446" t="s">
        <v>643</v>
      </c>
      <c r="G425" s="553">
        <f>100000-100000</f>
        <v>0</v>
      </c>
      <c r="H425" s="554"/>
      <c r="I425" s="553">
        <f t="shared" si="15"/>
        <v>0</v>
      </c>
      <c r="J425" s="553">
        <f>100000-100000</f>
        <v>0</v>
      </c>
      <c r="K425" s="554"/>
      <c r="L425" s="553">
        <f t="shared" si="16"/>
        <v>0</v>
      </c>
    </row>
    <row r="426" spans="1:12" ht="41.25" customHeight="1" hidden="1">
      <c r="A426" s="626" t="s">
        <v>1236</v>
      </c>
      <c r="B426" s="445" t="s">
        <v>1220</v>
      </c>
      <c r="C426" s="445" t="s">
        <v>721</v>
      </c>
      <c r="D426" s="445" t="s">
        <v>635</v>
      </c>
      <c r="E426" s="474" t="s">
        <v>912</v>
      </c>
      <c r="F426" s="446"/>
      <c r="G426" s="553">
        <f>G427</f>
        <v>0</v>
      </c>
      <c r="H426" s="554"/>
      <c r="I426" s="553">
        <f t="shared" si="15"/>
        <v>0</v>
      </c>
      <c r="J426" s="553">
        <f>J427</f>
        <v>0</v>
      </c>
      <c r="K426" s="554"/>
      <c r="L426" s="553">
        <f t="shared" si="16"/>
        <v>0</v>
      </c>
    </row>
    <row r="427" spans="1:12" ht="82.5" customHeight="1" hidden="1">
      <c r="A427" s="625" t="s">
        <v>1237</v>
      </c>
      <c r="B427" s="445" t="s">
        <v>1220</v>
      </c>
      <c r="C427" s="445" t="s">
        <v>721</v>
      </c>
      <c r="D427" s="445" t="s">
        <v>635</v>
      </c>
      <c r="E427" s="482" t="s">
        <v>959</v>
      </c>
      <c r="F427" s="446"/>
      <c r="G427" s="553">
        <f>G428</f>
        <v>0</v>
      </c>
      <c r="H427" s="554"/>
      <c r="I427" s="553">
        <f t="shared" si="15"/>
        <v>0</v>
      </c>
      <c r="J427" s="553">
        <f>J428</f>
        <v>0</v>
      </c>
      <c r="K427" s="554"/>
      <c r="L427" s="553">
        <f t="shared" si="16"/>
        <v>0</v>
      </c>
    </row>
    <row r="428" spans="1:12" ht="38.25" customHeight="1" hidden="1">
      <c r="A428" s="567" t="s">
        <v>991</v>
      </c>
      <c r="B428" s="445" t="s">
        <v>1220</v>
      </c>
      <c r="C428" s="445" t="s">
        <v>721</v>
      </c>
      <c r="D428" s="445" t="s">
        <v>635</v>
      </c>
      <c r="E428" s="470" t="s">
        <v>992</v>
      </c>
      <c r="F428" s="446"/>
      <c r="G428" s="553">
        <f>G431+G429</f>
        <v>0</v>
      </c>
      <c r="H428" s="554"/>
      <c r="I428" s="553">
        <f t="shared" si="15"/>
        <v>0</v>
      </c>
      <c r="J428" s="553">
        <f>J431+J429</f>
        <v>0</v>
      </c>
      <c r="K428" s="554"/>
      <c r="L428" s="553">
        <f t="shared" si="16"/>
        <v>0</v>
      </c>
    </row>
    <row r="429" spans="1:12" ht="30" customHeight="1" hidden="1">
      <c r="A429" s="614" t="s">
        <v>993</v>
      </c>
      <c r="B429" s="445" t="s">
        <v>1220</v>
      </c>
      <c r="C429" s="445" t="s">
        <v>721</v>
      </c>
      <c r="D429" s="445" t="s">
        <v>635</v>
      </c>
      <c r="E429" s="470" t="s">
        <v>994</v>
      </c>
      <c r="F429" s="446"/>
      <c r="G429" s="553">
        <f>G430</f>
        <v>0</v>
      </c>
      <c r="H429" s="554"/>
      <c r="I429" s="553">
        <f t="shared" si="15"/>
        <v>0</v>
      </c>
      <c r="J429" s="553">
        <f>J430</f>
        <v>0</v>
      </c>
      <c r="K429" s="554"/>
      <c r="L429" s="553">
        <f t="shared" si="16"/>
        <v>0</v>
      </c>
    </row>
    <row r="430" spans="1:12" ht="26.25" customHeight="1" hidden="1">
      <c r="A430" s="609" t="s">
        <v>870</v>
      </c>
      <c r="B430" s="445" t="s">
        <v>1220</v>
      </c>
      <c r="C430" s="445" t="s">
        <v>721</v>
      </c>
      <c r="D430" s="445" t="s">
        <v>635</v>
      </c>
      <c r="E430" s="470" t="s">
        <v>994</v>
      </c>
      <c r="F430" s="446" t="s">
        <v>871</v>
      </c>
      <c r="G430" s="553"/>
      <c r="H430" s="554"/>
      <c r="I430" s="553">
        <f t="shared" si="15"/>
        <v>0</v>
      </c>
      <c r="J430" s="553"/>
      <c r="K430" s="554"/>
      <c r="L430" s="553">
        <f t="shared" si="16"/>
        <v>0</v>
      </c>
    </row>
    <row r="431" spans="1:12" ht="24" customHeight="1" hidden="1">
      <c r="A431" s="614" t="s">
        <v>995</v>
      </c>
      <c r="B431" s="445" t="s">
        <v>1220</v>
      </c>
      <c r="C431" s="445" t="s">
        <v>721</v>
      </c>
      <c r="D431" s="445" t="s">
        <v>635</v>
      </c>
      <c r="E431" s="470" t="s">
        <v>996</v>
      </c>
      <c r="F431" s="446"/>
      <c r="G431" s="553">
        <f>G432</f>
        <v>0</v>
      </c>
      <c r="H431" s="554"/>
      <c r="I431" s="553">
        <f t="shared" si="15"/>
        <v>0</v>
      </c>
      <c r="J431" s="553">
        <f>J432</f>
        <v>0</v>
      </c>
      <c r="K431" s="554"/>
      <c r="L431" s="553">
        <f t="shared" si="16"/>
        <v>0</v>
      </c>
    </row>
    <row r="432" spans="1:12" ht="26.25" customHeight="1" hidden="1">
      <c r="A432" s="609" t="s">
        <v>870</v>
      </c>
      <c r="B432" s="445" t="s">
        <v>1220</v>
      </c>
      <c r="C432" s="445" t="s">
        <v>721</v>
      </c>
      <c r="D432" s="445" t="s">
        <v>635</v>
      </c>
      <c r="E432" s="470" t="s">
        <v>996</v>
      </c>
      <c r="F432" s="446" t="s">
        <v>871</v>
      </c>
      <c r="G432" s="553"/>
      <c r="H432" s="554"/>
      <c r="I432" s="553">
        <f t="shared" si="15"/>
        <v>0</v>
      </c>
      <c r="J432" s="553"/>
      <c r="K432" s="554"/>
      <c r="L432" s="553">
        <f t="shared" si="16"/>
        <v>0</v>
      </c>
    </row>
    <row r="433" spans="1:12" ht="18.75" customHeight="1" hidden="1">
      <c r="A433" s="567" t="s">
        <v>1044</v>
      </c>
      <c r="B433" s="445" t="s">
        <v>1220</v>
      </c>
      <c r="C433" s="445" t="s">
        <v>721</v>
      </c>
      <c r="D433" s="445" t="s">
        <v>635</v>
      </c>
      <c r="E433" s="474" t="s">
        <v>1045</v>
      </c>
      <c r="F433" s="446"/>
      <c r="G433" s="553">
        <f>G434</f>
        <v>0</v>
      </c>
      <c r="H433" s="554"/>
      <c r="I433" s="553">
        <f t="shared" si="15"/>
        <v>0</v>
      </c>
      <c r="J433" s="553">
        <f>J434</f>
        <v>0</v>
      </c>
      <c r="K433" s="554"/>
      <c r="L433" s="553">
        <f t="shared" si="16"/>
        <v>0</v>
      </c>
    </row>
    <row r="434" spans="1:12" ht="63.75" customHeight="1" hidden="1">
      <c r="A434" s="616" t="s">
        <v>1166</v>
      </c>
      <c r="B434" s="445" t="s">
        <v>1220</v>
      </c>
      <c r="C434" s="457" t="s">
        <v>721</v>
      </c>
      <c r="D434" s="457" t="s">
        <v>635</v>
      </c>
      <c r="E434" s="482" t="s">
        <v>1167</v>
      </c>
      <c r="F434" s="464"/>
      <c r="G434" s="555">
        <f>G435</f>
        <v>0</v>
      </c>
      <c r="H434" s="554"/>
      <c r="I434" s="553">
        <f aca="true" t="shared" si="18" ref="I434:I497">G434+H434</f>
        <v>0</v>
      </c>
      <c r="J434" s="555">
        <f>J435</f>
        <v>0</v>
      </c>
      <c r="K434" s="554"/>
      <c r="L434" s="553">
        <f aca="true" t="shared" si="19" ref="L434:L497">J434+K434</f>
        <v>0</v>
      </c>
    </row>
    <row r="435" spans="1:12" ht="38.25" customHeight="1" hidden="1">
      <c r="A435" s="616" t="s">
        <v>1216</v>
      </c>
      <c r="B435" s="445" t="s">
        <v>1220</v>
      </c>
      <c r="C435" s="445" t="s">
        <v>721</v>
      </c>
      <c r="D435" s="445" t="s">
        <v>635</v>
      </c>
      <c r="E435" s="474" t="s">
        <v>1217</v>
      </c>
      <c r="F435" s="446"/>
      <c r="G435" s="553">
        <f>G436</f>
        <v>0</v>
      </c>
      <c r="H435" s="554"/>
      <c r="I435" s="553">
        <f t="shared" si="18"/>
        <v>0</v>
      </c>
      <c r="J435" s="553">
        <f>J436</f>
        <v>0</v>
      </c>
      <c r="K435" s="554"/>
      <c r="L435" s="553">
        <f t="shared" si="19"/>
        <v>0</v>
      </c>
    </row>
    <row r="436" spans="1:12" ht="25.5" customHeight="1" hidden="1">
      <c r="A436" s="567" t="s">
        <v>816</v>
      </c>
      <c r="B436" s="445" t="s">
        <v>1220</v>
      </c>
      <c r="C436" s="445" t="s">
        <v>721</v>
      </c>
      <c r="D436" s="445" t="s">
        <v>635</v>
      </c>
      <c r="E436" s="474" t="s">
        <v>1278</v>
      </c>
      <c r="F436" s="446"/>
      <c r="G436" s="553">
        <f>G437+G438+G439</f>
        <v>0</v>
      </c>
      <c r="H436" s="554">
        <f>H437+H438</f>
        <v>0</v>
      </c>
      <c r="I436" s="553">
        <f t="shared" si="18"/>
        <v>0</v>
      </c>
      <c r="J436" s="553">
        <f>J437+J438+J439</f>
        <v>0</v>
      </c>
      <c r="K436" s="554">
        <f>K437+K438</f>
        <v>0</v>
      </c>
      <c r="L436" s="553">
        <f t="shared" si="19"/>
        <v>0</v>
      </c>
    </row>
    <row r="437" spans="1:12" ht="51.75" customHeight="1" hidden="1">
      <c r="A437" s="609" t="s">
        <v>642</v>
      </c>
      <c r="B437" s="445" t="s">
        <v>1220</v>
      </c>
      <c r="C437" s="445" t="s">
        <v>721</v>
      </c>
      <c r="D437" s="445" t="s">
        <v>635</v>
      </c>
      <c r="E437" s="474" t="s">
        <v>1278</v>
      </c>
      <c r="F437" s="446" t="s">
        <v>643</v>
      </c>
      <c r="G437" s="553">
        <f>610000-610000</f>
        <v>0</v>
      </c>
      <c r="H437" s="554"/>
      <c r="I437" s="553">
        <f t="shared" si="18"/>
        <v>0</v>
      </c>
      <c r="J437" s="553">
        <f>610000-610000</f>
        <v>0</v>
      </c>
      <c r="K437" s="554"/>
      <c r="L437" s="553">
        <f t="shared" si="19"/>
        <v>0</v>
      </c>
    </row>
    <row r="438" spans="1:12" ht="26.25" customHeight="1" hidden="1">
      <c r="A438" s="609" t="s">
        <v>654</v>
      </c>
      <c r="B438" s="445" t="s">
        <v>1220</v>
      </c>
      <c r="C438" s="445" t="s">
        <v>721</v>
      </c>
      <c r="D438" s="445" t="s">
        <v>635</v>
      </c>
      <c r="E438" s="474" t="s">
        <v>1278</v>
      </c>
      <c r="F438" s="446" t="s">
        <v>655</v>
      </c>
      <c r="G438" s="553"/>
      <c r="H438" s="554"/>
      <c r="I438" s="553">
        <f t="shared" si="18"/>
        <v>0</v>
      </c>
      <c r="J438" s="553"/>
      <c r="K438" s="554"/>
      <c r="L438" s="553">
        <f t="shared" si="19"/>
        <v>0</v>
      </c>
    </row>
    <row r="439" spans="1:12" ht="15" customHeight="1" hidden="1">
      <c r="A439" s="567" t="s">
        <v>696</v>
      </c>
      <c r="B439" s="445" t="s">
        <v>1220</v>
      </c>
      <c r="C439" s="445" t="s">
        <v>721</v>
      </c>
      <c r="D439" s="445" t="s">
        <v>635</v>
      </c>
      <c r="E439" s="474" t="s">
        <v>1278</v>
      </c>
      <c r="F439" s="446" t="s">
        <v>697</v>
      </c>
      <c r="G439" s="553"/>
      <c r="H439" s="554"/>
      <c r="I439" s="553">
        <f t="shared" si="18"/>
        <v>0</v>
      </c>
      <c r="J439" s="553"/>
      <c r="K439" s="554"/>
      <c r="L439" s="553">
        <f t="shared" si="19"/>
        <v>0</v>
      </c>
    </row>
    <row r="440" spans="1:12" ht="54.75" customHeight="1">
      <c r="A440" s="621" t="s">
        <v>770</v>
      </c>
      <c r="B440" s="445" t="s">
        <v>1220</v>
      </c>
      <c r="C440" s="445" t="s">
        <v>721</v>
      </c>
      <c r="D440" s="445" t="s">
        <v>635</v>
      </c>
      <c r="E440" s="474" t="s">
        <v>771</v>
      </c>
      <c r="F440" s="446"/>
      <c r="G440" s="553">
        <f>G441</f>
        <v>167800</v>
      </c>
      <c r="H440" s="554"/>
      <c r="I440" s="553">
        <f t="shared" si="18"/>
        <v>167800</v>
      </c>
      <c r="J440" s="553">
        <f>J441</f>
        <v>167800</v>
      </c>
      <c r="K440" s="554"/>
      <c r="L440" s="553">
        <f t="shared" si="19"/>
        <v>167800</v>
      </c>
    </row>
    <row r="441" spans="1:12" ht="75.75" customHeight="1">
      <c r="A441" s="622" t="s">
        <v>772</v>
      </c>
      <c r="B441" s="445" t="s">
        <v>1220</v>
      </c>
      <c r="C441" s="457" t="s">
        <v>721</v>
      </c>
      <c r="D441" s="457" t="s">
        <v>635</v>
      </c>
      <c r="E441" s="482" t="s">
        <v>773</v>
      </c>
      <c r="F441" s="464"/>
      <c r="G441" s="555">
        <f>G442+G445</f>
        <v>167800</v>
      </c>
      <c r="H441" s="554"/>
      <c r="I441" s="553">
        <f t="shared" si="18"/>
        <v>167800</v>
      </c>
      <c r="J441" s="555">
        <f>J442+J445</f>
        <v>167800</v>
      </c>
      <c r="K441" s="554"/>
      <c r="L441" s="553">
        <f t="shared" si="19"/>
        <v>167800</v>
      </c>
    </row>
    <row r="442" spans="1:12" ht="25.5" customHeight="1" hidden="1">
      <c r="A442" s="623" t="s">
        <v>774</v>
      </c>
      <c r="B442" s="445" t="s">
        <v>1220</v>
      </c>
      <c r="C442" s="445" t="s">
        <v>721</v>
      </c>
      <c r="D442" s="445" t="s">
        <v>635</v>
      </c>
      <c r="E442" s="474" t="s">
        <v>775</v>
      </c>
      <c r="F442" s="446"/>
      <c r="G442" s="553">
        <f>G443</f>
        <v>0</v>
      </c>
      <c r="H442" s="554"/>
      <c r="I442" s="553">
        <f t="shared" si="18"/>
        <v>0</v>
      </c>
      <c r="J442" s="553">
        <f>J443</f>
        <v>0</v>
      </c>
      <c r="K442" s="554"/>
      <c r="L442" s="553">
        <f t="shared" si="19"/>
        <v>0</v>
      </c>
    </row>
    <row r="443" spans="1:12" ht="25.5" customHeight="1" hidden="1">
      <c r="A443" s="567" t="s">
        <v>776</v>
      </c>
      <c r="B443" s="445" t="s">
        <v>1220</v>
      </c>
      <c r="C443" s="445" t="s">
        <v>721</v>
      </c>
      <c r="D443" s="445" t="s">
        <v>635</v>
      </c>
      <c r="E443" s="474" t="s">
        <v>777</v>
      </c>
      <c r="F443" s="446"/>
      <c r="G443" s="553">
        <f>G444</f>
        <v>0</v>
      </c>
      <c r="H443" s="554"/>
      <c r="I443" s="553">
        <f t="shared" si="18"/>
        <v>0</v>
      </c>
      <c r="J443" s="553">
        <f>J444</f>
        <v>0</v>
      </c>
      <c r="K443" s="554"/>
      <c r="L443" s="553">
        <f t="shared" si="19"/>
        <v>0</v>
      </c>
    </row>
    <row r="444" spans="1:12" ht="26.25" customHeight="1" hidden="1">
      <c r="A444" s="609" t="s">
        <v>654</v>
      </c>
      <c r="B444" s="445" t="s">
        <v>1220</v>
      </c>
      <c r="C444" s="445" t="s">
        <v>721</v>
      </c>
      <c r="D444" s="445" t="s">
        <v>635</v>
      </c>
      <c r="E444" s="474" t="s">
        <v>777</v>
      </c>
      <c r="F444" s="446" t="s">
        <v>655</v>
      </c>
      <c r="G444" s="553"/>
      <c r="H444" s="554"/>
      <c r="I444" s="553">
        <f t="shared" si="18"/>
        <v>0</v>
      </c>
      <c r="J444" s="553"/>
      <c r="K444" s="554"/>
      <c r="L444" s="553">
        <f t="shared" si="19"/>
        <v>0</v>
      </c>
    </row>
    <row r="445" spans="1:12" ht="63.75" customHeight="1">
      <c r="A445" s="623" t="s">
        <v>1023</v>
      </c>
      <c r="B445" s="445" t="s">
        <v>1220</v>
      </c>
      <c r="C445" s="445" t="s">
        <v>721</v>
      </c>
      <c r="D445" s="445" t="s">
        <v>635</v>
      </c>
      <c r="E445" s="474" t="s">
        <v>1024</v>
      </c>
      <c r="F445" s="446"/>
      <c r="G445" s="553">
        <f>G446</f>
        <v>167800</v>
      </c>
      <c r="H445" s="554"/>
      <c r="I445" s="553">
        <f t="shared" si="18"/>
        <v>167800</v>
      </c>
      <c r="J445" s="553">
        <f>J446</f>
        <v>167800</v>
      </c>
      <c r="K445" s="554"/>
      <c r="L445" s="553">
        <f t="shared" si="19"/>
        <v>167800</v>
      </c>
    </row>
    <row r="446" spans="1:12" ht="30.75" customHeight="1">
      <c r="A446" s="567" t="s">
        <v>776</v>
      </c>
      <c r="B446" s="445" t="s">
        <v>1220</v>
      </c>
      <c r="C446" s="445" t="s">
        <v>721</v>
      </c>
      <c r="D446" s="445" t="s">
        <v>635</v>
      </c>
      <c r="E446" s="474" t="s">
        <v>1025</v>
      </c>
      <c r="F446" s="446"/>
      <c r="G446" s="553">
        <f>G447</f>
        <v>167800</v>
      </c>
      <c r="H446" s="554"/>
      <c r="I446" s="553">
        <f t="shared" si="18"/>
        <v>167800</v>
      </c>
      <c r="J446" s="553">
        <f>J447</f>
        <v>167800</v>
      </c>
      <c r="K446" s="554"/>
      <c r="L446" s="553">
        <f t="shared" si="19"/>
        <v>167800</v>
      </c>
    </row>
    <row r="447" spans="1:12" ht="34.5" customHeight="1">
      <c r="A447" s="609" t="s">
        <v>654</v>
      </c>
      <c r="B447" s="445" t="s">
        <v>1220</v>
      </c>
      <c r="C447" s="445" t="s">
        <v>721</v>
      </c>
      <c r="D447" s="445" t="s">
        <v>635</v>
      </c>
      <c r="E447" s="474" t="s">
        <v>1025</v>
      </c>
      <c r="F447" s="446" t="s">
        <v>655</v>
      </c>
      <c r="G447" s="553">
        <v>167800</v>
      </c>
      <c r="H447" s="554"/>
      <c r="I447" s="553">
        <f t="shared" si="18"/>
        <v>167800</v>
      </c>
      <c r="J447" s="553">
        <v>167800</v>
      </c>
      <c r="K447" s="554"/>
      <c r="L447" s="553">
        <f t="shared" si="19"/>
        <v>167800</v>
      </c>
    </row>
    <row r="448" spans="1:12" ht="42" customHeight="1">
      <c r="A448" s="615" t="s">
        <v>1026</v>
      </c>
      <c r="B448" s="445" t="s">
        <v>1220</v>
      </c>
      <c r="C448" s="445" t="s">
        <v>721</v>
      </c>
      <c r="D448" s="445" t="s">
        <v>635</v>
      </c>
      <c r="E448" s="445" t="s">
        <v>1027</v>
      </c>
      <c r="F448" s="456"/>
      <c r="G448" s="553">
        <f>G449</f>
        <v>10000</v>
      </c>
      <c r="H448" s="554"/>
      <c r="I448" s="553">
        <f t="shared" si="18"/>
        <v>10000</v>
      </c>
      <c r="J448" s="553">
        <f>J449</f>
        <v>10000</v>
      </c>
      <c r="K448" s="554"/>
      <c r="L448" s="553">
        <f t="shared" si="19"/>
        <v>10000</v>
      </c>
    </row>
    <row r="449" spans="1:12" s="461" customFormat="1" ht="60" customHeight="1">
      <c r="A449" s="612" t="s">
        <v>1028</v>
      </c>
      <c r="B449" s="445" t="s">
        <v>1220</v>
      </c>
      <c r="C449" s="457" t="s">
        <v>721</v>
      </c>
      <c r="D449" s="457" t="s">
        <v>635</v>
      </c>
      <c r="E449" s="457" t="s">
        <v>1029</v>
      </c>
      <c r="F449" s="459"/>
      <c r="G449" s="555">
        <f>G450</f>
        <v>10000</v>
      </c>
      <c r="H449" s="557"/>
      <c r="I449" s="555">
        <f t="shared" si="18"/>
        <v>10000</v>
      </c>
      <c r="J449" s="555">
        <f>J450</f>
        <v>10000</v>
      </c>
      <c r="K449" s="557"/>
      <c r="L449" s="555">
        <f t="shared" si="19"/>
        <v>10000</v>
      </c>
    </row>
    <row r="450" spans="1:12" ht="25.5">
      <c r="A450" s="614" t="s">
        <v>1030</v>
      </c>
      <c r="B450" s="445" t="s">
        <v>1220</v>
      </c>
      <c r="C450" s="445" t="s">
        <v>721</v>
      </c>
      <c r="D450" s="445" t="s">
        <v>635</v>
      </c>
      <c r="E450" s="445" t="s">
        <v>1031</v>
      </c>
      <c r="F450" s="456"/>
      <c r="G450" s="553">
        <f>G451</f>
        <v>10000</v>
      </c>
      <c r="H450" s="554"/>
      <c r="I450" s="553">
        <f t="shared" si="18"/>
        <v>10000</v>
      </c>
      <c r="J450" s="553">
        <f>J451</f>
        <v>10000</v>
      </c>
      <c r="K450" s="554"/>
      <c r="L450" s="553">
        <f t="shared" si="19"/>
        <v>10000</v>
      </c>
    </row>
    <row r="451" spans="1:12" ht="15">
      <c r="A451" s="614" t="s">
        <v>1032</v>
      </c>
      <c r="B451" s="445" t="s">
        <v>1220</v>
      </c>
      <c r="C451" s="445" t="s">
        <v>721</v>
      </c>
      <c r="D451" s="445" t="s">
        <v>635</v>
      </c>
      <c r="E451" s="445" t="s">
        <v>1033</v>
      </c>
      <c r="F451" s="456"/>
      <c r="G451" s="553">
        <f>G452</f>
        <v>10000</v>
      </c>
      <c r="H451" s="554"/>
      <c r="I451" s="553">
        <f t="shared" si="18"/>
        <v>10000</v>
      </c>
      <c r="J451" s="553">
        <f>J452</f>
        <v>10000</v>
      </c>
      <c r="K451" s="554"/>
      <c r="L451" s="553">
        <f t="shared" si="19"/>
        <v>10000</v>
      </c>
    </row>
    <row r="452" spans="1:12" ht="33.75" customHeight="1">
      <c r="A452" s="609" t="s">
        <v>654</v>
      </c>
      <c r="B452" s="445" t="s">
        <v>1220</v>
      </c>
      <c r="C452" s="445" t="s">
        <v>721</v>
      </c>
      <c r="D452" s="445" t="s">
        <v>635</v>
      </c>
      <c r="E452" s="445" t="s">
        <v>1033</v>
      </c>
      <c r="F452" s="446" t="s">
        <v>655</v>
      </c>
      <c r="G452" s="553">
        <f>10000</f>
        <v>10000</v>
      </c>
      <c r="H452" s="554"/>
      <c r="I452" s="553">
        <f t="shared" si="18"/>
        <v>10000</v>
      </c>
      <c r="J452" s="553">
        <f>10000</f>
        <v>10000</v>
      </c>
      <c r="K452" s="554"/>
      <c r="L452" s="553">
        <f t="shared" si="19"/>
        <v>10000</v>
      </c>
    </row>
    <row r="453" spans="1:12" ht="36" customHeight="1">
      <c r="A453" s="609" t="s">
        <v>1034</v>
      </c>
      <c r="B453" s="445" t="s">
        <v>1220</v>
      </c>
      <c r="C453" s="445" t="s">
        <v>721</v>
      </c>
      <c r="D453" s="445" t="s">
        <v>645</v>
      </c>
      <c r="E453" s="445"/>
      <c r="F453" s="446"/>
      <c r="G453" s="553">
        <f>G454</f>
        <v>13612063</v>
      </c>
      <c r="H453" s="554"/>
      <c r="I453" s="553">
        <f t="shared" si="18"/>
        <v>13612063</v>
      </c>
      <c r="J453" s="553">
        <f>J454</f>
        <v>15160063</v>
      </c>
      <c r="K453" s="554"/>
      <c r="L453" s="553">
        <f t="shared" si="19"/>
        <v>15160063</v>
      </c>
    </row>
    <row r="454" spans="1:12" ht="39" customHeight="1">
      <c r="A454" s="607" t="s">
        <v>982</v>
      </c>
      <c r="B454" s="457" t="s">
        <v>1220</v>
      </c>
      <c r="C454" s="445" t="s">
        <v>721</v>
      </c>
      <c r="D454" s="445" t="s">
        <v>645</v>
      </c>
      <c r="E454" s="445" t="s">
        <v>983</v>
      </c>
      <c r="F454" s="446"/>
      <c r="G454" s="553">
        <f>G455</f>
        <v>13612063</v>
      </c>
      <c r="H454" s="554"/>
      <c r="I454" s="553">
        <f t="shared" si="18"/>
        <v>13612063</v>
      </c>
      <c r="J454" s="553">
        <f>J455</f>
        <v>15160063</v>
      </c>
      <c r="K454" s="554"/>
      <c r="L454" s="553">
        <f t="shared" si="19"/>
        <v>15160063</v>
      </c>
    </row>
    <row r="455" spans="1:12" s="461" customFormat="1" ht="51.75">
      <c r="A455" s="609" t="s">
        <v>1035</v>
      </c>
      <c r="B455" s="445" t="s">
        <v>1220</v>
      </c>
      <c r="C455" s="457" t="s">
        <v>721</v>
      </c>
      <c r="D455" s="457" t="s">
        <v>645</v>
      </c>
      <c r="E455" s="457" t="s">
        <v>1036</v>
      </c>
      <c r="F455" s="464"/>
      <c r="G455" s="555">
        <f>G456</f>
        <v>13612063</v>
      </c>
      <c r="H455" s="557"/>
      <c r="I455" s="555">
        <f t="shared" si="18"/>
        <v>13612063</v>
      </c>
      <c r="J455" s="555">
        <f>J456</f>
        <v>15160063</v>
      </c>
      <c r="K455" s="557"/>
      <c r="L455" s="555">
        <f t="shared" si="19"/>
        <v>15160063</v>
      </c>
    </row>
    <row r="456" spans="1:12" ht="25.5">
      <c r="A456" s="567" t="s">
        <v>1037</v>
      </c>
      <c r="B456" s="445" t="s">
        <v>1220</v>
      </c>
      <c r="C456" s="445" t="s">
        <v>721</v>
      </c>
      <c r="D456" s="445" t="s">
        <v>645</v>
      </c>
      <c r="E456" s="445" t="s">
        <v>1038</v>
      </c>
      <c r="F456" s="446"/>
      <c r="G456" s="553">
        <f>G457</f>
        <v>13612063</v>
      </c>
      <c r="H456" s="554"/>
      <c r="I456" s="553">
        <f t="shared" si="18"/>
        <v>13612063</v>
      </c>
      <c r="J456" s="553">
        <f>J457</f>
        <v>15160063</v>
      </c>
      <c r="K456" s="554"/>
      <c r="L456" s="553">
        <f t="shared" si="19"/>
        <v>15160063</v>
      </c>
    </row>
    <row r="457" spans="1:12" ht="38.25" customHeight="1">
      <c r="A457" s="567" t="s">
        <v>816</v>
      </c>
      <c r="B457" s="445" t="s">
        <v>1220</v>
      </c>
      <c r="C457" s="445" t="s">
        <v>721</v>
      </c>
      <c r="D457" s="445" t="s">
        <v>645</v>
      </c>
      <c r="E457" s="445" t="s">
        <v>1039</v>
      </c>
      <c r="F457" s="446"/>
      <c r="G457" s="553">
        <f>G458+G459+G460</f>
        <v>13612063</v>
      </c>
      <c r="H457" s="554"/>
      <c r="I457" s="553">
        <f t="shared" si="18"/>
        <v>13612063</v>
      </c>
      <c r="J457" s="553">
        <f>J458+J459+J460</f>
        <v>15160063</v>
      </c>
      <c r="K457" s="554"/>
      <c r="L457" s="553">
        <f t="shared" si="19"/>
        <v>15160063</v>
      </c>
    </row>
    <row r="458" spans="1:12" ht="66" customHeight="1">
      <c r="A458" s="609" t="s">
        <v>642</v>
      </c>
      <c r="B458" s="445" t="s">
        <v>1220</v>
      </c>
      <c r="C458" s="445" t="s">
        <v>721</v>
      </c>
      <c r="D458" s="445" t="s">
        <v>645</v>
      </c>
      <c r="E458" s="445" t="s">
        <v>1039</v>
      </c>
      <c r="F458" s="446" t="s">
        <v>643</v>
      </c>
      <c r="G458" s="553">
        <f>14400300-4000000+2452000</f>
        <v>12852300</v>
      </c>
      <c r="H458" s="554"/>
      <c r="I458" s="553">
        <f t="shared" si="18"/>
        <v>12852300</v>
      </c>
      <c r="J458" s="553">
        <f>14400300-4000000+4000000</f>
        <v>14400300</v>
      </c>
      <c r="K458" s="554"/>
      <c r="L458" s="553">
        <f t="shared" si="19"/>
        <v>14400300</v>
      </c>
    </row>
    <row r="459" spans="1:12" ht="26.25" customHeight="1">
      <c r="A459" s="609" t="s">
        <v>654</v>
      </c>
      <c r="B459" s="445" t="s">
        <v>1220</v>
      </c>
      <c r="C459" s="445" t="s">
        <v>721</v>
      </c>
      <c r="D459" s="445" t="s">
        <v>645</v>
      </c>
      <c r="E459" s="445" t="s">
        <v>1039</v>
      </c>
      <c r="F459" s="446" t="s">
        <v>655</v>
      </c>
      <c r="G459" s="553">
        <v>644300</v>
      </c>
      <c r="H459" s="554"/>
      <c r="I459" s="553">
        <f t="shared" si="18"/>
        <v>644300</v>
      </c>
      <c r="J459" s="553">
        <v>644300</v>
      </c>
      <c r="K459" s="554"/>
      <c r="L459" s="553">
        <f t="shared" si="19"/>
        <v>644300</v>
      </c>
    </row>
    <row r="460" spans="1:12" ht="22.5" customHeight="1">
      <c r="A460" s="567" t="s">
        <v>696</v>
      </c>
      <c r="B460" s="457" t="s">
        <v>1220</v>
      </c>
      <c r="C460" s="445" t="s">
        <v>721</v>
      </c>
      <c r="D460" s="445" t="s">
        <v>645</v>
      </c>
      <c r="E460" s="445" t="s">
        <v>1039</v>
      </c>
      <c r="F460" s="446" t="s">
        <v>697</v>
      </c>
      <c r="G460" s="553">
        <v>115463</v>
      </c>
      <c r="H460" s="554"/>
      <c r="I460" s="553">
        <f t="shared" si="18"/>
        <v>115463</v>
      </c>
      <c r="J460" s="553">
        <v>115463</v>
      </c>
      <c r="K460" s="554"/>
      <c r="L460" s="553">
        <f t="shared" si="19"/>
        <v>115463</v>
      </c>
    </row>
    <row r="461" spans="1:12" ht="15">
      <c r="A461" s="607" t="s">
        <v>1214</v>
      </c>
      <c r="B461" s="445" t="s">
        <v>1220</v>
      </c>
      <c r="C461" s="445" t="s">
        <v>721</v>
      </c>
      <c r="D461" s="445" t="s">
        <v>721</v>
      </c>
      <c r="E461" s="445"/>
      <c r="F461" s="446"/>
      <c r="G461" s="553">
        <f>G462</f>
        <v>1365943</v>
      </c>
      <c r="H461" s="554">
        <f>H462</f>
        <v>1231440</v>
      </c>
      <c r="I461" s="553">
        <f t="shared" si="18"/>
        <v>2597383</v>
      </c>
      <c r="J461" s="553">
        <f>J462</f>
        <v>1338630</v>
      </c>
      <c r="K461" s="554">
        <f>K462</f>
        <v>1231440</v>
      </c>
      <c r="L461" s="553">
        <f t="shared" si="19"/>
        <v>2570070</v>
      </c>
    </row>
    <row r="462" spans="1:12" ht="53.25" customHeight="1">
      <c r="A462" s="567" t="s">
        <v>1044</v>
      </c>
      <c r="B462" s="445" t="s">
        <v>1220</v>
      </c>
      <c r="C462" s="445" t="s">
        <v>721</v>
      </c>
      <c r="D462" s="445" t="s">
        <v>721</v>
      </c>
      <c r="E462" s="474" t="s">
        <v>1045</v>
      </c>
      <c r="F462" s="446"/>
      <c r="G462" s="553">
        <f>G463</f>
        <v>1365943</v>
      </c>
      <c r="H462" s="554">
        <f>H463</f>
        <v>1231440</v>
      </c>
      <c r="I462" s="553">
        <f t="shared" si="18"/>
        <v>2597383</v>
      </c>
      <c r="J462" s="553">
        <f>J463</f>
        <v>1338630</v>
      </c>
      <c r="K462" s="554">
        <f>K463</f>
        <v>1231440</v>
      </c>
      <c r="L462" s="553">
        <f t="shared" si="19"/>
        <v>2570070</v>
      </c>
    </row>
    <row r="463" spans="1:12" ht="60" customHeight="1">
      <c r="A463" s="616" t="s">
        <v>1052</v>
      </c>
      <c r="B463" s="445" t="s">
        <v>1220</v>
      </c>
      <c r="C463" s="445" t="s">
        <v>721</v>
      </c>
      <c r="D463" s="445" t="s">
        <v>721</v>
      </c>
      <c r="E463" s="474" t="s">
        <v>1053</v>
      </c>
      <c r="F463" s="481"/>
      <c r="G463" s="553">
        <f>G464+G472+G469</f>
        <v>1365943</v>
      </c>
      <c r="H463" s="554">
        <f>H465+H473</f>
        <v>1231440</v>
      </c>
      <c r="I463" s="553">
        <f t="shared" si="18"/>
        <v>2597383</v>
      </c>
      <c r="J463" s="553">
        <f>J464+J472+J469</f>
        <v>1338630</v>
      </c>
      <c r="K463" s="554">
        <f>K465+K473</f>
        <v>1231440</v>
      </c>
      <c r="L463" s="553">
        <f t="shared" si="19"/>
        <v>2570070</v>
      </c>
    </row>
    <row r="464" spans="1:12" ht="31.5" customHeight="1">
      <c r="A464" s="567" t="s">
        <v>1054</v>
      </c>
      <c r="B464" s="445" t="s">
        <v>1220</v>
      </c>
      <c r="C464" s="445" t="s">
        <v>721</v>
      </c>
      <c r="D464" s="445" t="s">
        <v>721</v>
      </c>
      <c r="E464" s="474" t="s">
        <v>1055</v>
      </c>
      <c r="F464" s="481"/>
      <c r="G464" s="553">
        <f>G465+G467</f>
        <v>520743</v>
      </c>
      <c r="H464" s="554"/>
      <c r="I464" s="553">
        <f t="shared" si="18"/>
        <v>520743</v>
      </c>
      <c r="J464" s="553">
        <f>J465+J467</f>
        <v>520743</v>
      </c>
      <c r="K464" s="554"/>
      <c r="L464" s="553">
        <f t="shared" si="19"/>
        <v>520743</v>
      </c>
    </row>
    <row r="465" spans="1:12" ht="15" customHeight="1" hidden="1">
      <c r="A465" s="607" t="s">
        <v>1056</v>
      </c>
      <c r="B465" s="445" t="s">
        <v>1220</v>
      </c>
      <c r="C465" s="445" t="s">
        <v>721</v>
      </c>
      <c r="D465" s="445" t="s">
        <v>721</v>
      </c>
      <c r="E465" s="474" t="s">
        <v>1057</v>
      </c>
      <c r="F465" s="446"/>
      <c r="G465" s="553">
        <f>G466</f>
        <v>0</v>
      </c>
      <c r="H465" s="554"/>
      <c r="I465" s="553">
        <f t="shared" si="18"/>
        <v>0</v>
      </c>
      <c r="J465" s="553">
        <f>J466</f>
        <v>0</v>
      </c>
      <c r="K465" s="554"/>
      <c r="L465" s="553">
        <f t="shared" si="19"/>
        <v>0</v>
      </c>
    </row>
    <row r="466" spans="1:12" ht="10.5" customHeight="1" hidden="1">
      <c r="A466" s="609" t="s">
        <v>654</v>
      </c>
      <c r="B466" s="445" t="s">
        <v>1220</v>
      </c>
      <c r="C466" s="445" t="s">
        <v>721</v>
      </c>
      <c r="D466" s="445" t="s">
        <v>721</v>
      </c>
      <c r="E466" s="474" t="s">
        <v>1057</v>
      </c>
      <c r="F466" s="481" t="s">
        <v>655</v>
      </c>
      <c r="G466" s="553"/>
      <c r="H466" s="554"/>
      <c r="I466" s="553">
        <f t="shared" si="18"/>
        <v>0</v>
      </c>
      <c r="J466" s="553"/>
      <c r="K466" s="554"/>
      <c r="L466" s="553">
        <f t="shared" si="19"/>
        <v>0</v>
      </c>
    </row>
    <row r="467" spans="1:12" ht="18" customHeight="1" hidden="1">
      <c r="A467" s="611" t="s">
        <v>1058</v>
      </c>
      <c r="B467" s="445" t="s">
        <v>1220</v>
      </c>
      <c r="C467" s="445" t="s">
        <v>721</v>
      </c>
      <c r="D467" s="445" t="s">
        <v>721</v>
      </c>
      <c r="E467" s="474" t="s">
        <v>1059</v>
      </c>
      <c r="F467" s="446"/>
      <c r="G467" s="553">
        <f>G468</f>
        <v>520743</v>
      </c>
      <c r="H467" s="554"/>
      <c r="I467" s="553">
        <f t="shared" si="18"/>
        <v>520743</v>
      </c>
      <c r="J467" s="553">
        <f>J468</f>
        <v>520743</v>
      </c>
      <c r="K467" s="554"/>
      <c r="L467" s="553">
        <f t="shared" si="19"/>
        <v>520743</v>
      </c>
    </row>
    <row r="468" spans="1:12" ht="26.25">
      <c r="A468" s="609" t="s">
        <v>654</v>
      </c>
      <c r="B468" s="445" t="s">
        <v>1220</v>
      </c>
      <c r="C468" s="445" t="s">
        <v>721</v>
      </c>
      <c r="D468" s="445" t="s">
        <v>721</v>
      </c>
      <c r="E468" s="474" t="s">
        <v>1059</v>
      </c>
      <c r="F468" s="481" t="s">
        <v>655</v>
      </c>
      <c r="G468" s="553">
        <v>520743</v>
      </c>
      <c r="H468" s="554"/>
      <c r="I468" s="553">
        <f t="shared" si="18"/>
        <v>520743</v>
      </c>
      <c r="J468" s="553">
        <v>520743</v>
      </c>
      <c r="K468" s="554"/>
      <c r="L468" s="553">
        <f t="shared" si="19"/>
        <v>520743</v>
      </c>
    </row>
    <row r="469" spans="1:12" ht="22.5" customHeight="1">
      <c r="A469" s="567" t="s">
        <v>1062</v>
      </c>
      <c r="B469" s="445" t="s">
        <v>1220</v>
      </c>
      <c r="C469" s="445" t="s">
        <v>721</v>
      </c>
      <c r="D469" s="445" t="s">
        <v>721</v>
      </c>
      <c r="E469" s="474" t="s">
        <v>1063</v>
      </c>
      <c r="F469" s="481"/>
      <c r="G469" s="553">
        <f>G470</f>
        <v>36000</v>
      </c>
      <c r="H469" s="554"/>
      <c r="I469" s="553">
        <f t="shared" si="18"/>
        <v>36000</v>
      </c>
      <c r="J469" s="553">
        <f>J470</f>
        <v>36000</v>
      </c>
      <c r="K469" s="554"/>
      <c r="L469" s="553">
        <f t="shared" si="19"/>
        <v>36000</v>
      </c>
    </row>
    <row r="470" spans="1:12" ht="15" customHeight="1">
      <c r="A470" s="609" t="s">
        <v>1060</v>
      </c>
      <c r="B470" s="445" t="s">
        <v>1220</v>
      </c>
      <c r="C470" s="445" t="s">
        <v>721</v>
      </c>
      <c r="D470" s="445" t="s">
        <v>721</v>
      </c>
      <c r="E470" s="474" t="s">
        <v>1064</v>
      </c>
      <c r="F470" s="481"/>
      <c r="G470" s="553">
        <f>G471</f>
        <v>36000</v>
      </c>
      <c r="H470" s="554"/>
      <c r="I470" s="553">
        <f t="shared" si="18"/>
        <v>36000</v>
      </c>
      <c r="J470" s="553">
        <f>J471</f>
        <v>36000</v>
      </c>
      <c r="K470" s="554"/>
      <c r="L470" s="553">
        <f t="shared" si="19"/>
        <v>36000</v>
      </c>
    </row>
    <row r="471" spans="1:12" ht="26.25">
      <c r="A471" s="609" t="s">
        <v>654</v>
      </c>
      <c r="B471" s="445" t="s">
        <v>1220</v>
      </c>
      <c r="C471" s="445" t="s">
        <v>721</v>
      </c>
      <c r="D471" s="445" t="s">
        <v>721</v>
      </c>
      <c r="E471" s="474" t="s">
        <v>1064</v>
      </c>
      <c r="F471" s="481" t="s">
        <v>655</v>
      </c>
      <c r="G471" s="553">
        <f>36000</f>
        <v>36000</v>
      </c>
      <c r="H471" s="554"/>
      <c r="I471" s="553">
        <f t="shared" si="18"/>
        <v>36000</v>
      </c>
      <c r="J471" s="553">
        <f>36000</f>
        <v>36000</v>
      </c>
      <c r="K471" s="554"/>
      <c r="L471" s="553">
        <f t="shared" si="19"/>
        <v>36000</v>
      </c>
    </row>
    <row r="472" spans="1:12" ht="52.5" customHeight="1">
      <c r="A472" s="567" t="s">
        <v>1065</v>
      </c>
      <c r="B472" s="445" t="s">
        <v>1220</v>
      </c>
      <c r="C472" s="445" t="s">
        <v>721</v>
      </c>
      <c r="D472" s="445" t="s">
        <v>721</v>
      </c>
      <c r="E472" s="474" t="s">
        <v>1066</v>
      </c>
      <c r="F472" s="481"/>
      <c r="G472" s="553">
        <f>G473</f>
        <v>809200</v>
      </c>
      <c r="H472" s="554">
        <f>H473</f>
        <v>1231440</v>
      </c>
      <c r="I472" s="553">
        <f t="shared" si="18"/>
        <v>2040640</v>
      </c>
      <c r="J472" s="553">
        <f>J473</f>
        <v>781887</v>
      </c>
      <c r="K472" s="554">
        <f>K473</f>
        <v>1231440</v>
      </c>
      <c r="L472" s="553">
        <f t="shared" si="19"/>
        <v>2013327</v>
      </c>
    </row>
    <row r="473" spans="1:12" ht="29.25" customHeight="1">
      <c r="A473" s="608" t="s">
        <v>816</v>
      </c>
      <c r="B473" s="445" t="s">
        <v>1220</v>
      </c>
      <c r="C473" s="445" t="s">
        <v>721</v>
      </c>
      <c r="D473" s="445" t="s">
        <v>721</v>
      </c>
      <c r="E473" s="474" t="s">
        <v>1067</v>
      </c>
      <c r="F473" s="481"/>
      <c r="G473" s="553">
        <f>G474+G475+G476</f>
        <v>809200</v>
      </c>
      <c r="H473" s="554">
        <f>H474+H475+H476</f>
        <v>1231440</v>
      </c>
      <c r="I473" s="553">
        <f t="shared" si="18"/>
        <v>2040640</v>
      </c>
      <c r="J473" s="553">
        <f>J474+J475+J476</f>
        <v>781887</v>
      </c>
      <c r="K473" s="554">
        <f>K474+K475+K476</f>
        <v>1231440</v>
      </c>
      <c r="L473" s="553">
        <f t="shared" si="19"/>
        <v>2013327</v>
      </c>
    </row>
    <row r="474" spans="1:12" ht="27.75" customHeight="1">
      <c r="A474" s="607" t="s">
        <v>1068</v>
      </c>
      <c r="B474" s="445" t="s">
        <v>1220</v>
      </c>
      <c r="C474" s="445" t="s">
        <v>721</v>
      </c>
      <c r="D474" s="445" t="s">
        <v>721</v>
      </c>
      <c r="E474" s="474" t="s">
        <v>1067</v>
      </c>
      <c r="F474" s="446" t="s">
        <v>643</v>
      </c>
      <c r="G474" s="553">
        <v>616000</v>
      </c>
      <c r="H474" s="554"/>
      <c r="I474" s="553">
        <f t="shared" si="18"/>
        <v>616000</v>
      </c>
      <c r="J474" s="553">
        <f>616000-27313</f>
        <v>588687</v>
      </c>
      <c r="K474" s="554"/>
      <c r="L474" s="553">
        <f t="shared" si="19"/>
        <v>588687</v>
      </c>
    </row>
    <row r="475" spans="1:12" ht="29.25" customHeight="1">
      <c r="A475" s="609" t="s">
        <v>654</v>
      </c>
      <c r="B475" s="445" t="s">
        <v>1220</v>
      </c>
      <c r="C475" s="445" t="s">
        <v>721</v>
      </c>
      <c r="D475" s="445" t="s">
        <v>721</v>
      </c>
      <c r="E475" s="474" t="s">
        <v>1067</v>
      </c>
      <c r="F475" s="481" t="s">
        <v>655</v>
      </c>
      <c r="G475" s="553">
        <v>123200</v>
      </c>
      <c r="H475" s="562">
        <f>1231440</f>
        <v>1231440</v>
      </c>
      <c r="I475" s="553">
        <f t="shared" si="18"/>
        <v>1354640</v>
      </c>
      <c r="J475" s="553">
        <v>123200</v>
      </c>
      <c r="K475" s="562">
        <f>1231440</f>
        <v>1231440</v>
      </c>
      <c r="L475" s="553">
        <f t="shared" si="19"/>
        <v>1354640</v>
      </c>
    </row>
    <row r="476" spans="1:12" ht="15">
      <c r="A476" s="567" t="s">
        <v>696</v>
      </c>
      <c r="B476" s="445" t="s">
        <v>1220</v>
      </c>
      <c r="C476" s="445" t="s">
        <v>721</v>
      </c>
      <c r="D476" s="445" t="s">
        <v>721</v>
      </c>
      <c r="E476" s="474" t="s">
        <v>1067</v>
      </c>
      <c r="F476" s="481" t="s">
        <v>697</v>
      </c>
      <c r="G476" s="553">
        <v>70000</v>
      </c>
      <c r="H476" s="554"/>
      <c r="I476" s="553">
        <f t="shared" si="18"/>
        <v>70000</v>
      </c>
      <c r="J476" s="553">
        <v>70000</v>
      </c>
      <c r="K476" s="554"/>
      <c r="L476" s="553">
        <f t="shared" si="19"/>
        <v>70000</v>
      </c>
    </row>
    <row r="477" spans="1:12" ht="15">
      <c r="A477" s="607" t="s">
        <v>1069</v>
      </c>
      <c r="B477" s="445" t="s">
        <v>1220</v>
      </c>
      <c r="C477" s="445" t="s">
        <v>721</v>
      </c>
      <c r="D477" s="445" t="s">
        <v>832</v>
      </c>
      <c r="E477" s="445"/>
      <c r="F477" s="446"/>
      <c r="G477" s="553">
        <f>G478+G490</f>
        <v>6348866</v>
      </c>
      <c r="H477" s="554"/>
      <c r="I477" s="553">
        <f t="shared" si="18"/>
        <v>6348866</v>
      </c>
      <c r="J477" s="553">
        <f>J478+J490</f>
        <v>6348866</v>
      </c>
      <c r="K477" s="554"/>
      <c r="L477" s="553">
        <f t="shared" si="19"/>
        <v>6348866</v>
      </c>
    </row>
    <row r="478" spans="1:12" ht="36" customHeight="1">
      <c r="A478" s="607" t="s">
        <v>982</v>
      </c>
      <c r="B478" s="445" t="s">
        <v>1220</v>
      </c>
      <c r="C478" s="445" t="s">
        <v>721</v>
      </c>
      <c r="D478" s="445" t="s">
        <v>832</v>
      </c>
      <c r="E478" s="445" t="s">
        <v>983</v>
      </c>
      <c r="F478" s="446"/>
      <c r="G478" s="553">
        <f>G479</f>
        <v>6348866</v>
      </c>
      <c r="H478" s="554"/>
      <c r="I478" s="553">
        <f t="shared" si="18"/>
        <v>6348866</v>
      </c>
      <c r="J478" s="553">
        <f>J479</f>
        <v>6348866</v>
      </c>
      <c r="K478" s="554"/>
      <c r="L478" s="553">
        <f t="shared" si="19"/>
        <v>6348866</v>
      </c>
    </row>
    <row r="479" spans="1:12" ht="58.5" customHeight="1">
      <c r="A479" s="615" t="s">
        <v>1070</v>
      </c>
      <c r="B479" s="445" t="s">
        <v>1220</v>
      </c>
      <c r="C479" s="457" t="s">
        <v>721</v>
      </c>
      <c r="D479" s="457" t="s">
        <v>832</v>
      </c>
      <c r="E479" s="457" t="s">
        <v>1071</v>
      </c>
      <c r="F479" s="464"/>
      <c r="G479" s="555">
        <f>G480+G485</f>
        <v>6348866</v>
      </c>
      <c r="H479" s="554"/>
      <c r="I479" s="553">
        <f t="shared" si="18"/>
        <v>6348866</v>
      </c>
      <c r="J479" s="555">
        <f>J480+J485</f>
        <v>6348866</v>
      </c>
      <c r="K479" s="554"/>
      <c r="L479" s="553">
        <f t="shared" si="19"/>
        <v>6348866</v>
      </c>
    </row>
    <row r="480" spans="1:12" ht="32.25" customHeight="1">
      <c r="A480" s="567" t="s">
        <v>1072</v>
      </c>
      <c r="B480" s="445" t="s">
        <v>1220</v>
      </c>
      <c r="C480" s="445" t="s">
        <v>721</v>
      </c>
      <c r="D480" s="445" t="s">
        <v>832</v>
      </c>
      <c r="E480" s="445" t="s">
        <v>1073</v>
      </c>
      <c r="F480" s="446"/>
      <c r="G480" s="553">
        <f>G481</f>
        <v>6125814</v>
      </c>
      <c r="H480" s="554"/>
      <c r="I480" s="553">
        <f t="shared" si="18"/>
        <v>6125814</v>
      </c>
      <c r="J480" s="553">
        <f>J481</f>
        <v>6125814</v>
      </c>
      <c r="K480" s="554"/>
      <c r="L480" s="553">
        <f t="shared" si="19"/>
        <v>6125814</v>
      </c>
    </row>
    <row r="481" spans="1:12" ht="28.5" customHeight="1">
      <c r="A481" s="567" t="s">
        <v>816</v>
      </c>
      <c r="B481" s="445" t="s">
        <v>1220</v>
      </c>
      <c r="C481" s="445" t="s">
        <v>721</v>
      </c>
      <c r="D481" s="445" t="s">
        <v>832</v>
      </c>
      <c r="E481" s="445" t="s">
        <v>1074</v>
      </c>
      <c r="F481" s="446"/>
      <c r="G481" s="553">
        <f>G482+G483+G484</f>
        <v>6125814</v>
      </c>
      <c r="H481" s="554"/>
      <c r="I481" s="553">
        <f t="shared" si="18"/>
        <v>6125814</v>
      </c>
      <c r="J481" s="553">
        <f>J482+J483+J484</f>
        <v>6125814</v>
      </c>
      <c r="K481" s="554"/>
      <c r="L481" s="553">
        <f t="shared" si="19"/>
        <v>6125814</v>
      </c>
    </row>
    <row r="482" spans="1:12" ht="42.75" customHeight="1">
      <c r="A482" s="609" t="s">
        <v>642</v>
      </c>
      <c r="B482" s="445" t="s">
        <v>1220</v>
      </c>
      <c r="C482" s="445" t="s">
        <v>721</v>
      </c>
      <c r="D482" s="445" t="s">
        <v>832</v>
      </c>
      <c r="E482" s="445" t="s">
        <v>1074</v>
      </c>
      <c r="F482" s="446" t="s">
        <v>643</v>
      </c>
      <c r="G482" s="553">
        <f>7573300-2000000</f>
        <v>5573300</v>
      </c>
      <c r="H482" s="554"/>
      <c r="I482" s="553">
        <f t="shared" si="18"/>
        <v>5573300</v>
      </c>
      <c r="J482" s="553">
        <f>7573300-2000000</f>
        <v>5573300</v>
      </c>
      <c r="K482" s="554"/>
      <c r="L482" s="553">
        <f t="shared" si="19"/>
        <v>5573300</v>
      </c>
    </row>
    <row r="483" spans="1:12" ht="26.25">
      <c r="A483" s="609" t="s">
        <v>654</v>
      </c>
      <c r="B483" s="445" t="s">
        <v>1220</v>
      </c>
      <c r="C483" s="445" t="s">
        <v>721</v>
      </c>
      <c r="D483" s="445" t="s">
        <v>832</v>
      </c>
      <c r="E483" s="445" t="s">
        <v>1074</v>
      </c>
      <c r="F483" s="446" t="s">
        <v>655</v>
      </c>
      <c r="G483" s="553">
        <v>517200</v>
      </c>
      <c r="H483" s="554"/>
      <c r="I483" s="553">
        <f t="shared" si="18"/>
        <v>517200</v>
      </c>
      <c r="J483" s="553">
        <v>517200</v>
      </c>
      <c r="K483" s="554"/>
      <c r="L483" s="553">
        <f t="shared" si="19"/>
        <v>517200</v>
      </c>
    </row>
    <row r="484" spans="1:12" ht="15.75" customHeight="1">
      <c r="A484" s="567" t="s">
        <v>696</v>
      </c>
      <c r="B484" s="445" t="s">
        <v>1220</v>
      </c>
      <c r="C484" s="445" t="s">
        <v>721</v>
      </c>
      <c r="D484" s="445" t="s">
        <v>832</v>
      </c>
      <c r="E484" s="445" t="s">
        <v>1074</v>
      </c>
      <c r="F484" s="446" t="s">
        <v>697</v>
      </c>
      <c r="G484" s="553">
        <v>35314</v>
      </c>
      <c r="H484" s="554"/>
      <c r="I484" s="553">
        <f t="shared" si="18"/>
        <v>35314</v>
      </c>
      <c r="J484" s="553">
        <v>35314</v>
      </c>
      <c r="K484" s="554"/>
      <c r="L484" s="553">
        <f t="shared" si="19"/>
        <v>35314</v>
      </c>
    </row>
    <row r="485" spans="1:12" ht="29.25" customHeight="1">
      <c r="A485" s="567" t="s">
        <v>1075</v>
      </c>
      <c r="B485" s="445" t="s">
        <v>1220</v>
      </c>
      <c r="C485" s="445" t="s">
        <v>721</v>
      </c>
      <c r="D485" s="445" t="s">
        <v>832</v>
      </c>
      <c r="E485" s="445" t="s">
        <v>1076</v>
      </c>
      <c r="F485" s="446"/>
      <c r="G485" s="553">
        <f>G486+G488</f>
        <v>223052</v>
      </c>
      <c r="H485" s="554"/>
      <c r="I485" s="553">
        <f t="shared" si="18"/>
        <v>223052</v>
      </c>
      <c r="J485" s="553">
        <f>J486+J488</f>
        <v>223052</v>
      </c>
      <c r="K485" s="554"/>
      <c r="L485" s="553">
        <f t="shared" si="19"/>
        <v>223052</v>
      </c>
    </row>
    <row r="486" spans="1:12" ht="43.5" customHeight="1">
      <c r="A486" s="608" t="s">
        <v>1077</v>
      </c>
      <c r="B486" s="445" t="s">
        <v>1220</v>
      </c>
      <c r="C486" s="445" t="s">
        <v>721</v>
      </c>
      <c r="D486" s="445" t="s">
        <v>832</v>
      </c>
      <c r="E486" s="445" t="s">
        <v>1078</v>
      </c>
      <c r="F486" s="446"/>
      <c r="G486" s="553">
        <f>G487</f>
        <v>223052</v>
      </c>
      <c r="H486" s="554"/>
      <c r="I486" s="553">
        <f t="shared" si="18"/>
        <v>223052</v>
      </c>
      <c r="J486" s="553">
        <f>J487</f>
        <v>223052</v>
      </c>
      <c r="K486" s="554"/>
      <c r="L486" s="553">
        <f t="shared" si="19"/>
        <v>223052</v>
      </c>
    </row>
    <row r="487" spans="1:12" ht="64.5" customHeight="1">
      <c r="A487" s="609" t="s">
        <v>642</v>
      </c>
      <c r="B487" s="445" t="s">
        <v>1220</v>
      </c>
      <c r="C487" s="445" t="s">
        <v>721</v>
      </c>
      <c r="D487" s="445" t="s">
        <v>832</v>
      </c>
      <c r="E487" s="445" t="s">
        <v>1078</v>
      </c>
      <c r="F487" s="446" t="s">
        <v>643</v>
      </c>
      <c r="G487" s="553">
        <v>223052</v>
      </c>
      <c r="H487" s="554"/>
      <c r="I487" s="553">
        <f t="shared" si="18"/>
        <v>223052</v>
      </c>
      <c r="J487" s="553">
        <v>223052</v>
      </c>
      <c r="K487" s="554"/>
      <c r="L487" s="553">
        <f t="shared" si="19"/>
        <v>223052</v>
      </c>
    </row>
    <row r="488" spans="1:12" ht="15" customHeight="1" hidden="1">
      <c r="A488" s="609" t="s">
        <v>1021</v>
      </c>
      <c r="B488" s="445" t="s">
        <v>1220</v>
      </c>
      <c r="C488" s="445" t="s">
        <v>721</v>
      </c>
      <c r="D488" s="445" t="s">
        <v>832</v>
      </c>
      <c r="E488" s="445" t="s">
        <v>1079</v>
      </c>
      <c r="F488" s="446"/>
      <c r="G488" s="553">
        <f>G489</f>
        <v>0</v>
      </c>
      <c r="H488" s="554"/>
      <c r="I488" s="553">
        <f t="shared" si="18"/>
        <v>0</v>
      </c>
      <c r="J488" s="553">
        <f>J489</f>
        <v>0</v>
      </c>
      <c r="K488" s="554"/>
      <c r="L488" s="553">
        <f t="shared" si="19"/>
        <v>0</v>
      </c>
    </row>
    <row r="489" spans="1:12" ht="26.25" customHeight="1" hidden="1">
      <c r="A489" s="609" t="s">
        <v>654</v>
      </c>
      <c r="B489" s="445" t="s">
        <v>1220</v>
      </c>
      <c r="C489" s="445" t="s">
        <v>721</v>
      </c>
      <c r="D489" s="445" t="s">
        <v>832</v>
      </c>
      <c r="E489" s="445" t="s">
        <v>1079</v>
      </c>
      <c r="F489" s="446" t="s">
        <v>655</v>
      </c>
      <c r="G489" s="553"/>
      <c r="H489" s="554"/>
      <c r="I489" s="553">
        <f t="shared" si="18"/>
        <v>0</v>
      </c>
      <c r="J489" s="553"/>
      <c r="K489" s="554"/>
      <c r="L489" s="553">
        <f t="shared" si="19"/>
        <v>0</v>
      </c>
    </row>
    <row r="490" spans="1:12" ht="25.5" customHeight="1" hidden="1">
      <c r="A490" s="567" t="s">
        <v>1080</v>
      </c>
      <c r="B490" s="445" t="s">
        <v>1220</v>
      </c>
      <c r="C490" s="445" t="s">
        <v>721</v>
      </c>
      <c r="D490" s="445" t="s">
        <v>832</v>
      </c>
      <c r="E490" s="455" t="s">
        <v>1081</v>
      </c>
      <c r="F490" s="446"/>
      <c r="G490" s="553">
        <f>G491</f>
        <v>0</v>
      </c>
      <c r="H490" s="554"/>
      <c r="I490" s="553">
        <f t="shared" si="18"/>
        <v>0</v>
      </c>
      <c r="J490" s="553">
        <f>J491</f>
        <v>0</v>
      </c>
      <c r="K490" s="554"/>
      <c r="L490" s="553">
        <f t="shared" si="19"/>
        <v>0</v>
      </c>
    </row>
    <row r="491" spans="1:12" ht="26.25" customHeight="1" hidden="1">
      <c r="A491" s="567" t="s">
        <v>1082</v>
      </c>
      <c r="B491" s="445" t="s">
        <v>1220</v>
      </c>
      <c r="C491" s="445" t="s">
        <v>721</v>
      </c>
      <c r="D491" s="445" t="s">
        <v>832</v>
      </c>
      <c r="E491" s="455" t="s">
        <v>1083</v>
      </c>
      <c r="F491" s="446"/>
      <c r="G491" s="553">
        <f>G492</f>
        <v>0</v>
      </c>
      <c r="H491" s="554"/>
      <c r="I491" s="553">
        <f t="shared" si="18"/>
        <v>0</v>
      </c>
      <c r="J491" s="553">
        <f>J492</f>
        <v>0</v>
      </c>
      <c r="K491" s="554"/>
      <c r="L491" s="553">
        <f t="shared" si="19"/>
        <v>0</v>
      </c>
    </row>
    <row r="492" spans="1:12" ht="17.25" customHeight="1" hidden="1">
      <c r="A492" s="567" t="s">
        <v>1084</v>
      </c>
      <c r="B492" s="445" t="s">
        <v>1220</v>
      </c>
      <c r="C492" s="445" t="s">
        <v>721</v>
      </c>
      <c r="D492" s="445" t="s">
        <v>832</v>
      </c>
      <c r="E492" s="512" t="s">
        <v>1085</v>
      </c>
      <c r="F492" s="446"/>
      <c r="G492" s="553">
        <f>G493</f>
        <v>0</v>
      </c>
      <c r="H492" s="554"/>
      <c r="I492" s="553">
        <f t="shared" si="18"/>
        <v>0</v>
      </c>
      <c r="J492" s="553">
        <f>J493</f>
        <v>0</v>
      </c>
      <c r="K492" s="554"/>
      <c r="L492" s="553">
        <f t="shared" si="19"/>
        <v>0</v>
      </c>
    </row>
    <row r="493" spans="1:12" ht="11.25" customHeight="1" hidden="1">
      <c r="A493" s="609" t="s">
        <v>654</v>
      </c>
      <c r="B493" s="445" t="s">
        <v>1220</v>
      </c>
      <c r="C493" s="445" t="s">
        <v>721</v>
      </c>
      <c r="D493" s="445" t="s">
        <v>832</v>
      </c>
      <c r="E493" s="455" t="s">
        <v>1085</v>
      </c>
      <c r="F493" s="446" t="s">
        <v>655</v>
      </c>
      <c r="G493" s="553"/>
      <c r="H493" s="554"/>
      <c r="I493" s="553">
        <f t="shared" si="18"/>
        <v>0</v>
      </c>
      <c r="J493" s="553"/>
      <c r="K493" s="554"/>
      <c r="L493" s="553">
        <f t="shared" si="19"/>
        <v>0</v>
      </c>
    </row>
    <row r="494" spans="1:12" ht="17.25" customHeight="1">
      <c r="A494" s="607" t="s">
        <v>1118</v>
      </c>
      <c r="B494" s="445" t="s">
        <v>1220</v>
      </c>
      <c r="C494" s="445">
        <v>10</v>
      </c>
      <c r="D494" s="445"/>
      <c r="E494" s="445"/>
      <c r="F494" s="446"/>
      <c r="G494" s="553">
        <f>G495+G507</f>
        <v>30500985</v>
      </c>
      <c r="H494" s="554"/>
      <c r="I494" s="553">
        <f t="shared" si="18"/>
        <v>30500985</v>
      </c>
      <c r="J494" s="553">
        <f>J495+J507</f>
        <v>30500985</v>
      </c>
      <c r="K494" s="554"/>
      <c r="L494" s="553">
        <f t="shared" si="19"/>
        <v>30500985</v>
      </c>
    </row>
    <row r="495" spans="1:12" ht="16.5" customHeight="1">
      <c r="A495" s="607" t="s">
        <v>1128</v>
      </c>
      <c r="B495" s="445" t="s">
        <v>1220</v>
      </c>
      <c r="C495" s="445">
        <v>10</v>
      </c>
      <c r="D495" s="445" t="s">
        <v>645</v>
      </c>
      <c r="E495" s="445"/>
      <c r="F495" s="446"/>
      <c r="G495" s="553">
        <f>G496</f>
        <v>19366008</v>
      </c>
      <c r="H495" s="554"/>
      <c r="I495" s="553">
        <f t="shared" si="18"/>
        <v>19366008</v>
      </c>
      <c r="J495" s="553">
        <f>J496</f>
        <v>19366008</v>
      </c>
      <c r="K495" s="554"/>
      <c r="L495" s="553">
        <f t="shared" si="19"/>
        <v>19366008</v>
      </c>
    </row>
    <row r="496" spans="1:12" ht="27.75" customHeight="1">
      <c r="A496" s="607" t="s">
        <v>982</v>
      </c>
      <c r="B496" s="445" t="s">
        <v>1220</v>
      </c>
      <c r="C496" s="445">
        <v>10</v>
      </c>
      <c r="D496" s="445" t="s">
        <v>645</v>
      </c>
      <c r="E496" s="445" t="s">
        <v>983</v>
      </c>
      <c r="F496" s="446"/>
      <c r="G496" s="553">
        <f>G497+G502</f>
        <v>19366008</v>
      </c>
      <c r="H496" s="554"/>
      <c r="I496" s="553">
        <f t="shared" si="18"/>
        <v>19366008</v>
      </c>
      <c r="J496" s="553">
        <f>J497+J502</f>
        <v>19366008</v>
      </c>
      <c r="K496" s="554"/>
      <c r="L496" s="553">
        <f t="shared" si="19"/>
        <v>19366008</v>
      </c>
    </row>
    <row r="497" spans="1:12" ht="45" customHeight="1">
      <c r="A497" s="606" t="s">
        <v>984</v>
      </c>
      <c r="B497" s="445" t="s">
        <v>1220</v>
      </c>
      <c r="C497" s="457">
        <v>10</v>
      </c>
      <c r="D497" s="457" t="s">
        <v>645</v>
      </c>
      <c r="E497" s="457" t="s">
        <v>985</v>
      </c>
      <c r="F497" s="464"/>
      <c r="G497" s="555">
        <f>G498</f>
        <v>18966008</v>
      </c>
      <c r="H497" s="554"/>
      <c r="I497" s="553">
        <f t="shared" si="18"/>
        <v>18966008</v>
      </c>
      <c r="J497" s="555">
        <f>J498</f>
        <v>18966008</v>
      </c>
      <c r="K497" s="554"/>
      <c r="L497" s="553">
        <f t="shared" si="19"/>
        <v>18966008</v>
      </c>
    </row>
    <row r="498" spans="1:12" ht="28.5" customHeight="1">
      <c r="A498" s="567" t="s">
        <v>1145</v>
      </c>
      <c r="B498" s="445" t="s">
        <v>1220</v>
      </c>
      <c r="C498" s="445">
        <v>10</v>
      </c>
      <c r="D498" s="445" t="s">
        <v>645</v>
      </c>
      <c r="E498" s="445" t="s">
        <v>1146</v>
      </c>
      <c r="F498" s="446"/>
      <c r="G498" s="553">
        <f>G499</f>
        <v>18966008</v>
      </c>
      <c r="H498" s="554"/>
      <c r="I498" s="553">
        <f aca="true" t="shared" si="20" ref="I498:I523">G498+H498</f>
        <v>18966008</v>
      </c>
      <c r="J498" s="553">
        <f>J499</f>
        <v>18966008</v>
      </c>
      <c r="K498" s="554"/>
      <c r="L498" s="553">
        <f aca="true" t="shared" si="21" ref="L498:L523">J498+K498</f>
        <v>18966008</v>
      </c>
    </row>
    <row r="499" spans="1:12" ht="53.25" customHeight="1">
      <c r="A499" s="611" t="s">
        <v>1147</v>
      </c>
      <c r="B499" s="445" t="s">
        <v>1220</v>
      </c>
      <c r="C499" s="445">
        <v>10</v>
      </c>
      <c r="D499" s="445" t="s">
        <v>645</v>
      </c>
      <c r="E499" s="445" t="s">
        <v>1148</v>
      </c>
      <c r="F499" s="446"/>
      <c r="G499" s="553">
        <f>G500+G501</f>
        <v>18966008</v>
      </c>
      <c r="H499" s="554"/>
      <c r="I499" s="553">
        <f t="shared" si="20"/>
        <v>18966008</v>
      </c>
      <c r="J499" s="553">
        <f>J500+J501</f>
        <v>18966008</v>
      </c>
      <c r="K499" s="554"/>
      <c r="L499" s="553">
        <f t="shared" si="21"/>
        <v>18966008</v>
      </c>
    </row>
    <row r="500" spans="1:12" ht="26.25" customHeight="1" hidden="1">
      <c r="A500" s="609" t="s">
        <v>654</v>
      </c>
      <c r="B500" s="445" t="s">
        <v>1220</v>
      </c>
      <c r="C500" s="445">
        <v>10</v>
      </c>
      <c r="D500" s="445" t="s">
        <v>645</v>
      </c>
      <c r="E500" s="445" t="s">
        <v>1148</v>
      </c>
      <c r="F500" s="446" t="s">
        <v>655</v>
      </c>
      <c r="G500" s="553"/>
      <c r="H500" s="554"/>
      <c r="I500" s="553">
        <f t="shared" si="20"/>
        <v>0</v>
      </c>
      <c r="J500" s="553"/>
      <c r="K500" s="554"/>
      <c r="L500" s="553">
        <f t="shared" si="21"/>
        <v>0</v>
      </c>
    </row>
    <row r="501" spans="1:12" ht="19.5" customHeight="1">
      <c r="A501" s="628" t="s">
        <v>827</v>
      </c>
      <c r="B501" s="445" t="s">
        <v>1220</v>
      </c>
      <c r="C501" s="445">
        <v>10</v>
      </c>
      <c r="D501" s="445" t="s">
        <v>645</v>
      </c>
      <c r="E501" s="445" t="s">
        <v>1148</v>
      </c>
      <c r="F501" s="446" t="s">
        <v>828</v>
      </c>
      <c r="G501" s="553">
        <v>18966008</v>
      </c>
      <c r="H501" s="554"/>
      <c r="I501" s="553">
        <f t="shared" si="20"/>
        <v>18966008</v>
      </c>
      <c r="J501" s="553">
        <v>18966008</v>
      </c>
      <c r="K501" s="554"/>
      <c r="L501" s="553">
        <f t="shared" si="21"/>
        <v>18966008</v>
      </c>
    </row>
    <row r="502" spans="1:12" ht="57.75" customHeight="1">
      <c r="A502" s="609" t="s">
        <v>1035</v>
      </c>
      <c r="B502" s="445" t="s">
        <v>1220</v>
      </c>
      <c r="C502" s="457">
        <v>10</v>
      </c>
      <c r="D502" s="457" t="s">
        <v>645</v>
      </c>
      <c r="E502" s="457" t="s">
        <v>1036</v>
      </c>
      <c r="F502" s="464"/>
      <c r="G502" s="555">
        <f>G503</f>
        <v>400000</v>
      </c>
      <c r="H502" s="554"/>
      <c r="I502" s="553">
        <f t="shared" si="20"/>
        <v>400000</v>
      </c>
      <c r="J502" s="555">
        <f>J503</f>
        <v>400000</v>
      </c>
      <c r="K502" s="554"/>
      <c r="L502" s="553">
        <f t="shared" si="21"/>
        <v>400000</v>
      </c>
    </row>
    <row r="503" spans="1:12" ht="29.25" customHeight="1">
      <c r="A503" s="565" t="s">
        <v>1149</v>
      </c>
      <c r="B503" s="445" t="s">
        <v>1220</v>
      </c>
      <c r="C503" s="445">
        <v>10</v>
      </c>
      <c r="D503" s="445" t="s">
        <v>645</v>
      </c>
      <c r="E503" s="445" t="s">
        <v>1150</v>
      </c>
      <c r="F503" s="446"/>
      <c r="G503" s="553">
        <f>G504</f>
        <v>400000</v>
      </c>
      <c r="H503" s="554"/>
      <c r="I503" s="553">
        <f t="shared" si="20"/>
        <v>400000</v>
      </c>
      <c r="J503" s="553">
        <f>J504</f>
        <v>400000</v>
      </c>
      <c r="K503" s="554"/>
      <c r="L503" s="553">
        <f t="shared" si="21"/>
        <v>400000</v>
      </c>
    </row>
    <row r="504" spans="1:12" ht="52.5" customHeight="1">
      <c r="A504" s="625" t="s">
        <v>1151</v>
      </c>
      <c r="B504" s="445" t="s">
        <v>1220</v>
      </c>
      <c r="C504" s="445">
        <v>10</v>
      </c>
      <c r="D504" s="445" t="s">
        <v>645</v>
      </c>
      <c r="E504" s="445" t="s">
        <v>1152</v>
      </c>
      <c r="F504" s="446"/>
      <c r="G504" s="553">
        <f>G506</f>
        <v>400000</v>
      </c>
      <c r="H504" s="554"/>
      <c r="I504" s="553">
        <f t="shared" si="20"/>
        <v>400000</v>
      </c>
      <c r="J504" s="553">
        <f>J506</f>
        <v>400000</v>
      </c>
      <c r="K504" s="554"/>
      <c r="L504" s="553">
        <f t="shared" si="21"/>
        <v>400000</v>
      </c>
    </row>
    <row r="505" spans="1:12" ht="26.25" customHeight="1" hidden="1">
      <c r="A505" s="609" t="s">
        <v>654</v>
      </c>
      <c r="B505" s="445" t="s">
        <v>1220</v>
      </c>
      <c r="C505" s="445">
        <v>10</v>
      </c>
      <c r="D505" s="445" t="s">
        <v>645</v>
      </c>
      <c r="E505" s="445" t="s">
        <v>1152</v>
      </c>
      <c r="F505" s="446" t="s">
        <v>655</v>
      </c>
      <c r="G505" s="553"/>
      <c r="H505" s="554"/>
      <c r="I505" s="553">
        <f t="shared" si="20"/>
        <v>0</v>
      </c>
      <c r="J505" s="553"/>
      <c r="K505" s="554"/>
      <c r="L505" s="553">
        <f t="shared" si="21"/>
        <v>0</v>
      </c>
    </row>
    <row r="506" spans="1:12" ht="19.5" customHeight="1">
      <c r="A506" s="628" t="s">
        <v>827</v>
      </c>
      <c r="B506" s="445" t="s">
        <v>1220</v>
      </c>
      <c r="C506" s="445">
        <v>10</v>
      </c>
      <c r="D506" s="445" t="s">
        <v>645</v>
      </c>
      <c r="E506" s="445" t="s">
        <v>1152</v>
      </c>
      <c r="F506" s="446" t="s">
        <v>828</v>
      </c>
      <c r="G506" s="584">
        <v>400000</v>
      </c>
      <c r="H506" s="554"/>
      <c r="I506" s="553">
        <f t="shared" si="20"/>
        <v>400000</v>
      </c>
      <c r="J506" s="584">
        <v>400000</v>
      </c>
      <c r="K506" s="554"/>
      <c r="L506" s="553">
        <f t="shared" si="21"/>
        <v>400000</v>
      </c>
    </row>
    <row r="507" spans="1:12" ht="19.5" customHeight="1">
      <c r="A507" s="607" t="s">
        <v>1153</v>
      </c>
      <c r="B507" s="445" t="s">
        <v>1220</v>
      </c>
      <c r="C507" s="445">
        <v>10</v>
      </c>
      <c r="D507" s="445" t="s">
        <v>658</v>
      </c>
      <c r="E507" s="445"/>
      <c r="F507" s="446"/>
      <c r="G507" s="553">
        <f>G513+G508</f>
        <v>11134977</v>
      </c>
      <c r="H507" s="554"/>
      <c r="I507" s="553">
        <f t="shared" si="20"/>
        <v>11134977</v>
      </c>
      <c r="J507" s="553">
        <f>J513+J508</f>
        <v>11134977</v>
      </c>
      <c r="K507" s="554"/>
      <c r="L507" s="553">
        <f t="shared" si="21"/>
        <v>11134977</v>
      </c>
    </row>
    <row r="508" spans="1:12" ht="47.25" customHeight="1">
      <c r="A508" s="607" t="s">
        <v>1279</v>
      </c>
      <c r="B508" s="445" t="s">
        <v>1220</v>
      </c>
      <c r="C508" s="445">
        <v>10</v>
      </c>
      <c r="D508" s="445" t="s">
        <v>658</v>
      </c>
      <c r="E508" s="520" t="s">
        <v>660</v>
      </c>
      <c r="F508" s="446"/>
      <c r="G508" s="553">
        <f>G509</f>
        <v>9054167</v>
      </c>
      <c r="H508" s="554"/>
      <c r="I508" s="553">
        <f t="shared" si="20"/>
        <v>9054167</v>
      </c>
      <c r="J508" s="553">
        <f>J509</f>
        <v>9054167</v>
      </c>
      <c r="K508" s="554"/>
      <c r="L508" s="553">
        <f t="shared" si="21"/>
        <v>9054167</v>
      </c>
    </row>
    <row r="509" spans="1:12" ht="81" customHeight="1">
      <c r="A509" s="616" t="s">
        <v>1156</v>
      </c>
      <c r="B509" s="445" t="s">
        <v>1220</v>
      </c>
      <c r="C509" s="445">
        <v>10</v>
      </c>
      <c r="D509" s="445" t="s">
        <v>658</v>
      </c>
      <c r="E509" s="445" t="s">
        <v>662</v>
      </c>
      <c r="F509" s="446"/>
      <c r="G509" s="553">
        <f>G511</f>
        <v>9054167</v>
      </c>
      <c r="H509" s="554"/>
      <c r="I509" s="553">
        <f t="shared" si="20"/>
        <v>9054167</v>
      </c>
      <c r="J509" s="553">
        <f>J511</f>
        <v>9054167</v>
      </c>
      <c r="K509" s="554"/>
      <c r="L509" s="553">
        <f t="shared" si="21"/>
        <v>9054167</v>
      </c>
    </row>
    <row r="510" spans="1:12" ht="40.5" customHeight="1">
      <c r="A510" s="567" t="s">
        <v>1157</v>
      </c>
      <c r="B510" s="445" t="s">
        <v>1220</v>
      </c>
      <c r="C510" s="445">
        <v>10</v>
      </c>
      <c r="D510" s="445" t="s">
        <v>658</v>
      </c>
      <c r="E510" s="445" t="s">
        <v>1158</v>
      </c>
      <c r="F510" s="446"/>
      <c r="G510" s="553">
        <f>G511</f>
        <v>9054167</v>
      </c>
      <c r="H510" s="554"/>
      <c r="I510" s="553">
        <f t="shared" si="20"/>
        <v>9054167</v>
      </c>
      <c r="J510" s="553">
        <f>J511</f>
        <v>9054167</v>
      </c>
      <c r="K510" s="554"/>
      <c r="L510" s="553">
        <f t="shared" si="21"/>
        <v>9054167</v>
      </c>
    </row>
    <row r="511" spans="1:12" ht="30.75" customHeight="1">
      <c r="A511" s="608" t="s">
        <v>1159</v>
      </c>
      <c r="B511" s="445" t="s">
        <v>1220</v>
      </c>
      <c r="C511" s="445">
        <v>10</v>
      </c>
      <c r="D511" s="445" t="s">
        <v>658</v>
      </c>
      <c r="E511" s="445" t="s">
        <v>1160</v>
      </c>
      <c r="F511" s="446"/>
      <c r="G511" s="553">
        <f>G512</f>
        <v>9054167</v>
      </c>
      <c r="H511" s="554"/>
      <c r="I511" s="553">
        <f t="shared" si="20"/>
        <v>9054167</v>
      </c>
      <c r="J511" s="553">
        <f>J512</f>
        <v>9054167</v>
      </c>
      <c r="K511" s="554"/>
      <c r="L511" s="553">
        <f t="shared" si="21"/>
        <v>9054167</v>
      </c>
    </row>
    <row r="512" spans="1:12" ht="19.5" customHeight="1">
      <c r="A512" s="628" t="s">
        <v>827</v>
      </c>
      <c r="B512" s="445" t="s">
        <v>1220</v>
      </c>
      <c r="C512" s="445">
        <v>10</v>
      </c>
      <c r="D512" s="445" t="s">
        <v>658</v>
      </c>
      <c r="E512" s="445" t="s">
        <v>1160</v>
      </c>
      <c r="F512" s="446" t="s">
        <v>828</v>
      </c>
      <c r="G512" s="553">
        <v>9054167</v>
      </c>
      <c r="H512" s="554"/>
      <c r="I512" s="553">
        <f t="shared" si="20"/>
        <v>9054167</v>
      </c>
      <c r="J512" s="553">
        <v>9054167</v>
      </c>
      <c r="K512" s="554"/>
      <c r="L512" s="553">
        <f t="shared" si="21"/>
        <v>9054167</v>
      </c>
    </row>
    <row r="513" spans="1:12" ht="32.25" customHeight="1">
      <c r="A513" s="607" t="s">
        <v>1161</v>
      </c>
      <c r="B513" s="445" t="s">
        <v>1220</v>
      </c>
      <c r="C513" s="445">
        <v>10</v>
      </c>
      <c r="D513" s="445" t="s">
        <v>658</v>
      </c>
      <c r="E513" s="520" t="s">
        <v>983</v>
      </c>
      <c r="F513" s="446"/>
      <c r="G513" s="553">
        <f>G514</f>
        <v>2080810</v>
      </c>
      <c r="H513" s="554"/>
      <c r="I513" s="553">
        <f t="shared" si="20"/>
        <v>2080810</v>
      </c>
      <c r="J513" s="553">
        <f>J514</f>
        <v>2080810</v>
      </c>
      <c r="K513" s="554"/>
      <c r="L513" s="553">
        <f t="shared" si="21"/>
        <v>2080810</v>
      </c>
    </row>
    <row r="514" spans="1:12" ht="48.75" customHeight="1">
      <c r="A514" s="606" t="s">
        <v>984</v>
      </c>
      <c r="B514" s="445" t="s">
        <v>1220</v>
      </c>
      <c r="C514" s="445">
        <v>10</v>
      </c>
      <c r="D514" s="445" t="s">
        <v>658</v>
      </c>
      <c r="E514" s="520" t="s">
        <v>985</v>
      </c>
      <c r="F514" s="446"/>
      <c r="G514" s="553">
        <f>G516</f>
        <v>2080810</v>
      </c>
      <c r="H514" s="554"/>
      <c r="I514" s="553">
        <f t="shared" si="20"/>
        <v>2080810</v>
      </c>
      <c r="J514" s="553">
        <f>J516</f>
        <v>2080810</v>
      </c>
      <c r="K514" s="554"/>
      <c r="L514" s="553">
        <f t="shared" si="21"/>
        <v>2080810</v>
      </c>
    </row>
    <row r="515" spans="1:12" ht="29.25" customHeight="1">
      <c r="A515" s="567" t="s">
        <v>986</v>
      </c>
      <c r="B515" s="445" t="s">
        <v>1220</v>
      </c>
      <c r="C515" s="445">
        <v>10</v>
      </c>
      <c r="D515" s="445" t="s">
        <v>658</v>
      </c>
      <c r="E515" s="520" t="s">
        <v>987</v>
      </c>
      <c r="F515" s="446"/>
      <c r="G515" s="553">
        <f>G516</f>
        <v>2080810</v>
      </c>
      <c r="H515" s="554"/>
      <c r="I515" s="553">
        <f t="shared" si="20"/>
        <v>2080810</v>
      </c>
      <c r="J515" s="553">
        <f>J516</f>
        <v>2080810</v>
      </c>
      <c r="K515" s="554"/>
      <c r="L515" s="553">
        <f t="shared" si="21"/>
        <v>2080810</v>
      </c>
    </row>
    <row r="516" spans="1:12" ht="14.25" customHeight="1">
      <c r="A516" s="608" t="s">
        <v>1162</v>
      </c>
      <c r="B516" s="445" t="s">
        <v>1220</v>
      </c>
      <c r="C516" s="445">
        <v>10</v>
      </c>
      <c r="D516" s="445" t="s">
        <v>658</v>
      </c>
      <c r="E516" s="520" t="s">
        <v>1163</v>
      </c>
      <c r="F516" s="446"/>
      <c r="G516" s="553">
        <f>G518+G517</f>
        <v>2080810</v>
      </c>
      <c r="H516" s="554"/>
      <c r="I516" s="553">
        <f t="shared" si="20"/>
        <v>2080810</v>
      </c>
      <c r="J516" s="553">
        <f>J518+J517</f>
        <v>2080810</v>
      </c>
      <c r="K516" s="554"/>
      <c r="L516" s="553">
        <f t="shared" si="21"/>
        <v>2080810</v>
      </c>
    </row>
    <row r="517" spans="1:12" ht="28.5" customHeight="1" hidden="1">
      <c r="A517" s="609" t="s">
        <v>654</v>
      </c>
      <c r="B517" s="445" t="s">
        <v>1220</v>
      </c>
      <c r="C517" s="445">
        <v>10</v>
      </c>
      <c r="D517" s="445" t="s">
        <v>658</v>
      </c>
      <c r="E517" s="520" t="s">
        <v>1163</v>
      </c>
      <c r="F517" s="446" t="s">
        <v>655</v>
      </c>
      <c r="G517" s="553"/>
      <c r="H517" s="554"/>
      <c r="I517" s="553">
        <f t="shared" si="20"/>
        <v>0</v>
      </c>
      <c r="J517" s="553"/>
      <c r="K517" s="554"/>
      <c r="L517" s="553">
        <f t="shared" si="21"/>
        <v>0</v>
      </c>
    </row>
    <row r="518" spans="1:12" ht="16.5" customHeight="1">
      <c r="A518" s="628" t="s">
        <v>827</v>
      </c>
      <c r="B518" s="445" t="s">
        <v>1220</v>
      </c>
      <c r="C518" s="445">
        <v>10</v>
      </c>
      <c r="D518" s="445" t="s">
        <v>658</v>
      </c>
      <c r="E518" s="520" t="s">
        <v>1163</v>
      </c>
      <c r="F518" s="446" t="s">
        <v>828</v>
      </c>
      <c r="G518" s="553">
        <v>2080810</v>
      </c>
      <c r="H518" s="554"/>
      <c r="I518" s="553">
        <f t="shared" si="20"/>
        <v>2080810</v>
      </c>
      <c r="J518" s="553">
        <v>2080810</v>
      </c>
      <c r="K518" s="554"/>
      <c r="L518" s="553">
        <f t="shared" si="21"/>
        <v>2080810</v>
      </c>
    </row>
    <row r="519" spans="1:12" ht="33.75" customHeight="1">
      <c r="A519" s="606" t="s">
        <v>1238</v>
      </c>
      <c r="B519" s="445" t="s">
        <v>1239</v>
      </c>
      <c r="C519" s="445"/>
      <c r="D519" s="445"/>
      <c r="E519" s="445"/>
      <c r="F519" s="446"/>
      <c r="G519" s="553">
        <f>G527+G539+G576+G520</f>
        <v>41200326</v>
      </c>
      <c r="H519" s="554">
        <f>H527+H539+H576+H520</f>
        <v>646648</v>
      </c>
      <c r="I519" s="553">
        <f t="shared" si="20"/>
        <v>41846974</v>
      </c>
      <c r="J519" s="553">
        <f>J527+J539+J576+J520</f>
        <v>43930452</v>
      </c>
      <c r="K519" s="554">
        <f>K527+K539+K576+K520</f>
        <v>646648</v>
      </c>
      <c r="L519" s="553">
        <f t="shared" si="21"/>
        <v>44577100</v>
      </c>
    </row>
    <row r="520" spans="1:12" ht="15" customHeight="1" hidden="1">
      <c r="A520" s="607" t="s">
        <v>850</v>
      </c>
      <c r="B520" s="445" t="s">
        <v>1239</v>
      </c>
      <c r="C520" s="445" t="s">
        <v>658</v>
      </c>
      <c r="D520" s="445"/>
      <c r="E520" s="445"/>
      <c r="F520" s="446"/>
      <c r="G520" s="553">
        <f>G521</f>
        <v>0</v>
      </c>
      <c r="H520" s="554">
        <f>H521</f>
        <v>0</v>
      </c>
      <c r="I520" s="553">
        <f t="shared" si="20"/>
        <v>0</v>
      </c>
      <c r="J520" s="553">
        <f>J521</f>
        <v>0</v>
      </c>
      <c r="K520" s="554">
        <f>K521</f>
        <v>0</v>
      </c>
      <c r="L520" s="553">
        <f t="shared" si="21"/>
        <v>0</v>
      </c>
    </row>
    <row r="521" spans="1:12" ht="15" customHeight="1" hidden="1">
      <c r="A521" s="607" t="s">
        <v>891</v>
      </c>
      <c r="B521" s="445" t="s">
        <v>1239</v>
      </c>
      <c r="C521" s="445" t="s">
        <v>658</v>
      </c>
      <c r="D521" s="445" t="s">
        <v>892</v>
      </c>
      <c r="E521" s="445"/>
      <c r="F521" s="446"/>
      <c r="G521" s="553">
        <f>G522</f>
        <v>0</v>
      </c>
      <c r="H521" s="554"/>
      <c r="I521" s="553">
        <f t="shared" si="20"/>
        <v>0</v>
      </c>
      <c r="J521" s="553">
        <f>J522</f>
        <v>0</v>
      </c>
      <c r="K521" s="554"/>
      <c r="L521" s="553">
        <f t="shared" si="21"/>
        <v>0</v>
      </c>
    </row>
    <row r="522" spans="1:12" ht="54" customHeight="1" hidden="1">
      <c r="A522" s="624" t="s">
        <v>903</v>
      </c>
      <c r="B522" s="445" t="s">
        <v>1239</v>
      </c>
      <c r="C522" s="445" t="s">
        <v>658</v>
      </c>
      <c r="D522" s="445" t="s">
        <v>892</v>
      </c>
      <c r="E522" s="500" t="s">
        <v>904</v>
      </c>
      <c r="F522" s="446"/>
      <c r="G522" s="553">
        <f>G523</f>
        <v>0</v>
      </c>
      <c r="H522" s="554"/>
      <c r="I522" s="553">
        <f t="shared" si="20"/>
        <v>0</v>
      </c>
      <c r="J522" s="553">
        <f>J523</f>
        <v>0</v>
      </c>
      <c r="K522" s="554"/>
      <c r="L522" s="553">
        <f t="shared" si="21"/>
        <v>0</v>
      </c>
    </row>
    <row r="523" spans="1:12" ht="75.75" customHeight="1" hidden="1">
      <c r="A523" s="616" t="s">
        <v>1210</v>
      </c>
      <c r="B523" s="445" t="s">
        <v>1239</v>
      </c>
      <c r="C523" s="445" t="s">
        <v>658</v>
      </c>
      <c r="D523" s="445" t="s">
        <v>892</v>
      </c>
      <c r="E523" s="500" t="s">
        <v>906</v>
      </c>
      <c r="F523" s="446"/>
      <c r="G523" s="553">
        <f>G525</f>
        <v>0</v>
      </c>
      <c r="H523" s="554"/>
      <c r="I523" s="553">
        <f t="shared" si="20"/>
        <v>0</v>
      </c>
      <c r="J523" s="553">
        <f>J525</f>
        <v>0</v>
      </c>
      <c r="K523" s="554"/>
      <c r="L523" s="553">
        <f t="shared" si="21"/>
        <v>0</v>
      </c>
    </row>
    <row r="524" spans="1:12" ht="27" customHeight="1" hidden="1">
      <c r="A524" s="567" t="s">
        <v>907</v>
      </c>
      <c r="B524" s="445" t="s">
        <v>1239</v>
      </c>
      <c r="C524" s="445" t="s">
        <v>658</v>
      </c>
      <c r="D524" s="445" t="s">
        <v>892</v>
      </c>
      <c r="E524" s="500" t="s">
        <v>908</v>
      </c>
      <c r="F524" s="446"/>
      <c r="G524" s="553"/>
      <c r="H524" s="554"/>
      <c r="I524" s="553">
        <f>I525</f>
        <v>0</v>
      </c>
      <c r="J524" s="553"/>
      <c r="K524" s="554"/>
      <c r="L524" s="553">
        <f>L525</f>
        <v>0</v>
      </c>
    </row>
    <row r="525" spans="1:12" ht="15.75" customHeight="1" hidden="1">
      <c r="A525" s="606" t="s">
        <v>909</v>
      </c>
      <c r="B525" s="445" t="s">
        <v>1239</v>
      </c>
      <c r="C525" s="445" t="s">
        <v>658</v>
      </c>
      <c r="D525" s="445" t="s">
        <v>892</v>
      </c>
      <c r="E525" s="500" t="s">
        <v>910</v>
      </c>
      <c r="F525" s="446"/>
      <c r="G525" s="553">
        <f>G526</f>
        <v>0</v>
      </c>
      <c r="H525" s="554"/>
      <c r="I525" s="553">
        <f aca="true" t="shared" si="22" ref="I525:I536">G525+H525</f>
        <v>0</v>
      </c>
      <c r="J525" s="553">
        <f>J526</f>
        <v>0</v>
      </c>
      <c r="K525" s="554"/>
      <c r="L525" s="553">
        <f aca="true" t="shared" si="23" ref="L525:L536">J525+K525</f>
        <v>0</v>
      </c>
    </row>
    <row r="526" spans="1:12" ht="28.5" customHeight="1" hidden="1">
      <c r="A526" s="609" t="s">
        <v>654</v>
      </c>
      <c r="B526" s="445" t="s">
        <v>1239</v>
      </c>
      <c r="C526" s="445" t="s">
        <v>658</v>
      </c>
      <c r="D526" s="445" t="s">
        <v>892</v>
      </c>
      <c r="E526" s="500" t="s">
        <v>910</v>
      </c>
      <c r="F526" s="446" t="s">
        <v>655</v>
      </c>
      <c r="G526" s="553"/>
      <c r="H526" s="554"/>
      <c r="I526" s="553">
        <f t="shared" si="22"/>
        <v>0</v>
      </c>
      <c r="J526" s="553"/>
      <c r="K526" s="554"/>
      <c r="L526" s="553">
        <f t="shared" si="23"/>
        <v>0</v>
      </c>
    </row>
    <row r="527" spans="1:12" ht="15" customHeight="1">
      <c r="A527" s="607" t="s">
        <v>980</v>
      </c>
      <c r="B527" s="445" t="s">
        <v>1239</v>
      </c>
      <c r="C527" s="445" t="s">
        <v>721</v>
      </c>
      <c r="D527" s="445"/>
      <c r="E527" s="445"/>
      <c r="F527" s="446"/>
      <c r="G527" s="553">
        <f aca="true" t="shared" si="24" ref="G527:K529">G528</f>
        <v>16671400</v>
      </c>
      <c r="H527" s="554">
        <f t="shared" si="24"/>
        <v>0</v>
      </c>
      <c r="I527" s="553">
        <f t="shared" si="22"/>
        <v>16671400</v>
      </c>
      <c r="J527" s="553">
        <f t="shared" si="24"/>
        <v>18671400</v>
      </c>
      <c r="K527" s="554">
        <f t="shared" si="24"/>
        <v>0</v>
      </c>
      <c r="L527" s="553">
        <f t="shared" si="23"/>
        <v>18671400</v>
      </c>
    </row>
    <row r="528" spans="1:12" s="434" customFormat="1" ht="15.75">
      <c r="A528" s="609" t="s">
        <v>1034</v>
      </c>
      <c r="B528" s="445" t="s">
        <v>1239</v>
      </c>
      <c r="C528" s="445" t="s">
        <v>721</v>
      </c>
      <c r="D528" s="445" t="s">
        <v>645</v>
      </c>
      <c r="E528" s="445"/>
      <c r="F528" s="446"/>
      <c r="G528" s="553">
        <f t="shared" si="24"/>
        <v>16671400</v>
      </c>
      <c r="H528" s="554">
        <f t="shared" si="24"/>
        <v>0</v>
      </c>
      <c r="I528" s="553">
        <f t="shared" si="22"/>
        <v>16671400</v>
      </c>
      <c r="J528" s="553">
        <f t="shared" si="24"/>
        <v>18671400</v>
      </c>
      <c r="K528" s="554">
        <f t="shared" si="24"/>
        <v>0</v>
      </c>
      <c r="L528" s="553">
        <f t="shared" si="23"/>
        <v>18671400</v>
      </c>
    </row>
    <row r="529" spans="1:12" ht="42" customHeight="1">
      <c r="A529" s="607" t="s">
        <v>982</v>
      </c>
      <c r="B529" s="445" t="s">
        <v>1239</v>
      </c>
      <c r="C529" s="445" t="s">
        <v>721</v>
      </c>
      <c r="D529" s="445" t="s">
        <v>645</v>
      </c>
      <c r="E529" s="445" t="s">
        <v>983</v>
      </c>
      <c r="F529" s="446"/>
      <c r="G529" s="553">
        <f t="shared" si="24"/>
        <v>16671400</v>
      </c>
      <c r="H529" s="554">
        <f t="shared" si="24"/>
        <v>0</v>
      </c>
      <c r="I529" s="553">
        <f t="shared" si="22"/>
        <v>16671400</v>
      </c>
      <c r="J529" s="553">
        <f t="shared" si="24"/>
        <v>18671400</v>
      </c>
      <c r="K529" s="554">
        <f t="shared" si="24"/>
        <v>0</v>
      </c>
      <c r="L529" s="553">
        <f t="shared" si="23"/>
        <v>18671400</v>
      </c>
    </row>
    <row r="530" spans="1:12" ht="66" customHeight="1">
      <c r="A530" s="609" t="s">
        <v>1035</v>
      </c>
      <c r="B530" s="445" t="s">
        <v>1239</v>
      </c>
      <c r="C530" s="445" t="s">
        <v>721</v>
      </c>
      <c r="D530" s="445" t="s">
        <v>645</v>
      </c>
      <c r="E530" s="445" t="s">
        <v>1036</v>
      </c>
      <c r="F530" s="446"/>
      <c r="G530" s="553">
        <f>G531</f>
        <v>16671400</v>
      </c>
      <c r="H530" s="554">
        <f>H531</f>
        <v>0</v>
      </c>
      <c r="I530" s="553">
        <f t="shared" si="22"/>
        <v>16671400</v>
      </c>
      <c r="J530" s="553">
        <f>J531</f>
        <v>18671400</v>
      </c>
      <c r="K530" s="554">
        <f>K531</f>
        <v>0</v>
      </c>
      <c r="L530" s="553">
        <f t="shared" si="23"/>
        <v>18671400</v>
      </c>
    </row>
    <row r="531" spans="1:12" ht="18.75" customHeight="1">
      <c r="A531" s="567" t="s">
        <v>1040</v>
      </c>
      <c r="B531" s="445" t="s">
        <v>1239</v>
      </c>
      <c r="C531" s="445" t="s">
        <v>721</v>
      </c>
      <c r="D531" s="445" t="s">
        <v>645</v>
      </c>
      <c r="E531" s="445" t="s">
        <v>1041</v>
      </c>
      <c r="F531" s="446"/>
      <c r="G531" s="553">
        <f>G532</f>
        <v>16671400</v>
      </c>
      <c r="H531" s="554">
        <f>H532</f>
        <v>0</v>
      </c>
      <c r="I531" s="553">
        <f t="shared" si="22"/>
        <v>16671400</v>
      </c>
      <c r="J531" s="553">
        <f>J532</f>
        <v>18671400</v>
      </c>
      <c r="K531" s="554">
        <f>K532</f>
        <v>0</v>
      </c>
      <c r="L531" s="553">
        <f t="shared" si="23"/>
        <v>18671400</v>
      </c>
    </row>
    <row r="532" spans="1:12" ht="29.25" customHeight="1">
      <c r="A532" s="567" t="s">
        <v>816</v>
      </c>
      <c r="B532" s="445" t="s">
        <v>1239</v>
      </c>
      <c r="C532" s="445" t="s">
        <v>721</v>
      </c>
      <c r="D532" s="445" t="s">
        <v>645</v>
      </c>
      <c r="E532" s="445" t="s">
        <v>1042</v>
      </c>
      <c r="F532" s="446"/>
      <c r="G532" s="553">
        <f>G533+G534+G535</f>
        <v>16671400</v>
      </c>
      <c r="H532" s="554">
        <f>H533+H534+H535</f>
        <v>0</v>
      </c>
      <c r="I532" s="553">
        <f t="shared" si="22"/>
        <v>16671400</v>
      </c>
      <c r="J532" s="553">
        <f>J533+J534+J535</f>
        <v>18671400</v>
      </c>
      <c r="K532" s="554">
        <f>K533+K534+K535</f>
        <v>0</v>
      </c>
      <c r="L532" s="553">
        <f t="shared" si="23"/>
        <v>18671400</v>
      </c>
    </row>
    <row r="533" spans="1:12" ht="72.75" customHeight="1">
      <c r="A533" s="609" t="s">
        <v>642</v>
      </c>
      <c r="B533" s="445" t="s">
        <v>1239</v>
      </c>
      <c r="C533" s="445" t="s">
        <v>721</v>
      </c>
      <c r="D533" s="445" t="s">
        <v>645</v>
      </c>
      <c r="E533" s="445" t="s">
        <v>1042</v>
      </c>
      <c r="F533" s="446" t="s">
        <v>643</v>
      </c>
      <c r="G533" s="553">
        <f>17937600-2000000</f>
        <v>15937600</v>
      </c>
      <c r="H533" s="554"/>
      <c r="I533" s="553">
        <f t="shared" si="22"/>
        <v>15937600</v>
      </c>
      <c r="J533" s="553">
        <f>17937600-2000000+2000000</f>
        <v>17937600</v>
      </c>
      <c r="K533" s="554"/>
      <c r="L533" s="553">
        <f t="shared" si="23"/>
        <v>17937600</v>
      </c>
    </row>
    <row r="534" spans="1:12" ht="40.5" customHeight="1">
      <c r="A534" s="609" t="s">
        <v>654</v>
      </c>
      <c r="B534" s="445" t="s">
        <v>1239</v>
      </c>
      <c r="C534" s="445" t="s">
        <v>721</v>
      </c>
      <c r="D534" s="445" t="s">
        <v>645</v>
      </c>
      <c r="E534" s="445" t="s">
        <v>1042</v>
      </c>
      <c r="F534" s="446" t="s">
        <v>655</v>
      </c>
      <c r="G534" s="553">
        <v>688100</v>
      </c>
      <c r="H534" s="554"/>
      <c r="I534" s="553">
        <f t="shared" si="22"/>
        <v>688100</v>
      </c>
      <c r="J534" s="553">
        <v>688100</v>
      </c>
      <c r="K534" s="554"/>
      <c r="L534" s="553">
        <f t="shared" si="23"/>
        <v>688100</v>
      </c>
    </row>
    <row r="535" spans="1:12" ht="24.75" customHeight="1">
      <c r="A535" s="567" t="s">
        <v>696</v>
      </c>
      <c r="B535" s="445" t="s">
        <v>1239</v>
      </c>
      <c r="C535" s="445" t="s">
        <v>721</v>
      </c>
      <c r="D535" s="445" t="s">
        <v>645</v>
      </c>
      <c r="E535" s="445" t="s">
        <v>1042</v>
      </c>
      <c r="F535" s="446" t="s">
        <v>697</v>
      </c>
      <c r="G535" s="553">
        <v>45700</v>
      </c>
      <c r="H535" s="554"/>
      <c r="I535" s="553">
        <f t="shared" si="22"/>
        <v>45700</v>
      </c>
      <c r="J535" s="553">
        <v>45700</v>
      </c>
      <c r="K535" s="554"/>
      <c r="L535" s="553">
        <f t="shared" si="23"/>
        <v>45700</v>
      </c>
    </row>
    <row r="536" spans="1:12" ht="15" customHeight="1" hidden="1">
      <c r="A536" s="567" t="s">
        <v>1240</v>
      </c>
      <c r="B536" s="445" t="s">
        <v>1239</v>
      </c>
      <c r="C536" s="445" t="s">
        <v>721</v>
      </c>
      <c r="D536" s="445" t="s">
        <v>635</v>
      </c>
      <c r="E536" s="445" t="s">
        <v>1241</v>
      </c>
      <c r="F536" s="446"/>
      <c r="G536" s="553">
        <f>G538+G537</f>
        <v>0</v>
      </c>
      <c r="H536" s="554">
        <f>H538+H537</f>
        <v>0</v>
      </c>
      <c r="I536" s="553">
        <f t="shared" si="22"/>
        <v>0</v>
      </c>
      <c r="J536" s="553">
        <f>J538+J537</f>
        <v>0</v>
      </c>
      <c r="K536" s="554">
        <f>K538+K537</f>
        <v>0</v>
      </c>
      <c r="L536" s="553">
        <f t="shared" si="23"/>
        <v>0</v>
      </c>
    </row>
    <row r="537" spans="1:12" ht="39.75" customHeight="1" hidden="1">
      <c r="A537" s="609" t="s">
        <v>642</v>
      </c>
      <c r="B537" s="445" t="s">
        <v>1239</v>
      </c>
      <c r="C537" s="445" t="s">
        <v>721</v>
      </c>
      <c r="D537" s="445" t="s">
        <v>635</v>
      </c>
      <c r="E537" s="445" t="s">
        <v>1241</v>
      </c>
      <c r="F537" s="446" t="s">
        <v>643</v>
      </c>
      <c r="G537" s="553"/>
      <c r="H537" s="554"/>
      <c r="I537" s="553"/>
      <c r="J537" s="553"/>
      <c r="K537" s="554"/>
      <c r="L537" s="553"/>
    </row>
    <row r="538" spans="1:12" ht="15" customHeight="1" hidden="1">
      <c r="A538" s="609" t="s">
        <v>704</v>
      </c>
      <c r="B538" s="445" t="s">
        <v>1239</v>
      </c>
      <c r="C538" s="445" t="s">
        <v>721</v>
      </c>
      <c r="D538" s="445" t="s">
        <v>635</v>
      </c>
      <c r="E538" s="445" t="s">
        <v>1241</v>
      </c>
      <c r="F538" s="446" t="s">
        <v>655</v>
      </c>
      <c r="G538" s="553"/>
      <c r="H538" s="554"/>
      <c r="I538" s="553">
        <f>G538+H538</f>
        <v>0</v>
      </c>
      <c r="J538" s="553"/>
      <c r="K538" s="554"/>
      <c r="L538" s="553">
        <f>J538+K538</f>
        <v>0</v>
      </c>
    </row>
    <row r="539" spans="1:12" ht="15.75" customHeight="1">
      <c r="A539" s="607" t="s">
        <v>1086</v>
      </c>
      <c r="B539" s="445" t="s">
        <v>1239</v>
      </c>
      <c r="C539" s="445" t="s">
        <v>852</v>
      </c>
      <c r="D539" s="445"/>
      <c r="E539" s="445"/>
      <c r="F539" s="446"/>
      <c r="G539" s="553">
        <f>G540+G565</f>
        <v>22012446</v>
      </c>
      <c r="H539" s="554">
        <f>H540+H565</f>
        <v>646648</v>
      </c>
      <c r="I539" s="553">
        <f>G539+H539</f>
        <v>22659094</v>
      </c>
      <c r="J539" s="553">
        <f>J540+J565</f>
        <v>22742572</v>
      </c>
      <c r="K539" s="554">
        <f>K540+K565</f>
        <v>646648</v>
      </c>
      <c r="L539" s="553">
        <f>J539+K539</f>
        <v>23389220</v>
      </c>
    </row>
    <row r="540" spans="1:12" ht="15">
      <c r="A540" s="607" t="s">
        <v>1242</v>
      </c>
      <c r="B540" s="445" t="s">
        <v>1239</v>
      </c>
      <c r="C540" s="445" t="s">
        <v>852</v>
      </c>
      <c r="D540" s="445" t="s">
        <v>633</v>
      </c>
      <c r="E540" s="445"/>
      <c r="F540" s="446"/>
      <c r="G540" s="553">
        <f aca="true" t="shared" si="25" ref="G540:L540">G541+G552</f>
        <v>18316274</v>
      </c>
      <c r="H540" s="553">
        <f t="shared" si="25"/>
        <v>646648</v>
      </c>
      <c r="I540" s="553">
        <f t="shared" si="25"/>
        <v>18962922</v>
      </c>
      <c r="J540" s="553">
        <f t="shared" si="25"/>
        <v>20046400</v>
      </c>
      <c r="K540" s="553">
        <f t="shared" si="25"/>
        <v>646648</v>
      </c>
      <c r="L540" s="553">
        <f t="shared" si="25"/>
        <v>20693048</v>
      </c>
    </row>
    <row r="541" spans="1:12" ht="31.5" customHeight="1">
      <c r="A541" s="607" t="s">
        <v>1088</v>
      </c>
      <c r="B541" s="445" t="s">
        <v>1239</v>
      </c>
      <c r="C541" s="445" t="s">
        <v>852</v>
      </c>
      <c r="D541" s="445" t="s">
        <v>633</v>
      </c>
      <c r="E541" s="445" t="s">
        <v>1089</v>
      </c>
      <c r="F541" s="446"/>
      <c r="G541" s="553">
        <f>G542+G557</f>
        <v>18311274</v>
      </c>
      <c r="H541" s="554">
        <f>H542+H557</f>
        <v>646648</v>
      </c>
      <c r="I541" s="553">
        <f>G541+H541</f>
        <v>18957922</v>
      </c>
      <c r="J541" s="553">
        <f>J542+J557</f>
        <v>20041400</v>
      </c>
      <c r="K541" s="554">
        <f>K542+K557</f>
        <v>646648</v>
      </c>
      <c r="L541" s="553">
        <f>J541+K541</f>
        <v>20688048</v>
      </c>
    </row>
    <row r="542" spans="1:12" s="461" customFormat="1" ht="45.75" customHeight="1">
      <c r="A542" s="607" t="s">
        <v>1090</v>
      </c>
      <c r="B542" s="445" t="s">
        <v>1239</v>
      </c>
      <c r="C542" s="457" t="s">
        <v>1091</v>
      </c>
      <c r="D542" s="457" t="s">
        <v>633</v>
      </c>
      <c r="E542" s="457" t="s">
        <v>1092</v>
      </c>
      <c r="F542" s="464"/>
      <c r="G542" s="555">
        <f aca="true" t="shared" si="26" ref="G542:L542">G543</f>
        <v>10111974</v>
      </c>
      <c r="H542" s="555">
        <f t="shared" si="26"/>
        <v>646648</v>
      </c>
      <c r="I542" s="555">
        <f t="shared" si="26"/>
        <v>10768622</v>
      </c>
      <c r="J542" s="555">
        <f t="shared" si="26"/>
        <v>11842100</v>
      </c>
      <c r="K542" s="555">
        <f t="shared" si="26"/>
        <v>646648</v>
      </c>
      <c r="L542" s="555">
        <f t="shared" si="26"/>
        <v>12498748</v>
      </c>
    </row>
    <row r="543" spans="1:12" ht="39.75" customHeight="1">
      <c r="A543" s="612" t="s">
        <v>1093</v>
      </c>
      <c r="B543" s="445" t="s">
        <v>1239</v>
      </c>
      <c r="C543" s="445" t="s">
        <v>1091</v>
      </c>
      <c r="D543" s="445" t="s">
        <v>633</v>
      </c>
      <c r="E543" s="445" t="s">
        <v>1094</v>
      </c>
      <c r="F543" s="446"/>
      <c r="G543" s="553">
        <f>G544+G548+G546</f>
        <v>10111974</v>
      </c>
      <c r="H543" s="553">
        <f>H544+H548+H556+H546+H552</f>
        <v>646648</v>
      </c>
      <c r="I543" s="553">
        <f>I544+I548+I556+I546+I552</f>
        <v>10768622</v>
      </c>
      <c r="J543" s="553">
        <f>J544+J548+J546</f>
        <v>11842100</v>
      </c>
      <c r="K543" s="553">
        <f>K544+K548+K556+K546+K552</f>
        <v>646648</v>
      </c>
      <c r="L543" s="553">
        <f>L544+L548+L556+L546+L552</f>
        <v>12498748</v>
      </c>
    </row>
    <row r="544" spans="1:12" ht="15" customHeight="1" hidden="1">
      <c r="A544" s="567" t="s">
        <v>1243</v>
      </c>
      <c r="B544" s="445" t="s">
        <v>1239</v>
      </c>
      <c r="C544" s="445" t="s">
        <v>1091</v>
      </c>
      <c r="D544" s="445" t="s">
        <v>633</v>
      </c>
      <c r="E544" s="445" t="s">
        <v>1244</v>
      </c>
      <c r="F544" s="446"/>
      <c r="G544" s="553">
        <f aca="true" t="shared" si="27" ref="G544:L544">G545</f>
        <v>0</v>
      </c>
      <c r="H544" s="553">
        <f t="shared" si="27"/>
        <v>0</v>
      </c>
      <c r="I544" s="553">
        <f t="shared" si="27"/>
        <v>0</v>
      </c>
      <c r="J544" s="553">
        <f t="shared" si="27"/>
        <v>0</v>
      </c>
      <c r="K544" s="553">
        <f t="shared" si="27"/>
        <v>0</v>
      </c>
      <c r="L544" s="553">
        <f t="shared" si="27"/>
        <v>0</v>
      </c>
    </row>
    <row r="545" spans="1:12" ht="24.75" customHeight="1" hidden="1">
      <c r="A545" s="609" t="s">
        <v>654</v>
      </c>
      <c r="B545" s="445" t="s">
        <v>1239</v>
      </c>
      <c r="C545" s="445" t="s">
        <v>1091</v>
      </c>
      <c r="D545" s="445" t="s">
        <v>633</v>
      </c>
      <c r="E545" s="445" t="s">
        <v>1244</v>
      </c>
      <c r="F545" s="446" t="s">
        <v>655</v>
      </c>
      <c r="G545" s="553"/>
      <c r="H545" s="553"/>
      <c r="I545" s="553"/>
      <c r="J545" s="553"/>
      <c r="K545" s="553"/>
      <c r="L545" s="553"/>
    </row>
    <row r="546" spans="1:12" ht="26.25" customHeight="1" hidden="1">
      <c r="A546" s="611" t="s">
        <v>1245</v>
      </c>
      <c r="B546" s="445" t="s">
        <v>1239</v>
      </c>
      <c r="C546" s="445" t="s">
        <v>1091</v>
      </c>
      <c r="D546" s="445" t="s">
        <v>633</v>
      </c>
      <c r="E546" s="445" t="s">
        <v>1246</v>
      </c>
      <c r="F546" s="446"/>
      <c r="G546" s="553">
        <f aca="true" t="shared" si="28" ref="G546:L546">G547</f>
        <v>0</v>
      </c>
      <c r="H546" s="553">
        <f t="shared" si="28"/>
        <v>0</v>
      </c>
      <c r="I546" s="553">
        <f t="shared" si="28"/>
        <v>0</v>
      </c>
      <c r="J546" s="553">
        <f t="shared" si="28"/>
        <v>0</v>
      </c>
      <c r="K546" s="553">
        <f t="shared" si="28"/>
        <v>0</v>
      </c>
      <c r="L546" s="553">
        <f t="shared" si="28"/>
        <v>0</v>
      </c>
    </row>
    <row r="547" spans="1:12" ht="26.25" customHeight="1" hidden="1">
      <c r="A547" s="609" t="s">
        <v>654</v>
      </c>
      <c r="B547" s="457" t="s">
        <v>1239</v>
      </c>
      <c r="C547" s="445" t="s">
        <v>1091</v>
      </c>
      <c r="D547" s="445" t="s">
        <v>633</v>
      </c>
      <c r="E547" s="445" t="s">
        <v>1246</v>
      </c>
      <c r="F547" s="446" t="s">
        <v>655</v>
      </c>
      <c r="G547" s="553"/>
      <c r="H547" s="553"/>
      <c r="I547" s="553"/>
      <c r="J547" s="553"/>
      <c r="K547" s="553"/>
      <c r="L547" s="553"/>
    </row>
    <row r="548" spans="1:12" ht="26.25">
      <c r="A548" s="607" t="s">
        <v>816</v>
      </c>
      <c r="B548" s="445" t="s">
        <v>1239</v>
      </c>
      <c r="C548" s="445" t="s">
        <v>1091</v>
      </c>
      <c r="D548" s="445" t="s">
        <v>633</v>
      </c>
      <c r="E548" s="445" t="s">
        <v>1095</v>
      </c>
      <c r="F548" s="446"/>
      <c r="G548" s="553">
        <f aca="true" t="shared" si="29" ref="G548:L548">G549+G550+G551</f>
        <v>10111974</v>
      </c>
      <c r="H548" s="553">
        <f t="shared" si="29"/>
        <v>646648</v>
      </c>
      <c r="I548" s="553">
        <f t="shared" si="29"/>
        <v>10758622</v>
      </c>
      <c r="J548" s="553">
        <f t="shared" si="29"/>
        <v>11842100</v>
      </c>
      <c r="K548" s="553">
        <f t="shared" si="29"/>
        <v>646648</v>
      </c>
      <c r="L548" s="553">
        <f t="shared" si="29"/>
        <v>12488748</v>
      </c>
    </row>
    <row r="549" spans="1:12" ht="65.25" customHeight="1">
      <c r="A549" s="609" t="s">
        <v>642</v>
      </c>
      <c r="B549" s="445" t="s">
        <v>1239</v>
      </c>
      <c r="C549" s="445" t="s">
        <v>1091</v>
      </c>
      <c r="D549" s="445" t="s">
        <v>633</v>
      </c>
      <c r="E549" s="445" t="s">
        <v>1095</v>
      </c>
      <c r="F549" s="446" t="s">
        <v>643</v>
      </c>
      <c r="G549" s="553">
        <f>10765600-1000000-730126</f>
        <v>9035474</v>
      </c>
      <c r="H549" s="554">
        <f>14000</f>
        <v>14000</v>
      </c>
      <c r="I549" s="553">
        <f aca="true" t="shared" si="30" ref="I549:I588">G549+H549</f>
        <v>9049474</v>
      </c>
      <c r="J549" s="553">
        <f>10765600-2000000+2000000</f>
        <v>10765600</v>
      </c>
      <c r="K549" s="554">
        <f>14000</f>
        <v>14000</v>
      </c>
      <c r="L549" s="553">
        <f aca="true" t="shared" si="31" ref="L549:L588">J549+K549</f>
        <v>10779600</v>
      </c>
    </row>
    <row r="550" spans="1:12" ht="26.25" customHeight="1">
      <c r="A550" s="609" t="s">
        <v>654</v>
      </c>
      <c r="B550" s="445" t="s">
        <v>1239</v>
      </c>
      <c r="C550" s="445" t="s">
        <v>1091</v>
      </c>
      <c r="D550" s="445" t="s">
        <v>633</v>
      </c>
      <c r="E550" s="445" t="s">
        <v>1095</v>
      </c>
      <c r="F550" s="446" t="s">
        <v>655</v>
      </c>
      <c r="G550" s="553">
        <v>1009100</v>
      </c>
      <c r="H550" s="554">
        <f>174848+52000+405800</f>
        <v>632648</v>
      </c>
      <c r="I550" s="553">
        <f t="shared" si="30"/>
        <v>1641748</v>
      </c>
      <c r="J550" s="553">
        <v>1009100</v>
      </c>
      <c r="K550" s="554">
        <f>174848+52000+405800</f>
        <v>632648</v>
      </c>
      <c r="L550" s="553">
        <f t="shared" si="31"/>
        <v>1641748</v>
      </c>
    </row>
    <row r="551" spans="1:12" ht="21" customHeight="1">
      <c r="A551" s="620" t="s">
        <v>696</v>
      </c>
      <c r="B551" s="445" t="s">
        <v>1239</v>
      </c>
      <c r="C551" s="445" t="s">
        <v>1091</v>
      </c>
      <c r="D551" s="445" t="s">
        <v>633</v>
      </c>
      <c r="E551" s="445" t="s">
        <v>1095</v>
      </c>
      <c r="F551" s="446" t="s">
        <v>697</v>
      </c>
      <c r="G551" s="553">
        <v>67400</v>
      </c>
      <c r="H551" s="554"/>
      <c r="I551" s="553">
        <f t="shared" si="30"/>
        <v>67400</v>
      </c>
      <c r="J551" s="553">
        <v>67400</v>
      </c>
      <c r="K551" s="554"/>
      <c r="L551" s="553">
        <f t="shared" si="31"/>
        <v>67400</v>
      </c>
    </row>
    <row r="552" spans="1:12" ht="46.5" customHeight="1">
      <c r="A552" s="615" t="s">
        <v>1103</v>
      </c>
      <c r="B552" s="445" t="s">
        <v>1239</v>
      </c>
      <c r="C552" s="445" t="s">
        <v>1091</v>
      </c>
      <c r="D552" s="445" t="s">
        <v>633</v>
      </c>
      <c r="E552" s="445" t="s">
        <v>1027</v>
      </c>
      <c r="F552" s="456"/>
      <c r="G552" s="553">
        <f>G553</f>
        <v>5000</v>
      </c>
      <c r="H552" s="554"/>
      <c r="I552" s="553">
        <f t="shared" si="30"/>
        <v>5000</v>
      </c>
      <c r="J552" s="553">
        <f>J553</f>
        <v>5000</v>
      </c>
      <c r="K552" s="554"/>
      <c r="L552" s="553">
        <f t="shared" si="31"/>
        <v>5000</v>
      </c>
    </row>
    <row r="553" spans="1:12" ht="63.75" customHeight="1">
      <c r="A553" s="612" t="s">
        <v>1028</v>
      </c>
      <c r="B553" s="445" t="s">
        <v>1239</v>
      </c>
      <c r="C553" s="445" t="s">
        <v>1091</v>
      </c>
      <c r="D553" s="445" t="s">
        <v>633</v>
      </c>
      <c r="E553" s="445" t="s">
        <v>1029</v>
      </c>
      <c r="F553" s="456"/>
      <c r="G553" s="553">
        <f>G554</f>
        <v>5000</v>
      </c>
      <c r="H553" s="554"/>
      <c r="I553" s="553">
        <f t="shared" si="30"/>
        <v>5000</v>
      </c>
      <c r="J553" s="553">
        <f>J554</f>
        <v>5000</v>
      </c>
      <c r="K553" s="554"/>
      <c r="L553" s="553">
        <f t="shared" si="31"/>
        <v>5000</v>
      </c>
    </row>
    <row r="554" spans="1:12" ht="35.25" customHeight="1">
      <c r="A554" s="614" t="s">
        <v>1030</v>
      </c>
      <c r="B554" s="445" t="s">
        <v>1239</v>
      </c>
      <c r="C554" s="445" t="s">
        <v>1091</v>
      </c>
      <c r="D554" s="445" t="s">
        <v>633</v>
      </c>
      <c r="E554" s="445" t="s">
        <v>1031</v>
      </c>
      <c r="F554" s="456"/>
      <c r="G554" s="553">
        <f>G555</f>
        <v>5000</v>
      </c>
      <c r="H554" s="554"/>
      <c r="I554" s="553">
        <f t="shared" si="30"/>
        <v>5000</v>
      </c>
      <c r="J554" s="553">
        <f>J555</f>
        <v>5000</v>
      </c>
      <c r="K554" s="554"/>
      <c r="L554" s="553">
        <f t="shared" si="31"/>
        <v>5000</v>
      </c>
    </row>
    <row r="555" spans="1:12" ht="24" customHeight="1">
      <c r="A555" s="614" t="s">
        <v>1032</v>
      </c>
      <c r="B555" s="445" t="s">
        <v>1239</v>
      </c>
      <c r="C555" s="445" t="s">
        <v>1091</v>
      </c>
      <c r="D555" s="445" t="s">
        <v>633</v>
      </c>
      <c r="E555" s="445" t="s">
        <v>1033</v>
      </c>
      <c r="F555" s="456"/>
      <c r="G555" s="553">
        <f>G556</f>
        <v>5000</v>
      </c>
      <c r="H555" s="554"/>
      <c r="I555" s="553">
        <f t="shared" si="30"/>
        <v>5000</v>
      </c>
      <c r="J555" s="553">
        <f>J556</f>
        <v>5000</v>
      </c>
      <c r="K555" s="554"/>
      <c r="L555" s="553">
        <f t="shared" si="31"/>
        <v>5000</v>
      </c>
    </row>
    <row r="556" spans="1:12" ht="35.25" customHeight="1">
      <c r="A556" s="609" t="s">
        <v>654</v>
      </c>
      <c r="B556" s="445" t="s">
        <v>1239</v>
      </c>
      <c r="C556" s="445" t="s">
        <v>1091</v>
      </c>
      <c r="D556" s="445" t="s">
        <v>633</v>
      </c>
      <c r="E556" s="445" t="s">
        <v>1033</v>
      </c>
      <c r="F556" s="446" t="s">
        <v>655</v>
      </c>
      <c r="G556" s="553">
        <v>5000</v>
      </c>
      <c r="H556" s="554"/>
      <c r="I556" s="553">
        <f t="shared" si="30"/>
        <v>5000</v>
      </c>
      <c r="J556" s="553">
        <v>5000</v>
      </c>
      <c r="K556" s="554"/>
      <c r="L556" s="553">
        <f t="shared" si="31"/>
        <v>5000</v>
      </c>
    </row>
    <row r="557" spans="1:12" ht="38.25" customHeight="1">
      <c r="A557" s="607" t="s">
        <v>1098</v>
      </c>
      <c r="B557" s="445" t="s">
        <v>1239</v>
      </c>
      <c r="C557" s="445" t="s">
        <v>1091</v>
      </c>
      <c r="D557" s="445" t="s">
        <v>633</v>
      </c>
      <c r="E557" s="474" t="s">
        <v>1099</v>
      </c>
      <c r="F557" s="446"/>
      <c r="G557" s="553">
        <f>G558</f>
        <v>8199300</v>
      </c>
      <c r="H557" s="554">
        <f>H559+H563</f>
        <v>0</v>
      </c>
      <c r="I557" s="553">
        <f t="shared" si="30"/>
        <v>8199300</v>
      </c>
      <c r="J557" s="553">
        <f>J558</f>
        <v>8199300</v>
      </c>
      <c r="K557" s="554">
        <f>K559+K563</f>
        <v>0</v>
      </c>
      <c r="L557" s="553">
        <f t="shared" si="31"/>
        <v>8199300</v>
      </c>
    </row>
    <row r="558" spans="1:12" ht="28.5" customHeight="1">
      <c r="A558" s="567" t="s">
        <v>1100</v>
      </c>
      <c r="B558" s="445" t="s">
        <v>1239</v>
      </c>
      <c r="C558" s="445" t="s">
        <v>1091</v>
      </c>
      <c r="D558" s="445" t="s">
        <v>633</v>
      </c>
      <c r="E558" s="474" t="s">
        <v>1101</v>
      </c>
      <c r="F558" s="446"/>
      <c r="G558" s="553">
        <f>G559+G563</f>
        <v>8199300</v>
      </c>
      <c r="H558" s="554"/>
      <c r="I558" s="553">
        <f t="shared" si="30"/>
        <v>8199300</v>
      </c>
      <c r="J558" s="553">
        <f>J559+J563</f>
        <v>8199300</v>
      </c>
      <c r="K558" s="554"/>
      <c r="L558" s="553">
        <f t="shared" si="31"/>
        <v>8199300</v>
      </c>
    </row>
    <row r="559" spans="1:12" ht="26.25">
      <c r="A559" s="607" t="s">
        <v>816</v>
      </c>
      <c r="B559" s="445" t="s">
        <v>1239</v>
      </c>
      <c r="C559" s="445" t="s">
        <v>1091</v>
      </c>
      <c r="D559" s="445" t="s">
        <v>633</v>
      </c>
      <c r="E559" s="474" t="s">
        <v>1102</v>
      </c>
      <c r="F559" s="446"/>
      <c r="G559" s="553">
        <f>G560+G561+G562</f>
        <v>8199300</v>
      </c>
      <c r="H559" s="554">
        <f>H560+H561+H562</f>
        <v>0</v>
      </c>
      <c r="I559" s="553">
        <f t="shared" si="30"/>
        <v>8199300</v>
      </c>
      <c r="J559" s="553">
        <f>J560+J561+J562</f>
        <v>8199300</v>
      </c>
      <c r="K559" s="554">
        <f>K560+K561+K562</f>
        <v>0</v>
      </c>
      <c r="L559" s="553">
        <f t="shared" si="31"/>
        <v>8199300</v>
      </c>
    </row>
    <row r="560" spans="1:12" ht="40.5" customHeight="1">
      <c r="A560" s="609" t="s">
        <v>642</v>
      </c>
      <c r="B560" s="445" t="s">
        <v>1239</v>
      </c>
      <c r="C560" s="445" t="s">
        <v>1091</v>
      </c>
      <c r="D560" s="445" t="s">
        <v>633</v>
      </c>
      <c r="E560" s="474" t="s">
        <v>1102</v>
      </c>
      <c r="F560" s="446" t="s">
        <v>643</v>
      </c>
      <c r="G560" s="553">
        <f>8967000-1000000</f>
        <v>7967000</v>
      </c>
      <c r="H560" s="554"/>
      <c r="I560" s="553">
        <f t="shared" si="30"/>
        <v>7967000</v>
      </c>
      <c r="J560" s="553">
        <f>8967000-1000000</f>
        <v>7967000</v>
      </c>
      <c r="K560" s="554"/>
      <c r="L560" s="553">
        <f t="shared" si="31"/>
        <v>7967000</v>
      </c>
    </row>
    <row r="561" spans="1:12" ht="27" customHeight="1">
      <c r="A561" s="609" t="s">
        <v>654</v>
      </c>
      <c r="B561" s="445" t="s">
        <v>1239</v>
      </c>
      <c r="C561" s="445" t="s">
        <v>1091</v>
      </c>
      <c r="D561" s="445" t="s">
        <v>633</v>
      </c>
      <c r="E561" s="474" t="s">
        <v>1102</v>
      </c>
      <c r="F561" s="446" t="s">
        <v>655</v>
      </c>
      <c r="G561" s="553">
        <v>230200</v>
      </c>
      <c r="H561" s="554"/>
      <c r="I561" s="553">
        <f t="shared" si="30"/>
        <v>230200</v>
      </c>
      <c r="J561" s="553">
        <v>230200</v>
      </c>
      <c r="K561" s="554"/>
      <c r="L561" s="553">
        <f t="shared" si="31"/>
        <v>230200</v>
      </c>
    </row>
    <row r="562" spans="1:12" ht="15">
      <c r="A562" s="620" t="s">
        <v>696</v>
      </c>
      <c r="B562" s="445" t="s">
        <v>1239</v>
      </c>
      <c r="C562" s="445" t="s">
        <v>1091</v>
      </c>
      <c r="D562" s="445" t="s">
        <v>633</v>
      </c>
      <c r="E562" s="474" t="s">
        <v>1102</v>
      </c>
      <c r="F562" s="446" t="s">
        <v>697</v>
      </c>
      <c r="G562" s="553">
        <v>2100</v>
      </c>
      <c r="H562" s="554"/>
      <c r="I562" s="553">
        <f t="shared" si="30"/>
        <v>2100</v>
      </c>
      <c r="J562" s="553">
        <v>2100</v>
      </c>
      <c r="K562" s="554"/>
      <c r="L562" s="553">
        <f t="shared" si="31"/>
        <v>2100</v>
      </c>
    </row>
    <row r="563" spans="1:12" ht="15" customHeight="1" hidden="1">
      <c r="A563" s="620" t="s">
        <v>1247</v>
      </c>
      <c r="B563" s="445" t="s">
        <v>1239</v>
      </c>
      <c r="C563" s="445" t="s">
        <v>1091</v>
      </c>
      <c r="D563" s="445" t="s">
        <v>633</v>
      </c>
      <c r="E563" s="474" t="s">
        <v>1248</v>
      </c>
      <c r="F563" s="446"/>
      <c r="G563" s="553">
        <f>G564</f>
        <v>0</v>
      </c>
      <c r="H563" s="554">
        <f>H564</f>
        <v>0</v>
      </c>
      <c r="I563" s="553">
        <f t="shared" si="30"/>
        <v>0</v>
      </c>
      <c r="J563" s="553">
        <f>J564</f>
        <v>0</v>
      </c>
      <c r="K563" s="554">
        <f>K564</f>
        <v>0</v>
      </c>
      <c r="L563" s="553">
        <f t="shared" si="31"/>
        <v>0</v>
      </c>
    </row>
    <row r="564" spans="1:12" ht="26.25">
      <c r="A564" s="609" t="s">
        <v>704</v>
      </c>
      <c r="B564" s="445" t="s">
        <v>1239</v>
      </c>
      <c r="C564" s="445" t="s">
        <v>1091</v>
      </c>
      <c r="D564" s="445" t="s">
        <v>633</v>
      </c>
      <c r="E564" s="474" t="s">
        <v>1248</v>
      </c>
      <c r="F564" s="446" t="s">
        <v>655</v>
      </c>
      <c r="G564" s="553">
        <f>20000-20000</f>
        <v>0</v>
      </c>
      <c r="H564" s="554"/>
      <c r="I564" s="553">
        <f t="shared" si="30"/>
        <v>0</v>
      </c>
      <c r="J564" s="553">
        <f>20000-20000</f>
        <v>0</v>
      </c>
      <c r="K564" s="554"/>
      <c r="L564" s="553">
        <f t="shared" si="31"/>
        <v>0</v>
      </c>
    </row>
    <row r="565" spans="1:12" ht="15">
      <c r="A565" s="607" t="s">
        <v>1104</v>
      </c>
      <c r="B565" s="445" t="s">
        <v>1239</v>
      </c>
      <c r="C565" s="445" t="s">
        <v>852</v>
      </c>
      <c r="D565" s="445" t="s">
        <v>658</v>
      </c>
      <c r="E565" s="445"/>
      <c r="F565" s="446"/>
      <c r="G565" s="553">
        <f>G566</f>
        <v>3696172</v>
      </c>
      <c r="H565" s="554"/>
      <c r="I565" s="553">
        <f t="shared" si="30"/>
        <v>3696172</v>
      </c>
      <c r="J565" s="553">
        <f>J566</f>
        <v>2696172</v>
      </c>
      <c r="K565" s="554"/>
      <c r="L565" s="553">
        <f t="shared" si="31"/>
        <v>2696172</v>
      </c>
    </row>
    <row r="566" spans="1:12" ht="31.5" customHeight="1">
      <c r="A566" s="607" t="s">
        <v>1088</v>
      </c>
      <c r="B566" s="445" t="s">
        <v>1239</v>
      </c>
      <c r="C566" s="445" t="s">
        <v>852</v>
      </c>
      <c r="D566" s="445" t="s">
        <v>658</v>
      </c>
      <c r="E566" s="445" t="s">
        <v>1089</v>
      </c>
      <c r="F566" s="446"/>
      <c r="G566" s="553">
        <f>G567</f>
        <v>3696172</v>
      </c>
      <c r="H566" s="554"/>
      <c r="I566" s="553">
        <f t="shared" si="30"/>
        <v>3696172</v>
      </c>
      <c r="J566" s="553">
        <f>J567</f>
        <v>2696172</v>
      </c>
      <c r="K566" s="554"/>
      <c r="L566" s="553">
        <f t="shared" si="31"/>
        <v>2696172</v>
      </c>
    </row>
    <row r="567" spans="1:12" ht="58.5" customHeight="1">
      <c r="A567" s="607" t="s">
        <v>1105</v>
      </c>
      <c r="B567" s="445" t="s">
        <v>1239</v>
      </c>
      <c r="C567" s="445" t="s">
        <v>852</v>
      </c>
      <c r="D567" s="445" t="s">
        <v>658</v>
      </c>
      <c r="E567" s="445" t="s">
        <v>1106</v>
      </c>
      <c r="F567" s="446"/>
      <c r="G567" s="553">
        <f>G568+G573</f>
        <v>3696172</v>
      </c>
      <c r="H567" s="554"/>
      <c r="I567" s="553">
        <f t="shared" si="30"/>
        <v>3696172</v>
      </c>
      <c r="J567" s="553">
        <f>J568+J573</f>
        <v>2696172</v>
      </c>
      <c r="K567" s="554"/>
      <c r="L567" s="553">
        <f t="shared" si="31"/>
        <v>2696172</v>
      </c>
    </row>
    <row r="568" spans="1:12" ht="32.25" customHeight="1">
      <c r="A568" s="632" t="s">
        <v>1107</v>
      </c>
      <c r="B568" s="445" t="s">
        <v>1239</v>
      </c>
      <c r="C568" s="445" t="s">
        <v>852</v>
      </c>
      <c r="D568" s="445" t="s">
        <v>658</v>
      </c>
      <c r="E568" s="445" t="s">
        <v>1108</v>
      </c>
      <c r="F568" s="446"/>
      <c r="G568" s="553">
        <f>G569</f>
        <v>3643300</v>
      </c>
      <c r="H568" s="554"/>
      <c r="I568" s="553">
        <f t="shared" si="30"/>
        <v>3643300</v>
      </c>
      <c r="J568" s="553">
        <f>J569</f>
        <v>2643300</v>
      </c>
      <c r="K568" s="554"/>
      <c r="L568" s="553">
        <f t="shared" si="31"/>
        <v>2643300</v>
      </c>
    </row>
    <row r="569" spans="1:12" ht="32.25" customHeight="1">
      <c r="A569" s="607" t="s">
        <v>816</v>
      </c>
      <c r="B569" s="445" t="s">
        <v>1239</v>
      </c>
      <c r="C569" s="445" t="s">
        <v>852</v>
      </c>
      <c r="D569" s="445" t="s">
        <v>658</v>
      </c>
      <c r="E569" s="445" t="s">
        <v>1109</v>
      </c>
      <c r="F569" s="446"/>
      <c r="G569" s="553">
        <f>G570+G571+G572</f>
        <v>3643300</v>
      </c>
      <c r="H569" s="554"/>
      <c r="I569" s="553">
        <f t="shared" si="30"/>
        <v>3643300</v>
      </c>
      <c r="J569" s="553">
        <f>J570+J571+J572</f>
        <v>2643300</v>
      </c>
      <c r="K569" s="554"/>
      <c r="L569" s="553">
        <f t="shared" si="31"/>
        <v>2643300</v>
      </c>
    </row>
    <row r="570" spans="1:12" ht="60" customHeight="1">
      <c r="A570" s="609" t="s">
        <v>642</v>
      </c>
      <c r="B570" s="445" t="s">
        <v>1239</v>
      </c>
      <c r="C570" s="445" t="s">
        <v>852</v>
      </c>
      <c r="D570" s="445" t="s">
        <v>658</v>
      </c>
      <c r="E570" s="445" t="s">
        <v>1109</v>
      </c>
      <c r="F570" s="446" t="s">
        <v>643</v>
      </c>
      <c r="G570" s="553">
        <v>3411200</v>
      </c>
      <c r="H570" s="554"/>
      <c r="I570" s="553">
        <f t="shared" si="30"/>
        <v>3411200</v>
      </c>
      <c r="J570" s="553">
        <f>3411200-1000000</f>
        <v>2411200</v>
      </c>
      <c r="K570" s="554"/>
      <c r="L570" s="553">
        <f t="shared" si="31"/>
        <v>2411200</v>
      </c>
    </row>
    <row r="571" spans="1:12" ht="26.25" customHeight="1">
      <c r="A571" s="609" t="s">
        <v>654</v>
      </c>
      <c r="B571" s="445" t="s">
        <v>1239</v>
      </c>
      <c r="C571" s="445" t="s">
        <v>852</v>
      </c>
      <c r="D571" s="445" t="s">
        <v>658</v>
      </c>
      <c r="E571" s="445" t="s">
        <v>1109</v>
      </c>
      <c r="F571" s="446" t="s">
        <v>655</v>
      </c>
      <c r="G571" s="553">
        <v>230100</v>
      </c>
      <c r="H571" s="554"/>
      <c r="I571" s="553">
        <f t="shared" si="30"/>
        <v>230100</v>
      </c>
      <c r="J571" s="553">
        <v>230100</v>
      </c>
      <c r="K571" s="554"/>
      <c r="L571" s="553">
        <f t="shared" si="31"/>
        <v>230100</v>
      </c>
    </row>
    <row r="572" spans="1:12" ht="16.5" customHeight="1">
      <c r="A572" s="620" t="s">
        <v>696</v>
      </c>
      <c r="B572" s="445" t="s">
        <v>1239</v>
      </c>
      <c r="C572" s="445" t="s">
        <v>852</v>
      </c>
      <c r="D572" s="445" t="s">
        <v>658</v>
      </c>
      <c r="E572" s="445" t="s">
        <v>1109</v>
      </c>
      <c r="F572" s="446" t="s">
        <v>697</v>
      </c>
      <c r="G572" s="553">
        <v>2000</v>
      </c>
      <c r="H572" s="554"/>
      <c r="I572" s="553">
        <f t="shared" si="30"/>
        <v>2000</v>
      </c>
      <c r="J572" s="553">
        <v>2000</v>
      </c>
      <c r="K572" s="554"/>
      <c r="L572" s="553">
        <f t="shared" si="31"/>
        <v>2000</v>
      </c>
    </row>
    <row r="573" spans="1:12" ht="41.25" customHeight="1">
      <c r="A573" s="633" t="s">
        <v>1110</v>
      </c>
      <c r="B573" s="445" t="s">
        <v>1239</v>
      </c>
      <c r="C573" s="445" t="s">
        <v>852</v>
      </c>
      <c r="D573" s="445" t="s">
        <v>658</v>
      </c>
      <c r="E573" s="445" t="s">
        <v>1111</v>
      </c>
      <c r="F573" s="446"/>
      <c r="G573" s="553">
        <f>G574</f>
        <v>52872</v>
      </c>
      <c r="H573" s="554"/>
      <c r="I573" s="553">
        <f t="shared" si="30"/>
        <v>52872</v>
      </c>
      <c r="J573" s="553">
        <f>J574</f>
        <v>52872</v>
      </c>
      <c r="K573" s="554"/>
      <c r="L573" s="553">
        <f t="shared" si="31"/>
        <v>52872</v>
      </c>
    </row>
    <row r="574" spans="1:12" ht="42.75" customHeight="1">
      <c r="A574" s="608" t="s">
        <v>1112</v>
      </c>
      <c r="B574" s="445" t="s">
        <v>1239</v>
      </c>
      <c r="C574" s="445" t="s">
        <v>852</v>
      </c>
      <c r="D574" s="445" t="s">
        <v>658</v>
      </c>
      <c r="E574" s="445" t="s">
        <v>1113</v>
      </c>
      <c r="F574" s="446"/>
      <c r="G574" s="553">
        <f>G575</f>
        <v>52872</v>
      </c>
      <c r="H574" s="554"/>
      <c r="I574" s="553">
        <f t="shared" si="30"/>
        <v>52872</v>
      </c>
      <c r="J574" s="553">
        <f>J575</f>
        <v>52872</v>
      </c>
      <c r="K574" s="554"/>
      <c r="L574" s="553">
        <f t="shared" si="31"/>
        <v>52872</v>
      </c>
    </row>
    <row r="575" spans="1:12" ht="59.25" customHeight="1">
      <c r="A575" s="609" t="s">
        <v>642</v>
      </c>
      <c r="B575" s="445" t="s">
        <v>1239</v>
      </c>
      <c r="C575" s="445" t="s">
        <v>852</v>
      </c>
      <c r="D575" s="445" t="s">
        <v>658</v>
      </c>
      <c r="E575" s="445" t="s">
        <v>1113</v>
      </c>
      <c r="F575" s="446" t="s">
        <v>643</v>
      </c>
      <c r="G575" s="553">
        <v>52872</v>
      </c>
      <c r="H575" s="554"/>
      <c r="I575" s="553">
        <f t="shared" si="30"/>
        <v>52872</v>
      </c>
      <c r="J575" s="553">
        <v>52872</v>
      </c>
      <c r="K575" s="554"/>
      <c r="L575" s="553">
        <f t="shared" si="31"/>
        <v>52872</v>
      </c>
    </row>
    <row r="576" spans="1:12" ht="15">
      <c r="A576" s="607" t="s">
        <v>1118</v>
      </c>
      <c r="B576" s="445" t="s">
        <v>1239</v>
      </c>
      <c r="C576" s="445">
        <v>10</v>
      </c>
      <c r="D576" s="445"/>
      <c r="E576" s="445"/>
      <c r="F576" s="446"/>
      <c r="G576" s="553">
        <f>G577</f>
        <v>2516480</v>
      </c>
      <c r="H576" s="554"/>
      <c r="I576" s="553">
        <f t="shared" si="30"/>
        <v>2516480</v>
      </c>
      <c r="J576" s="553">
        <f>J577</f>
        <v>2516480</v>
      </c>
      <c r="K576" s="554"/>
      <c r="L576" s="553">
        <f t="shared" si="31"/>
        <v>2516480</v>
      </c>
    </row>
    <row r="577" spans="1:12" ht="15">
      <c r="A577" s="607" t="s">
        <v>1128</v>
      </c>
      <c r="B577" s="445" t="s">
        <v>1239</v>
      </c>
      <c r="C577" s="445">
        <v>10</v>
      </c>
      <c r="D577" s="445" t="s">
        <v>645</v>
      </c>
      <c r="E577" s="445"/>
      <c r="F577" s="446"/>
      <c r="G577" s="553">
        <f>G583+G578</f>
        <v>2516480</v>
      </c>
      <c r="H577" s="554"/>
      <c r="I577" s="553">
        <f t="shared" si="30"/>
        <v>2516480</v>
      </c>
      <c r="J577" s="553">
        <f>J583+J578</f>
        <v>2516480</v>
      </c>
      <c r="K577" s="554"/>
      <c r="L577" s="553">
        <f t="shared" si="31"/>
        <v>2516480</v>
      </c>
    </row>
    <row r="578" spans="1:12" ht="33.75" customHeight="1">
      <c r="A578" s="607" t="s">
        <v>1088</v>
      </c>
      <c r="B578" s="445" t="s">
        <v>1239</v>
      </c>
      <c r="C578" s="445">
        <v>10</v>
      </c>
      <c r="D578" s="445" t="s">
        <v>645</v>
      </c>
      <c r="E578" s="445" t="s">
        <v>1089</v>
      </c>
      <c r="F578" s="446"/>
      <c r="G578" s="553">
        <f>G579</f>
        <v>1416480</v>
      </c>
      <c r="H578" s="554"/>
      <c r="I578" s="553">
        <f t="shared" si="30"/>
        <v>1416480</v>
      </c>
      <c r="J578" s="553">
        <f>J579</f>
        <v>1416480</v>
      </c>
      <c r="K578" s="554"/>
      <c r="L578" s="553">
        <f t="shared" si="31"/>
        <v>1416480</v>
      </c>
    </row>
    <row r="579" spans="1:12" ht="57.75" customHeight="1">
      <c r="A579" s="607" t="s">
        <v>1105</v>
      </c>
      <c r="B579" s="445" t="s">
        <v>1239</v>
      </c>
      <c r="C579" s="445">
        <v>10</v>
      </c>
      <c r="D579" s="445" t="s">
        <v>645</v>
      </c>
      <c r="E579" s="445" t="s">
        <v>1106</v>
      </c>
      <c r="F579" s="446"/>
      <c r="G579" s="553">
        <f>G580</f>
        <v>1416480</v>
      </c>
      <c r="H579" s="554"/>
      <c r="I579" s="553">
        <f t="shared" si="30"/>
        <v>1416480</v>
      </c>
      <c r="J579" s="553">
        <f>J580</f>
        <v>1416480</v>
      </c>
      <c r="K579" s="554"/>
      <c r="L579" s="553">
        <f t="shared" si="31"/>
        <v>1416480</v>
      </c>
    </row>
    <row r="580" spans="1:12" ht="30" customHeight="1">
      <c r="A580" s="618" t="s">
        <v>1129</v>
      </c>
      <c r="B580" s="445" t="s">
        <v>1239</v>
      </c>
      <c r="C580" s="445">
        <v>10</v>
      </c>
      <c r="D580" s="445" t="s">
        <v>645</v>
      </c>
      <c r="E580" s="445" t="s">
        <v>1130</v>
      </c>
      <c r="F580" s="446"/>
      <c r="G580" s="553">
        <f>G581</f>
        <v>1416480</v>
      </c>
      <c r="H580" s="554"/>
      <c r="I580" s="553">
        <f t="shared" si="30"/>
        <v>1416480</v>
      </c>
      <c r="J580" s="553">
        <f>J581</f>
        <v>1416480</v>
      </c>
      <c r="K580" s="554"/>
      <c r="L580" s="553">
        <f t="shared" si="31"/>
        <v>1416480</v>
      </c>
    </row>
    <row r="581" spans="1:12" ht="47.25" customHeight="1">
      <c r="A581" s="611" t="s">
        <v>1131</v>
      </c>
      <c r="B581" s="445" t="s">
        <v>1239</v>
      </c>
      <c r="C581" s="445">
        <v>10</v>
      </c>
      <c r="D581" s="445" t="s">
        <v>645</v>
      </c>
      <c r="E581" s="470" t="s">
        <v>1132</v>
      </c>
      <c r="F581" s="446"/>
      <c r="G581" s="553">
        <f>G582</f>
        <v>1416480</v>
      </c>
      <c r="H581" s="554"/>
      <c r="I581" s="553">
        <f t="shared" si="30"/>
        <v>1416480</v>
      </c>
      <c r="J581" s="553">
        <f>J582</f>
        <v>1416480</v>
      </c>
      <c r="K581" s="554"/>
      <c r="L581" s="553">
        <f t="shared" si="31"/>
        <v>1416480</v>
      </c>
    </row>
    <row r="582" spans="1:12" ht="18" customHeight="1">
      <c r="A582" s="620" t="s">
        <v>827</v>
      </c>
      <c r="B582" s="445" t="s">
        <v>1239</v>
      </c>
      <c r="C582" s="445">
        <v>10</v>
      </c>
      <c r="D582" s="445" t="s">
        <v>645</v>
      </c>
      <c r="E582" s="470" t="s">
        <v>1132</v>
      </c>
      <c r="F582" s="446" t="s">
        <v>828</v>
      </c>
      <c r="G582" s="553">
        <v>1416480</v>
      </c>
      <c r="H582" s="554"/>
      <c r="I582" s="553">
        <f t="shared" si="30"/>
        <v>1416480</v>
      </c>
      <c r="J582" s="553">
        <v>1416480</v>
      </c>
      <c r="K582" s="554"/>
      <c r="L582" s="553">
        <f t="shared" si="31"/>
        <v>1416480</v>
      </c>
    </row>
    <row r="583" spans="1:12" ht="31.5" customHeight="1">
      <c r="A583" s="567" t="s">
        <v>982</v>
      </c>
      <c r="B583" s="445" t="s">
        <v>1239</v>
      </c>
      <c r="C583" s="445">
        <v>10</v>
      </c>
      <c r="D583" s="445" t="s">
        <v>645</v>
      </c>
      <c r="E583" s="445" t="s">
        <v>983</v>
      </c>
      <c r="F583" s="446"/>
      <c r="G583" s="553">
        <f>G584</f>
        <v>1100000</v>
      </c>
      <c r="H583" s="554"/>
      <c r="I583" s="553">
        <f t="shared" si="30"/>
        <v>1100000</v>
      </c>
      <c r="J583" s="553">
        <f>J584</f>
        <v>1100000</v>
      </c>
      <c r="K583" s="554"/>
      <c r="L583" s="553">
        <f t="shared" si="31"/>
        <v>1100000</v>
      </c>
    </row>
    <row r="584" spans="1:12" ht="54.75" customHeight="1">
      <c r="A584" s="609" t="s">
        <v>1035</v>
      </c>
      <c r="B584" s="445" t="s">
        <v>1239</v>
      </c>
      <c r="C584" s="445" t="s">
        <v>1119</v>
      </c>
      <c r="D584" s="445" t="s">
        <v>645</v>
      </c>
      <c r="E584" s="445" t="s">
        <v>1036</v>
      </c>
      <c r="F584" s="446"/>
      <c r="G584" s="553">
        <f>G585</f>
        <v>1100000</v>
      </c>
      <c r="H584" s="554"/>
      <c r="I584" s="553">
        <f t="shared" si="30"/>
        <v>1100000</v>
      </c>
      <c r="J584" s="553">
        <f>J585</f>
        <v>1100000</v>
      </c>
      <c r="K584" s="554"/>
      <c r="L584" s="553">
        <f t="shared" si="31"/>
        <v>1100000</v>
      </c>
    </row>
    <row r="585" spans="1:12" ht="29.25" customHeight="1">
      <c r="A585" s="565" t="s">
        <v>1149</v>
      </c>
      <c r="B585" s="445" t="s">
        <v>1239</v>
      </c>
      <c r="C585" s="445" t="s">
        <v>1119</v>
      </c>
      <c r="D585" s="445" t="s">
        <v>645</v>
      </c>
      <c r="E585" s="445" t="s">
        <v>1150</v>
      </c>
      <c r="F585" s="446"/>
      <c r="G585" s="553">
        <f>G586</f>
        <v>1100000</v>
      </c>
      <c r="H585" s="554"/>
      <c r="I585" s="553">
        <f t="shared" si="30"/>
        <v>1100000</v>
      </c>
      <c r="J585" s="553">
        <f>J586</f>
        <v>1100000</v>
      </c>
      <c r="K585" s="554"/>
      <c r="L585" s="553">
        <f t="shared" si="31"/>
        <v>1100000</v>
      </c>
    </row>
    <row r="586" spans="1:12" ht="53.25" customHeight="1">
      <c r="A586" s="625" t="s">
        <v>1151</v>
      </c>
      <c r="B586" s="445" t="s">
        <v>1239</v>
      </c>
      <c r="C586" s="445" t="s">
        <v>1119</v>
      </c>
      <c r="D586" s="445" t="s">
        <v>645</v>
      </c>
      <c r="E586" s="445" t="s">
        <v>1152</v>
      </c>
      <c r="F586" s="446"/>
      <c r="G586" s="553">
        <f>G587+G588</f>
        <v>1100000</v>
      </c>
      <c r="H586" s="554"/>
      <c r="I586" s="553">
        <f t="shared" si="30"/>
        <v>1100000</v>
      </c>
      <c r="J586" s="553">
        <f>J587+J588</f>
        <v>1100000</v>
      </c>
      <c r="K586" s="554"/>
      <c r="L586" s="553">
        <f t="shared" si="31"/>
        <v>1100000</v>
      </c>
    </row>
    <row r="587" spans="1:12" ht="20.25" customHeight="1" hidden="1">
      <c r="A587" s="609" t="s">
        <v>704</v>
      </c>
      <c r="B587" s="445" t="s">
        <v>1239</v>
      </c>
      <c r="C587" s="445">
        <v>10</v>
      </c>
      <c r="D587" s="445" t="s">
        <v>645</v>
      </c>
      <c r="E587" s="445" t="s">
        <v>1249</v>
      </c>
      <c r="F587" s="446" t="s">
        <v>655</v>
      </c>
      <c r="G587" s="553"/>
      <c r="H587" s="554"/>
      <c r="I587" s="553">
        <f t="shared" si="30"/>
        <v>0</v>
      </c>
      <c r="J587" s="553"/>
      <c r="K587" s="554"/>
      <c r="L587" s="553">
        <f t="shared" si="31"/>
        <v>0</v>
      </c>
    </row>
    <row r="588" spans="1:12" ht="19.5" customHeight="1">
      <c r="A588" s="628" t="s">
        <v>827</v>
      </c>
      <c r="B588" s="445" t="s">
        <v>1239</v>
      </c>
      <c r="C588" s="445">
        <v>10</v>
      </c>
      <c r="D588" s="445" t="s">
        <v>645</v>
      </c>
      <c r="E588" s="445" t="s">
        <v>1152</v>
      </c>
      <c r="F588" s="446" t="s">
        <v>828</v>
      </c>
      <c r="G588" s="553">
        <v>1100000</v>
      </c>
      <c r="H588" s="554"/>
      <c r="I588" s="553">
        <f t="shared" si="30"/>
        <v>1100000</v>
      </c>
      <c r="J588" s="553">
        <v>1100000</v>
      </c>
      <c r="K588" s="554"/>
      <c r="L588" s="553">
        <f t="shared" si="31"/>
        <v>1100000</v>
      </c>
    </row>
    <row r="589" spans="2:6" ht="15">
      <c r="B589" s="527"/>
      <c r="C589" s="527"/>
      <c r="D589" s="527"/>
      <c r="E589" s="527"/>
      <c r="F589" s="528"/>
    </row>
    <row r="590" spans="2:6" ht="15">
      <c r="B590" s="527"/>
      <c r="C590" s="527"/>
      <c r="D590" s="527"/>
      <c r="E590" s="527"/>
      <c r="F590" s="528"/>
    </row>
    <row r="591" spans="2:6" ht="15">
      <c r="B591" s="527"/>
      <c r="C591" s="527"/>
      <c r="D591" s="527"/>
      <c r="E591" s="527"/>
      <c r="F591" s="528"/>
    </row>
    <row r="592" spans="2:6" ht="15">
      <c r="B592" s="527"/>
      <c r="C592" s="527"/>
      <c r="D592" s="527"/>
      <c r="E592" s="527"/>
      <c r="F592" s="528"/>
    </row>
    <row r="593" spans="2:6" ht="15">
      <c r="B593" s="527"/>
      <c r="C593" s="527"/>
      <c r="D593" s="527"/>
      <c r="E593" s="527"/>
      <c r="F593" s="528"/>
    </row>
    <row r="594" spans="2:6" ht="15">
      <c r="B594" s="527"/>
      <c r="C594" s="527"/>
      <c r="D594" s="527"/>
      <c r="E594" s="527"/>
      <c r="F594" s="528"/>
    </row>
    <row r="595" spans="2:6" ht="15">
      <c r="B595" s="527"/>
      <c r="C595" s="527"/>
      <c r="D595" s="527"/>
      <c r="E595" s="527"/>
      <c r="F595" s="528"/>
    </row>
    <row r="596" spans="2:6" ht="15">
      <c r="B596" s="527"/>
      <c r="C596" s="527"/>
      <c r="D596" s="527"/>
      <c r="E596" s="527"/>
      <c r="F596" s="528"/>
    </row>
    <row r="597" spans="2:6" ht="15">
      <c r="B597" s="527"/>
      <c r="C597" s="527"/>
      <c r="D597" s="527"/>
      <c r="E597" s="527"/>
      <c r="F597" s="528"/>
    </row>
    <row r="598" spans="2:6" ht="15">
      <c r="B598" s="527"/>
      <c r="C598" s="527"/>
      <c r="D598" s="527"/>
      <c r="E598" s="527"/>
      <c r="F598" s="528"/>
    </row>
    <row r="599" spans="2:6" ht="15">
      <c r="B599" s="527"/>
      <c r="C599" s="527"/>
      <c r="D599" s="527"/>
      <c r="E599" s="527"/>
      <c r="F599" s="528"/>
    </row>
    <row r="600" ht="15">
      <c r="B600" s="527"/>
    </row>
    <row r="601" ht="15">
      <c r="B601" s="527"/>
    </row>
    <row r="602" ht="15">
      <c r="B602" s="527"/>
    </row>
    <row r="603" ht="15">
      <c r="B603" s="527"/>
    </row>
    <row r="604" ht="15">
      <c r="B604" s="527"/>
    </row>
  </sheetData>
  <sheetProtection/>
  <mergeCells count="15">
    <mergeCell ref="H10:H11"/>
    <mergeCell ref="I10:I11"/>
    <mergeCell ref="J10:J11"/>
    <mergeCell ref="K10:K11"/>
    <mergeCell ref="L10:L11"/>
    <mergeCell ref="B5:L5"/>
    <mergeCell ref="B6:L6"/>
    <mergeCell ref="A8:L8"/>
    <mergeCell ref="A10:A11"/>
    <mergeCell ref="B10:B11"/>
    <mergeCell ref="C10:C11"/>
    <mergeCell ref="D10:D11"/>
    <mergeCell ref="E10:E11"/>
    <mergeCell ref="F10:F11"/>
    <mergeCell ref="G10:G11"/>
  </mergeCells>
  <hyperlinks>
    <hyperlink ref="A250" r:id="rId1" display="consultantplus://offline/ref=C6EF3AE28B6C46D1117CBBA251A07B11C6C7C5768D606C8B0E322DA1BBA42282C9440EEF08E6CC43400230U6VFM"/>
  </hyperlinks>
  <printOptions/>
  <pageMargins left="0.7086614173228347" right="0.1968503937007874" top="0.31496062992125984" bottom="0.31496062992125984" header="0.31496062992125984" footer="0.31496062992125984"/>
  <pageSetup horizontalDpi="600" verticalDpi="600" orientation="portrait" paperSize="9" scale="73" r:id="rId2"/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47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8.625" style="417" customWidth="1"/>
    <col min="2" max="2" width="20.125" style="527" customWidth="1"/>
    <col min="3" max="3" width="6.375" style="530" customWidth="1"/>
    <col min="4" max="4" width="23.125" style="635" customWidth="1"/>
    <col min="5" max="5" width="24.375" style="413" customWidth="1"/>
    <col min="6" max="6" width="18.125" style="413" customWidth="1"/>
    <col min="7" max="7" width="13.75390625" style="413" customWidth="1"/>
    <col min="8" max="8" width="18.375" style="413" customWidth="1"/>
    <col min="9" max="16384" width="9.125" style="413" customWidth="1"/>
  </cols>
  <sheetData>
    <row r="1" spans="2:5" ht="15.75">
      <c r="B1" s="634" t="s">
        <v>1280</v>
      </c>
      <c r="C1" s="414"/>
      <c r="E1" s="415"/>
    </row>
    <row r="2" spans="2:7" ht="15.75" customHeight="1">
      <c r="B2" s="634" t="s">
        <v>614</v>
      </c>
      <c r="C2" s="414"/>
      <c r="E2" s="415"/>
      <c r="F2" s="434"/>
      <c r="G2" s="434"/>
    </row>
    <row r="3" spans="2:7" ht="15.75">
      <c r="B3" s="636" t="s">
        <v>615</v>
      </c>
      <c r="C3" s="420"/>
      <c r="E3" s="421"/>
      <c r="F3" s="434"/>
      <c r="G3" s="434"/>
    </row>
    <row r="4" spans="1:7" ht="18" customHeight="1">
      <c r="A4" s="535"/>
      <c r="B4" s="636" t="s">
        <v>1281</v>
      </c>
      <c r="C4" s="420"/>
      <c r="E4" s="421"/>
      <c r="F4" s="434"/>
      <c r="G4" s="434"/>
    </row>
    <row r="5" spans="1:9" ht="46.5" customHeight="1">
      <c r="A5" s="637"/>
      <c r="B5" s="423" t="s">
        <v>617</v>
      </c>
      <c r="C5" s="423"/>
      <c r="D5" s="423"/>
      <c r="E5" s="637"/>
      <c r="F5" s="637"/>
      <c r="G5" s="637"/>
      <c r="H5" s="637"/>
      <c r="I5" s="637"/>
    </row>
    <row r="6" spans="1:11" ht="39" customHeight="1">
      <c r="A6" s="536"/>
      <c r="B6" s="424" t="s">
        <v>1282</v>
      </c>
      <c r="C6" s="424"/>
      <c r="D6" s="424"/>
      <c r="E6" s="417"/>
      <c r="F6" s="417"/>
      <c r="G6" s="417"/>
      <c r="H6" s="417"/>
      <c r="I6" s="417"/>
      <c r="J6" s="637"/>
      <c r="K6" s="637"/>
    </row>
    <row r="7" spans="2:9" ht="7.5" customHeight="1">
      <c r="B7" s="638"/>
      <c r="C7" s="425"/>
      <c r="D7" s="639"/>
      <c r="E7" s="417"/>
      <c r="F7" s="640"/>
      <c r="G7" s="417"/>
      <c r="H7" s="417"/>
      <c r="I7" s="417"/>
    </row>
    <row r="8" spans="1:11" ht="54" customHeight="1">
      <c r="A8" s="641" t="s">
        <v>1283</v>
      </c>
      <c r="B8" s="641"/>
      <c r="C8" s="641"/>
      <c r="D8" s="641"/>
      <c r="F8" s="641"/>
      <c r="G8" s="641"/>
      <c r="H8" s="641"/>
      <c r="I8" s="641"/>
      <c r="J8" s="641"/>
      <c r="K8" s="641"/>
    </row>
    <row r="9" spans="3:4" ht="17.25" customHeight="1" thickBot="1">
      <c r="C9" s="642"/>
      <c r="D9" s="429" t="s">
        <v>620</v>
      </c>
    </row>
    <row r="10" spans="1:6" ht="27" customHeight="1">
      <c r="A10" s="643" t="s">
        <v>621</v>
      </c>
      <c r="B10" s="644" t="s">
        <v>624</v>
      </c>
      <c r="C10" s="645" t="s">
        <v>625</v>
      </c>
      <c r="D10" s="433" t="s">
        <v>63</v>
      </c>
      <c r="E10" s="453"/>
      <c r="F10" s="533"/>
    </row>
    <row r="11" spans="1:4" ht="3.75" customHeight="1" thickBot="1">
      <c r="A11" s="646"/>
      <c r="B11" s="647"/>
      <c r="C11" s="648"/>
      <c r="D11" s="438"/>
    </row>
    <row r="12" spans="1:6" s="443" customFormat="1" ht="12.75" customHeight="1">
      <c r="A12" s="649">
        <v>1</v>
      </c>
      <c r="B12" s="650" t="s">
        <v>627</v>
      </c>
      <c r="C12" s="650" t="s">
        <v>628</v>
      </c>
      <c r="D12" s="651" t="s">
        <v>629</v>
      </c>
      <c r="E12" s="652"/>
      <c r="F12" s="653"/>
    </row>
    <row r="13" spans="1:6" s="448" customFormat="1" ht="20.25">
      <c r="A13" s="444" t="s">
        <v>631</v>
      </c>
      <c r="B13" s="445"/>
      <c r="C13" s="654"/>
      <c r="D13" s="655">
        <f>D14+D49+D98+D186+D193+D198+D205+D241+D275+D280+D288+D316+D345+D354+D363+D393+D399+D403+D412+D418+D427+D433+D460+D468+D379++D331+D384+D465</f>
        <v>572732054.3599999</v>
      </c>
      <c r="E13" s="453"/>
      <c r="F13" s="656"/>
    </row>
    <row r="14" spans="1:7" ht="34.5" customHeight="1">
      <c r="A14" s="451" t="s">
        <v>1088</v>
      </c>
      <c r="B14" s="445" t="s">
        <v>1284</v>
      </c>
      <c r="C14" s="446"/>
      <c r="D14" s="655">
        <f>D15+D27+D35</f>
        <v>34747569.33</v>
      </c>
      <c r="E14" s="657"/>
      <c r="G14" s="453"/>
    </row>
    <row r="15" spans="1:5" ht="30" customHeight="1">
      <c r="A15" s="451" t="s">
        <v>1090</v>
      </c>
      <c r="B15" s="445" t="s">
        <v>1092</v>
      </c>
      <c r="C15" s="446"/>
      <c r="D15" s="655">
        <f>D16</f>
        <v>18810190.33</v>
      </c>
      <c r="E15" s="657"/>
    </row>
    <row r="16" spans="1:5" ht="39" customHeight="1">
      <c r="A16" s="465" t="s">
        <v>1093</v>
      </c>
      <c r="B16" s="445" t="s">
        <v>1094</v>
      </c>
      <c r="C16" s="446"/>
      <c r="D16" s="655">
        <f>D17+D21+D19</f>
        <v>18810190.33</v>
      </c>
      <c r="E16" s="657"/>
    </row>
    <row r="17" spans="1:5" ht="15.75" hidden="1">
      <c r="A17" s="466" t="s">
        <v>1243</v>
      </c>
      <c r="B17" s="474" t="s">
        <v>1285</v>
      </c>
      <c r="C17" s="446"/>
      <c r="D17" s="655">
        <f>D18</f>
        <v>0</v>
      </c>
      <c r="E17" s="657"/>
    </row>
    <row r="18" spans="1:5" ht="26.25" hidden="1">
      <c r="A18" s="454" t="s">
        <v>654</v>
      </c>
      <c r="B18" s="474" t="s">
        <v>1285</v>
      </c>
      <c r="C18" s="446" t="s">
        <v>655</v>
      </c>
      <c r="D18" s="655"/>
      <c r="E18" s="657"/>
    </row>
    <row r="19" spans="1:5" ht="15.75" hidden="1">
      <c r="A19" s="556" t="s">
        <v>1245</v>
      </c>
      <c r="B19" s="474" t="s">
        <v>1286</v>
      </c>
      <c r="C19" s="446"/>
      <c r="D19" s="655">
        <f>D20</f>
        <v>0</v>
      </c>
      <c r="E19" s="657"/>
    </row>
    <row r="20" spans="1:5" ht="26.25" hidden="1">
      <c r="A20" s="454" t="s">
        <v>654</v>
      </c>
      <c r="B20" s="474" t="s">
        <v>1286</v>
      </c>
      <c r="C20" s="446" t="s">
        <v>655</v>
      </c>
      <c r="D20" s="655"/>
      <c r="E20" s="657"/>
    </row>
    <row r="21" spans="1:5" ht="27" customHeight="1">
      <c r="A21" s="451" t="s">
        <v>816</v>
      </c>
      <c r="B21" s="474" t="s">
        <v>1287</v>
      </c>
      <c r="C21" s="446"/>
      <c r="D21" s="655">
        <f>D22+D23+D24+D25</f>
        <v>18810190.33</v>
      </c>
      <c r="E21" s="657"/>
    </row>
    <row r="22" spans="1:5" ht="39.75" customHeight="1">
      <c r="A22" s="454" t="s">
        <v>642</v>
      </c>
      <c r="B22" s="474" t="s">
        <v>1287</v>
      </c>
      <c r="C22" s="446" t="s">
        <v>643</v>
      </c>
      <c r="D22" s="447">
        <v>10775600</v>
      </c>
      <c r="E22" s="657"/>
    </row>
    <row r="23" spans="1:5" ht="27" customHeight="1">
      <c r="A23" s="454" t="s">
        <v>654</v>
      </c>
      <c r="B23" s="474" t="s">
        <v>1287</v>
      </c>
      <c r="C23" s="446" t="s">
        <v>655</v>
      </c>
      <c r="D23" s="447">
        <f>4476890.33+140000+750000+1127800</f>
        <v>6494690.33</v>
      </c>
      <c r="E23" s="657"/>
    </row>
    <row r="24" spans="1:5" ht="15">
      <c r="A24" s="486" t="s">
        <v>696</v>
      </c>
      <c r="B24" s="474" t="s">
        <v>1287</v>
      </c>
      <c r="C24" s="446" t="s">
        <v>697</v>
      </c>
      <c r="D24" s="447">
        <f>167400+4000-2500</f>
        <v>168900</v>
      </c>
      <c r="E24" s="657"/>
    </row>
    <row r="25" spans="1:5" ht="26.25">
      <c r="A25" s="454" t="s">
        <v>1096</v>
      </c>
      <c r="B25" s="445" t="s">
        <v>1097</v>
      </c>
      <c r="C25" s="446"/>
      <c r="D25" s="658">
        <f>D26</f>
        <v>1371000</v>
      </c>
      <c r="E25" s="657"/>
    </row>
    <row r="26" spans="1:5" ht="26.25">
      <c r="A26" s="454" t="s">
        <v>654</v>
      </c>
      <c r="B26" s="445" t="s">
        <v>1097</v>
      </c>
      <c r="C26" s="446" t="s">
        <v>655</v>
      </c>
      <c r="D26" s="447">
        <f>68550+1302450</f>
        <v>1371000</v>
      </c>
      <c r="E26" s="657"/>
    </row>
    <row r="27" spans="1:5" ht="30.75" customHeight="1">
      <c r="A27" s="451" t="s">
        <v>1098</v>
      </c>
      <c r="B27" s="474" t="s">
        <v>1099</v>
      </c>
      <c r="C27" s="446"/>
      <c r="D27" s="655">
        <f>D28</f>
        <v>10401300</v>
      </c>
      <c r="E27" s="657"/>
    </row>
    <row r="28" spans="1:5" ht="28.5" customHeight="1">
      <c r="A28" s="466" t="s">
        <v>1100</v>
      </c>
      <c r="B28" s="474" t="s">
        <v>1101</v>
      </c>
      <c r="C28" s="446"/>
      <c r="D28" s="655">
        <f>D29+D34</f>
        <v>10401300</v>
      </c>
      <c r="E28" s="657"/>
    </row>
    <row r="29" spans="1:5" ht="26.25">
      <c r="A29" s="451" t="s">
        <v>816</v>
      </c>
      <c r="B29" s="474" t="s">
        <v>1102</v>
      </c>
      <c r="C29" s="446"/>
      <c r="D29" s="655">
        <f>D30+D31+D32</f>
        <v>10401300</v>
      </c>
      <c r="E29" s="657"/>
    </row>
    <row r="30" spans="1:5" ht="39.75" customHeight="1">
      <c r="A30" s="454" t="s">
        <v>642</v>
      </c>
      <c r="B30" s="474" t="s">
        <v>1102</v>
      </c>
      <c r="C30" s="446" t="s">
        <v>643</v>
      </c>
      <c r="D30" s="447">
        <v>8967000</v>
      </c>
      <c r="E30" s="657"/>
    </row>
    <row r="31" spans="1:5" ht="26.25">
      <c r="A31" s="454" t="s">
        <v>654</v>
      </c>
      <c r="B31" s="474" t="s">
        <v>1102</v>
      </c>
      <c r="C31" s="446" t="s">
        <v>655</v>
      </c>
      <c r="D31" s="447">
        <f>1106700+136000+187000</f>
        <v>1429700</v>
      </c>
      <c r="E31" s="657"/>
    </row>
    <row r="32" spans="1:5" ht="15" customHeight="1">
      <c r="A32" s="486" t="s">
        <v>696</v>
      </c>
      <c r="B32" s="474" t="s">
        <v>1102</v>
      </c>
      <c r="C32" s="446" t="s">
        <v>697</v>
      </c>
      <c r="D32" s="447">
        <f>2100+2500</f>
        <v>4600</v>
      </c>
      <c r="E32" s="657"/>
    </row>
    <row r="33" spans="1:5" ht="15.75" customHeight="1" hidden="1">
      <c r="A33" s="486" t="s">
        <v>1247</v>
      </c>
      <c r="B33" s="474" t="s">
        <v>1248</v>
      </c>
      <c r="C33" s="446"/>
      <c r="D33" s="447">
        <f>D34</f>
        <v>0</v>
      </c>
      <c r="E33" s="657"/>
    </row>
    <row r="34" spans="1:5" ht="30.75" customHeight="1" hidden="1">
      <c r="A34" s="454" t="s">
        <v>654</v>
      </c>
      <c r="B34" s="474" t="s">
        <v>1248</v>
      </c>
      <c r="C34" s="446" t="s">
        <v>655</v>
      </c>
      <c r="D34" s="447">
        <f>20000-20000</f>
        <v>0</v>
      </c>
      <c r="E34" s="657"/>
    </row>
    <row r="35" spans="1:5" ht="42" customHeight="1">
      <c r="A35" s="451" t="s">
        <v>1105</v>
      </c>
      <c r="B35" s="445" t="s">
        <v>1106</v>
      </c>
      <c r="C35" s="446"/>
      <c r="D35" s="658">
        <f>D36+D41+D44</f>
        <v>5536079</v>
      </c>
      <c r="E35" s="657"/>
    </row>
    <row r="36" spans="1:5" ht="28.5" customHeight="1">
      <c r="A36" s="513" t="s">
        <v>1107</v>
      </c>
      <c r="B36" s="445" t="s">
        <v>1108</v>
      </c>
      <c r="C36" s="446"/>
      <c r="D36" s="655">
        <f>D37</f>
        <v>3907300</v>
      </c>
      <c r="E36" s="657"/>
    </row>
    <row r="37" spans="1:5" ht="26.25" customHeight="1">
      <c r="A37" s="451" t="s">
        <v>816</v>
      </c>
      <c r="B37" s="445" t="s">
        <v>1109</v>
      </c>
      <c r="C37" s="446"/>
      <c r="D37" s="655">
        <f>D38+D39+D40</f>
        <v>3907300</v>
      </c>
      <c r="E37" s="657"/>
    </row>
    <row r="38" spans="1:5" ht="26.25" customHeight="1">
      <c r="A38" s="454" t="s">
        <v>642</v>
      </c>
      <c r="B38" s="445" t="s">
        <v>1109</v>
      </c>
      <c r="C38" s="446" t="s">
        <v>643</v>
      </c>
      <c r="D38" s="447">
        <v>3411200</v>
      </c>
      <c r="E38" s="657"/>
    </row>
    <row r="39" spans="1:5" ht="27.75" customHeight="1">
      <c r="A39" s="454" t="s">
        <v>654</v>
      </c>
      <c r="B39" s="445" t="s">
        <v>1109</v>
      </c>
      <c r="C39" s="446" t="s">
        <v>655</v>
      </c>
      <c r="D39" s="447">
        <f>230100-80000+15000+310000+19000</f>
        <v>494100</v>
      </c>
      <c r="E39" s="657"/>
    </row>
    <row r="40" spans="1:5" ht="18.75" customHeight="1">
      <c r="A40" s="486" t="s">
        <v>696</v>
      </c>
      <c r="B40" s="445" t="s">
        <v>1109</v>
      </c>
      <c r="C40" s="446" t="s">
        <v>697</v>
      </c>
      <c r="D40" s="447">
        <v>2000</v>
      </c>
      <c r="E40" s="657"/>
    </row>
    <row r="41" spans="1:5" ht="42.75" customHeight="1">
      <c r="A41" s="514" t="s">
        <v>1110</v>
      </c>
      <c r="B41" s="445" t="s">
        <v>1111</v>
      </c>
      <c r="C41" s="446"/>
      <c r="D41" s="655">
        <f>D43</f>
        <v>52872</v>
      </c>
      <c r="E41" s="657"/>
    </row>
    <row r="42" spans="1:5" ht="41.25" customHeight="1">
      <c r="A42" s="452" t="s">
        <v>1112</v>
      </c>
      <c r="B42" s="445" t="s">
        <v>1113</v>
      </c>
      <c r="C42" s="446"/>
      <c r="D42" s="655">
        <f>D43</f>
        <v>52872</v>
      </c>
      <c r="E42" s="657"/>
    </row>
    <row r="43" spans="1:5" ht="46.5" customHeight="1">
      <c r="A43" s="454" t="s">
        <v>642</v>
      </c>
      <c r="B43" s="445" t="s">
        <v>1113</v>
      </c>
      <c r="C43" s="446" t="s">
        <v>643</v>
      </c>
      <c r="D43" s="447">
        <v>52872</v>
      </c>
      <c r="E43" s="657"/>
    </row>
    <row r="44" spans="1:5" ht="30.75" customHeight="1">
      <c r="A44" s="480" t="s">
        <v>1129</v>
      </c>
      <c r="B44" s="445" t="s">
        <v>1130</v>
      </c>
      <c r="C44" s="446"/>
      <c r="D44" s="655">
        <f>D45</f>
        <v>1575907</v>
      </c>
      <c r="E44" s="657"/>
    </row>
    <row r="45" spans="1:5" ht="30" customHeight="1">
      <c r="A45" s="556" t="s">
        <v>1131</v>
      </c>
      <c r="B45" s="470" t="s">
        <v>1132</v>
      </c>
      <c r="C45" s="446"/>
      <c r="D45" s="655">
        <f>D46</f>
        <v>1575907</v>
      </c>
      <c r="E45" s="657"/>
    </row>
    <row r="46" spans="1:5" ht="18.75" customHeight="1">
      <c r="A46" s="486" t="s">
        <v>827</v>
      </c>
      <c r="B46" s="470" t="s">
        <v>1132</v>
      </c>
      <c r="C46" s="446" t="s">
        <v>828</v>
      </c>
      <c r="D46" s="447">
        <v>1575907</v>
      </c>
      <c r="E46" s="657"/>
    </row>
    <row r="47" spans="1:5" ht="16.5" customHeight="1" hidden="1">
      <c r="A47" s="576" t="s">
        <v>1288</v>
      </c>
      <c r="B47" s="445" t="s">
        <v>1289</v>
      </c>
      <c r="C47" s="446"/>
      <c r="D47" s="655">
        <f>D48</f>
        <v>0</v>
      </c>
      <c r="E47" s="657"/>
    </row>
    <row r="48" spans="1:5" ht="15.75" customHeight="1" hidden="1">
      <c r="A48" s="454" t="s">
        <v>704</v>
      </c>
      <c r="B48" s="445" t="s">
        <v>1289</v>
      </c>
      <c r="C48" s="446" t="s">
        <v>655</v>
      </c>
      <c r="D48" s="655"/>
      <c r="E48" s="657"/>
    </row>
    <row r="49" spans="1:5" ht="30.75" customHeight="1">
      <c r="A49" s="451" t="s">
        <v>1121</v>
      </c>
      <c r="B49" s="445" t="s">
        <v>660</v>
      </c>
      <c r="C49" s="446"/>
      <c r="D49" s="655">
        <f>D50+D73+D86</f>
        <v>24863992</v>
      </c>
      <c r="E49" s="453"/>
    </row>
    <row r="50" spans="1:5" ht="54.75" customHeight="1">
      <c r="A50" s="473" t="s">
        <v>1134</v>
      </c>
      <c r="B50" s="445" t="s">
        <v>738</v>
      </c>
      <c r="C50" s="446"/>
      <c r="D50" s="655">
        <f>D51+D67+D70</f>
        <v>12736925</v>
      </c>
      <c r="E50" s="657"/>
    </row>
    <row r="51" spans="1:5" ht="30" customHeight="1">
      <c r="A51" s="473" t="s">
        <v>1135</v>
      </c>
      <c r="B51" s="445" t="s">
        <v>1136</v>
      </c>
      <c r="C51" s="446"/>
      <c r="D51" s="447">
        <f>D52+D55+D58+D61+D64</f>
        <v>12454025</v>
      </c>
      <c r="E51" s="657"/>
    </row>
    <row r="52" spans="1:5" ht="15">
      <c r="A52" s="451" t="s">
        <v>1154</v>
      </c>
      <c r="B52" s="445" t="s">
        <v>1155</v>
      </c>
      <c r="C52" s="446"/>
      <c r="D52" s="447">
        <f>D54+D53</f>
        <v>1556884</v>
      </c>
      <c r="E52" s="657"/>
    </row>
    <row r="53" spans="1:5" ht="27" customHeight="1">
      <c r="A53" s="454" t="s">
        <v>654</v>
      </c>
      <c r="B53" s="445" t="s">
        <v>1155</v>
      </c>
      <c r="C53" s="446" t="s">
        <v>655</v>
      </c>
      <c r="D53" s="447">
        <v>280</v>
      </c>
      <c r="E53" s="657"/>
    </row>
    <row r="54" spans="1:5" ht="19.5" customHeight="1">
      <c r="A54" s="517" t="s">
        <v>827</v>
      </c>
      <c r="B54" s="445" t="s">
        <v>1155</v>
      </c>
      <c r="C54" s="446" t="s">
        <v>828</v>
      </c>
      <c r="D54" s="447">
        <v>1556604</v>
      </c>
      <c r="E54" s="657"/>
    </row>
    <row r="55" spans="1:5" ht="26.25">
      <c r="A55" s="452" t="s">
        <v>1137</v>
      </c>
      <c r="B55" s="445" t="s">
        <v>1138</v>
      </c>
      <c r="C55" s="446"/>
      <c r="D55" s="447">
        <f>D57+D56</f>
        <v>63415</v>
      </c>
      <c r="E55" s="657"/>
    </row>
    <row r="56" spans="1:5" ht="30.75" customHeight="1">
      <c r="A56" s="454" t="s">
        <v>654</v>
      </c>
      <c r="B56" s="445" t="s">
        <v>1138</v>
      </c>
      <c r="C56" s="446" t="s">
        <v>655</v>
      </c>
      <c r="D56" s="447">
        <v>980</v>
      </c>
      <c r="E56" s="657"/>
    </row>
    <row r="57" spans="1:5" ht="17.25" customHeight="1">
      <c r="A57" s="517" t="s">
        <v>827</v>
      </c>
      <c r="B57" s="445" t="s">
        <v>1138</v>
      </c>
      <c r="C57" s="446" t="s">
        <v>828</v>
      </c>
      <c r="D57" s="447">
        <v>62435</v>
      </c>
      <c r="E57" s="657"/>
    </row>
    <row r="58" spans="1:5" ht="29.25" customHeight="1">
      <c r="A58" s="452" t="s">
        <v>1139</v>
      </c>
      <c r="B58" s="445" t="s">
        <v>1140</v>
      </c>
      <c r="C58" s="446"/>
      <c r="D58" s="447">
        <f>D60+D59</f>
        <v>295849</v>
      </c>
      <c r="E58" s="657"/>
    </row>
    <row r="59" spans="1:5" ht="31.5" customHeight="1">
      <c r="A59" s="454" t="s">
        <v>654</v>
      </c>
      <c r="B59" s="445" t="s">
        <v>1140</v>
      </c>
      <c r="C59" s="446" t="s">
        <v>655</v>
      </c>
      <c r="D59" s="447">
        <v>5240</v>
      </c>
      <c r="E59" s="657"/>
    </row>
    <row r="60" spans="1:5" ht="15">
      <c r="A60" s="517" t="s">
        <v>827</v>
      </c>
      <c r="B60" s="445" t="s">
        <v>1140</v>
      </c>
      <c r="C60" s="446" t="s">
        <v>828</v>
      </c>
      <c r="D60" s="447">
        <v>290609</v>
      </c>
      <c r="E60" s="657"/>
    </row>
    <row r="61" spans="1:5" ht="15">
      <c r="A61" s="451" t="s">
        <v>1141</v>
      </c>
      <c r="B61" s="445" t="s">
        <v>1142</v>
      </c>
      <c r="C61" s="446"/>
      <c r="D61" s="447">
        <f>D63+D62</f>
        <v>9062577</v>
      </c>
      <c r="E61" s="657"/>
    </row>
    <row r="62" spans="1:5" ht="32.25" customHeight="1">
      <c r="A62" s="454" t="s">
        <v>654</v>
      </c>
      <c r="B62" s="445" t="s">
        <v>1142</v>
      </c>
      <c r="C62" s="446" t="s">
        <v>655</v>
      </c>
      <c r="D62" s="447">
        <v>148440</v>
      </c>
      <c r="E62" s="657"/>
    </row>
    <row r="63" spans="1:5" ht="19.5" customHeight="1">
      <c r="A63" s="517" t="s">
        <v>827</v>
      </c>
      <c r="B63" s="445" t="s">
        <v>1142</v>
      </c>
      <c r="C63" s="446" t="s">
        <v>828</v>
      </c>
      <c r="D63" s="447">
        <v>8914137</v>
      </c>
      <c r="E63" s="657"/>
    </row>
    <row r="64" spans="1:5" ht="15">
      <c r="A64" s="451" t="s">
        <v>1143</v>
      </c>
      <c r="B64" s="445" t="s">
        <v>1144</v>
      </c>
      <c r="C64" s="446"/>
      <c r="D64" s="447">
        <f>D66+D65</f>
        <v>1475300</v>
      </c>
      <c r="E64" s="657"/>
    </row>
    <row r="65" spans="1:5" ht="28.5" customHeight="1">
      <c r="A65" s="454" t="s">
        <v>654</v>
      </c>
      <c r="B65" s="445" t="s">
        <v>1144</v>
      </c>
      <c r="C65" s="446" t="s">
        <v>655</v>
      </c>
      <c r="D65" s="447">
        <v>24490</v>
      </c>
      <c r="E65" s="657"/>
    </row>
    <row r="66" spans="1:5" ht="21.75" customHeight="1">
      <c r="A66" s="517" t="s">
        <v>827</v>
      </c>
      <c r="B66" s="445" t="s">
        <v>1144</v>
      </c>
      <c r="C66" s="446" t="s">
        <v>828</v>
      </c>
      <c r="D66" s="447">
        <v>1450810</v>
      </c>
      <c r="E66" s="657"/>
    </row>
    <row r="67" spans="1:5" ht="33" customHeight="1">
      <c r="A67" s="473" t="s">
        <v>739</v>
      </c>
      <c r="B67" s="445" t="s">
        <v>740</v>
      </c>
      <c r="C67" s="446"/>
      <c r="D67" s="447">
        <f>D68</f>
        <v>14000</v>
      </c>
      <c r="E67" s="657"/>
    </row>
    <row r="68" spans="1:5" ht="15" customHeight="1">
      <c r="A68" s="454" t="s">
        <v>741</v>
      </c>
      <c r="B68" s="474" t="s">
        <v>742</v>
      </c>
      <c r="C68" s="446"/>
      <c r="D68" s="447">
        <f>D69</f>
        <v>14000</v>
      </c>
      <c r="E68" s="657"/>
    </row>
    <row r="69" spans="1:5" ht="27.75" customHeight="1">
      <c r="A69" s="454" t="s">
        <v>654</v>
      </c>
      <c r="B69" s="474" t="s">
        <v>742</v>
      </c>
      <c r="C69" s="446" t="s">
        <v>655</v>
      </c>
      <c r="D69" s="447">
        <v>14000</v>
      </c>
      <c r="E69" s="657"/>
    </row>
    <row r="70" spans="1:5" ht="27.75" customHeight="1">
      <c r="A70" s="480" t="s">
        <v>1123</v>
      </c>
      <c r="B70" s="445" t="s">
        <v>1124</v>
      </c>
      <c r="C70" s="446"/>
      <c r="D70" s="655">
        <f>D71</f>
        <v>268900</v>
      </c>
      <c r="E70" s="657"/>
    </row>
    <row r="71" spans="1:5" ht="18.75" customHeight="1">
      <c r="A71" s="576" t="s">
        <v>1125</v>
      </c>
      <c r="B71" s="445" t="s">
        <v>1290</v>
      </c>
      <c r="C71" s="446"/>
      <c r="D71" s="655">
        <f>D72</f>
        <v>268900</v>
      </c>
      <c r="E71" s="657"/>
    </row>
    <row r="72" spans="1:5" ht="18.75" customHeight="1">
      <c r="A72" s="486" t="s">
        <v>827</v>
      </c>
      <c r="B72" s="445" t="s">
        <v>1290</v>
      </c>
      <c r="C72" s="446" t="s">
        <v>828</v>
      </c>
      <c r="D72" s="447">
        <f>148731+120169</f>
        <v>268900</v>
      </c>
      <c r="E72" s="657"/>
    </row>
    <row r="73" spans="1:5" ht="53.25" customHeight="1">
      <c r="A73" s="490" t="s">
        <v>1156</v>
      </c>
      <c r="B73" s="455" t="s">
        <v>662</v>
      </c>
      <c r="C73" s="456"/>
      <c r="D73" s="658">
        <f>D74+D77+D83</f>
        <v>9945767</v>
      </c>
      <c r="E73" s="657"/>
    </row>
    <row r="74" spans="1:5" ht="42" customHeight="1">
      <c r="A74" s="466" t="s">
        <v>1157</v>
      </c>
      <c r="B74" s="445" t="s">
        <v>1158</v>
      </c>
      <c r="C74" s="446"/>
      <c r="D74" s="655">
        <f>D75</f>
        <v>9054167</v>
      </c>
      <c r="E74" s="657"/>
    </row>
    <row r="75" spans="1:5" ht="25.5" customHeight="1">
      <c r="A75" s="452" t="s">
        <v>1159</v>
      </c>
      <c r="B75" s="445" t="s">
        <v>1160</v>
      </c>
      <c r="C75" s="446"/>
      <c r="D75" s="655">
        <f>D76</f>
        <v>9054167</v>
      </c>
      <c r="E75" s="657"/>
    </row>
    <row r="76" spans="1:5" ht="15">
      <c r="A76" s="517" t="s">
        <v>827</v>
      </c>
      <c r="B76" s="445" t="s">
        <v>1160</v>
      </c>
      <c r="C76" s="446" t="s">
        <v>828</v>
      </c>
      <c r="D76" s="447">
        <v>9054167</v>
      </c>
      <c r="E76" s="657"/>
    </row>
    <row r="77" spans="1:5" ht="42.75" customHeight="1">
      <c r="A77" s="462" t="s">
        <v>663</v>
      </c>
      <c r="B77" s="455" t="s">
        <v>664</v>
      </c>
      <c r="C77" s="456"/>
      <c r="D77" s="655">
        <f>D78+D81</f>
        <v>876600</v>
      </c>
      <c r="E77" s="657"/>
    </row>
    <row r="78" spans="1:5" ht="41.25" customHeight="1">
      <c r="A78" s="556" t="s">
        <v>665</v>
      </c>
      <c r="B78" s="455" t="s">
        <v>666</v>
      </c>
      <c r="C78" s="456"/>
      <c r="D78" s="655">
        <f>D79+D80</f>
        <v>876600</v>
      </c>
      <c r="E78" s="657"/>
    </row>
    <row r="79" spans="1:5" ht="39">
      <c r="A79" s="454" t="s">
        <v>642</v>
      </c>
      <c r="B79" s="455" t="s">
        <v>666</v>
      </c>
      <c r="C79" s="456" t="s">
        <v>643</v>
      </c>
      <c r="D79" s="447">
        <v>864600</v>
      </c>
      <c r="E79" s="657"/>
    </row>
    <row r="80" spans="1:5" ht="26.25">
      <c r="A80" s="454" t="s">
        <v>654</v>
      </c>
      <c r="B80" s="455" t="s">
        <v>666</v>
      </c>
      <c r="C80" s="456" t="s">
        <v>655</v>
      </c>
      <c r="D80" s="447">
        <v>12000</v>
      </c>
      <c r="E80" s="657"/>
    </row>
    <row r="81" spans="1:5" ht="64.5" hidden="1">
      <c r="A81" s="454" t="s">
        <v>1291</v>
      </c>
      <c r="B81" s="455" t="s">
        <v>1292</v>
      </c>
      <c r="C81" s="456"/>
      <c r="D81" s="655">
        <f>D82</f>
        <v>0</v>
      </c>
      <c r="E81" s="657"/>
    </row>
    <row r="82" spans="1:5" ht="26.25" hidden="1">
      <c r="A82" s="454" t="s">
        <v>654</v>
      </c>
      <c r="B82" s="455" t="s">
        <v>1292</v>
      </c>
      <c r="C82" s="456" t="s">
        <v>655</v>
      </c>
      <c r="D82" s="655"/>
      <c r="E82" s="657"/>
    </row>
    <row r="83" spans="1:5" ht="31.5" customHeight="1">
      <c r="A83" s="496" t="s">
        <v>743</v>
      </c>
      <c r="B83" s="445" t="s">
        <v>744</v>
      </c>
      <c r="C83" s="446"/>
      <c r="D83" s="447">
        <f>D84</f>
        <v>15000</v>
      </c>
      <c r="E83" s="657"/>
    </row>
    <row r="84" spans="1:5" ht="38.25" customHeight="1">
      <c r="A84" s="473" t="s">
        <v>745</v>
      </c>
      <c r="B84" s="474" t="s">
        <v>746</v>
      </c>
      <c r="C84" s="446"/>
      <c r="D84" s="447">
        <f>D85</f>
        <v>15000</v>
      </c>
      <c r="E84" s="657"/>
    </row>
    <row r="85" spans="1:5" ht="26.25" customHeight="1">
      <c r="A85" s="454" t="s">
        <v>654</v>
      </c>
      <c r="B85" s="474" t="s">
        <v>746</v>
      </c>
      <c r="C85" s="446" t="s">
        <v>655</v>
      </c>
      <c r="D85" s="447">
        <v>15000</v>
      </c>
      <c r="E85" s="657"/>
    </row>
    <row r="86" spans="1:5" ht="44.25" customHeight="1">
      <c r="A86" s="452" t="s">
        <v>747</v>
      </c>
      <c r="B86" s="445" t="s">
        <v>668</v>
      </c>
      <c r="C86" s="446"/>
      <c r="D86" s="655">
        <f>D87+D92</f>
        <v>2181300</v>
      </c>
      <c r="E86" s="657"/>
    </row>
    <row r="87" spans="1:5" ht="30.75" customHeight="1">
      <c r="A87" s="452" t="s">
        <v>748</v>
      </c>
      <c r="B87" s="445" t="s">
        <v>749</v>
      </c>
      <c r="C87" s="446"/>
      <c r="D87" s="655">
        <f>D88+D90</f>
        <v>125900</v>
      </c>
      <c r="E87" s="657"/>
    </row>
    <row r="88" spans="1:5" ht="30" customHeight="1">
      <c r="A88" s="452" t="s">
        <v>750</v>
      </c>
      <c r="B88" s="445" t="s">
        <v>751</v>
      </c>
      <c r="C88" s="446"/>
      <c r="D88" s="655">
        <f>D89</f>
        <v>122900</v>
      </c>
      <c r="E88" s="657"/>
    </row>
    <row r="89" spans="1:5" ht="32.25" customHeight="1">
      <c r="A89" s="454" t="s">
        <v>752</v>
      </c>
      <c r="B89" s="445" t="s">
        <v>751</v>
      </c>
      <c r="C89" s="456" t="s">
        <v>753</v>
      </c>
      <c r="D89" s="658">
        <v>122900</v>
      </c>
      <c r="E89" s="657"/>
    </row>
    <row r="90" spans="1:5" ht="20.25" customHeight="1">
      <c r="A90" s="452" t="s">
        <v>754</v>
      </c>
      <c r="B90" s="445" t="s">
        <v>755</v>
      </c>
      <c r="C90" s="456"/>
      <c r="D90" s="655">
        <f>D91</f>
        <v>3000</v>
      </c>
      <c r="E90" s="657"/>
    </row>
    <row r="91" spans="1:5" ht="32.25" customHeight="1">
      <c r="A91" s="454" t="s">
        <v>752</v>
      </c>
      <c r="B91" s="445" t="s">
        <v>755</v>
      </c>
      <c r="C91" s="456" t="s">
        <v>753</v>
      </c>
      <c r="D91" s="655">
        <v>3000</v>
      </c>
      <c r="E91" s="657"/>
    </row>
    <row r="92" spans="1:5" ht="28.5" customHeight="1">
      <c r="A92" s="465" t="s">
        <v>669</v>
      </c>
      <c r="B92" s="455" t="s">
        <v>670</v>
      </c>
      <c r="C92" s="446"/>
      <c r="D92" s="658">
        <f>D93+D96</f>
        <v>2055400</v>
      </c>
      <c r="E92" s="657"/>
    </row>
    <row r="93" spans="1:5" ht="30.75" customHeight="1">
      <c r="A93" s="452" t="s">
        <v>671</v>
      </c>
      <c r="B93" s="455" t="s">
        <v>672</v>
      </c>
      <c r="C93" s="446"/>
      <c r="D93" s="658">
        <f>D94+D95</f>
        <v>2045400</v>
      </c>
      <c r="E93" s="657"/>
    </row>
    <row r="94" spans="1:5" ht="43.5" customHeight="1">
      <c r="A94" s="454" t="s">
        <v>642</v>
      </c>
      <c r="B94" s="455" t="s">
        <v>672</v>
      </c>
      <c r="C94" s="456" t="s">
        <v>643</v>
      </c>
      <c r="D94" s="447">
        <f>1524168+460299+300+60633</f>
        <v>2045400</v>
      </c>
      <c r="E94" s="657"/>
    </row>
    <row r="95" spans="1:5" ht="26.25" hidden="1">
      <c r="A95" s="454" t="s">
        <v>654</v>
      </c>
      <c r="B95" s="455" t="s">
        <v>672</v>
      </c>
      <c r="C95" s="456" t="s">
        <v>655</v>
      </c>
      <c r="D95" s="447">
        <f>60633-60633</f>
        <v>0</v>
      </c>
      <c r="E95" s="657"/>
    </row>
    <row r="96" spans="1:5" ht="17.25" customHeight="1">
      <c r="A96" s="496" t="s">
        <v>756</v>
      </c>
      <c r="B96" s="445" t="s">
        <v>757</v>
      </c>
      <c r="C96" s="456"/>
      <c r="D96" s="447">
        <f>D97</f>
        <v>10000</v>
      </c>
      <c r="E96" s="657"/>
    </row>
    <row r="97" spans="1:5" ht="26.25">
      <c r="A97" s="454" t="s">
        <v>654</v>
      </c>
      <c r="B97" s="445" t="s">
        <v>757</v>
      </c>
      <c r="C97" s="456" t="s">
        <v>655</v>
      </c>
      <c r="D97" s="447">
        <v>10000</v>
      </c>
      <c r="E97" s="657"/>
    </row>
    <row r="98" spans="1:8" ht="32.25" customHeight="1">
      <c r="A98" s="451" t="s">
        <v>982</v>
      </c>
      <c r="B98" s="445" t="s">
        <v>983</v>
      </c>
      <c r="C98" s="446"/>
      <c r="D98" s="655">
        <f>D99+D159+D175</f>
        <v>403077317.19</v>
      </c>
      <c r="E98" s="453"/>
      <c r="F98" s="453"/>
      <c r="H98" s="453"/>
    </row>
    <row r="99" spans="1:5" s="461" customFormat="1" ht="41.25" customHeight="1">
      <c r="A99" s="509" t="s">
        <v>984</v>
      </c>
      <c r="B99" s="445" t="s">
        <v>985</v>
      </c>
      <c r="C99" s="446"/>
      <c r="D99" s="655">
        <f>D103+D125+D151+D100</f>
        <v>349884270.15</v>
      </c>
      <c r="E99" s="659"/>
    </row>
    <row r="100" spans="1:5" s="461" customFormat="1" ht="21.75" customHeight="1">
      <c r="A100" s="509" t="s">
        <v>998</v>
      </c>
      <c r="B100" s="445" t="s">
        <v>999</v>
      </c>
      <c r="C100" s="464"/>
      <c r="D100" s="447">
        <f>D101</f>
        <v>2000000</v>
      </c>
      <c r="E100" s="659"/>
    </row>
    <row r="101" spans="1:5" s="461" customFormat="1" ht="31.5" customHeight="1">
      <c r="A101" s="509" t="s">
        <v>1000</v>
      </c>
      <c r="B101" s="445" t="s">
        <v>1001</v>
      </c>
      <c r="C101" s="464"/>
      <c r="D101" s="447">
        <f>D102</f>
        <v>2000000</v>
      </c>
      <c r="E101" s="659"/>
    </row>
    <row r="102" spans="1:5" s="461" customFormat="1" ht="33" customHeight="1">
      <c r="A102" s="454" t="s">
        <v>654</v>
      </c>
      <c r="B102" s="445" t="s">
        <v>1001</v>
      </c>
      <c r="C102" s="446" t="s">
        <v>655</v>
      </c>
      <c r="D102" s="447">
        <f>786836.4+1300000-86836.4</f>
        <v>2000000</v>
      </c>
      <c r="E102" s="659"/>
    </row>
    <row r="103" spans="1:5" ht="27.75" customHeight="1">
      <c r="A103" s="466" t="s">
        <v>986</v>
      </c>
      <c r="B103" s="520" t="s">
        <v>987</v>
      </c>
      <c r="C103" s="446"/>
      <c r="D103" s="658">
        <f>D104+D111+D118+D120+D116+D115</f>
        <v>90109933.81</v>
      </c>
      <c r="E103" s="657"/>
    </row>
    <row r="104" spans="1:5" ht="18.75" customHeight="1">
      <c r="A104" s="522" t="s">
        <v>1162</v>
      </c>
      <c r="B104" s="520" t="s">
        <v>1163</v>
      </c>
      <c r="C104" s="446"/>
      <c r="D104" s="658">
        <f>D106+D105</f>
        <v>2080810</v>
      </c>
      <c r="E104" s="657"/>
    </row>
    <row r="105" spans="1:5" ht="31.5" customHeight="1" hidden="1">
      <c r="A105" s="454" t="s">
        <v>654</v>
      </c>
      <c r="B105" s="520" t="s">
        <v>1163</v>
      </c>
      <c r="C105" s="446" t="s">
        <v>655</v>
      </c>
      <c r="D105" s="447"/>
      <c r="E105" s="657"/>
    </row>
    <row r="106" spans="1:5" ht="17.25" customHeight="1">
      <c r="A106" s="517" t="s">
        <v>827</v>
      </c>
      <c r="B106" s="520" t="s">
        <v>1163</v>
      </c>
      <c r="C106" s="446" t="s">
        <v>828</v>
      </c>
      <c r="D106" s="447">
        <v>2080810</v>
      </c>
      <c r="E106" s="657"/>
    </row>
    <row r="107" spans="1:5" ht="27" customHeight="1" hidden="1">
      <c r="A107" s="502" t="s">
        <v>1293</v>
      </c>
      <c r="B107" s="445" t="s">
        <v>1294</v>
      </c>
      <c r="C107" s="446"/>
      <c r="D107" s="655">
        <f>D108</f>
        <v>0</v>
      </c>
      <c r="E107" s="657"/>
    </row>
    <row r="108" spans="1:5" ht="16.5" customHeight="1" hidden="1">
      <c r="A108" s="454" t="s">
        <v>704</v>
      </c>
      <c r="B108" s="445" t="s">
        <v>1294</v>
      </c>
      <c r="C108" s="446" t="s">
        <v>655</v>
      </c>
      <c r="D108" s="655"/>
      <c r="E108" s="657"/>
    </row>
    <row r="109" spans="1:5" ht="38.25" customHeight="1" hidden="1">
      <c r="A109" s="476" t="s">
        <v>1295</v>
      </c>
      <c r="B109" s="445" t="s">
        <v>1296</v>
      </c>
      <c r="C109" s="446"/>
      <c r="D109" s="655">
        <f>D110</f>
        <v>0</v>
      </c>
      <c r="E109" s="657"/>
    </row>
    <row r="110" spans="1:5" ht="15.75" customHeight="1" hidden="1">
      <c r="A110" s="454" t="s">
        <v>704</v>
      </c>
      <c r="B110" s="445" t="s">
        <v>1296</v>
      </c>
      <c r="C110" s="446" t="s">
        <v>655</v>
      </c>
      <c r="D110" s="655"/>
      <c r="E110" s="657"/>
    </row>
    <row r="111" spans="1:5" ht="66" customHeight="1">
      <c r="A111" s="556" t="s">
        <v>988</v>
      </c>
      <c r="B111" s="445" t="s">
        <v>989</v>
      </c>
      <c r="C111" s="446"/>
      <c r="D111" s="658">
        <f>D112+D113</f>
        <v>45980129</v>
      </c>
      <c r="E111" s="657"/>
    </row>
    <row r="112" spans="1:5" ht="42" customHeight="1">
      <c r="A112" s="507" t="s">
        <v>642</v>
      </c>
      <c r="B112" s="445" t="s">
        <v>989</v>
      </c>
      <c r="C112" s="446" t="s">
        <v>643</v>
      </c>
      <c r="D112" s="447">
        <v>45470627</v>
      </c>
      <c r="E112" s="657"/>
    </row>
    <row r="113" spans="1:5" ht="25.5" customHeight="1">
      <c r="A113" s="454" t="s">
        <v>654</v>
      </c>
      <c r="B113" s="445" t="s">
        <v>989</v>
      </c>
      <c r="C113" s="446" t="s">
        <v>655</v>
      </c>
      <c r="D113" s="447">
        <v>509502</v>
      </c>
      <c r="E113" s="657"/>
    </row>
    <row r="114" spans="1:5" ht="26.25" hidden="1">
      <c r="A114" s="556" t="s">
        <v>1006</v>
      </c>
      <c r="B114" s="445" t="s">
        <v>1223</v>
      </c>
      <c r="C114" s="446"/>
      <c r="D114" s="658">
        <f>D115</f>
        <v>0</v>
      </c>
      <c r="E114" s="657"/>
    </row>
    <row r="115" spans="1:5" ht="15" hidden="1">
      <c r="A115" s="571" t="s">
        <v>654</v>
      </c>
      <c r="B115" s="445" t="s">
        <v>1223</v>
      </c>
      <c r="C115" s="446" t="s">
        <v>655</v>
      </c>
      <c r="D115" s="658"/>
      <c r="E115" s="657"/>
    </row>
    <row r="116" spans="1:5" ht="26.25" hidden="1">
      <c r="A116" s="556" t="s">
        <v>1008</v>
      </c>
      <c r="B116" s="445" t="s">
        <v>1224</v>
      </c>
      <c r="C116" s="446"/>
      <c r="D116" s="658">
        <f>D117</f>
        <v>0</v>
      </c>
      <c r="E116" s="657"/>
    </row>
    <row r="117" spans="1:5" ht="15" hidden="1">
      <c r="A117" s="571" t="s">
        <v>654</v>
      </c>
      <c r="B117" s="445" t="s">
        <v>1224</v>
      </c>
      <c r="C117" s="446" t="s">
        <v>655</v>
      </c>
      <c r="D117" s="658">
        <f>175343-175343</f>
        <v>0</v>
      </c>
      <c r="E117" s="657"/>
    </row>
    <row r="118" spans="1:5" ht="26.25" hidden="1">
      <c r="A118" s="556" t="s">
        <v>1297</v>
      </c>
      <c r="B118" s="445" t="s">
        <v>1226</v>
      </c>
      <c r="C118" s="446"/>
      <c r="D118" s="447">
        <f>D119</f>
        <v>0</v>
      </c>
      <c r="E118" s="657"/>
    </row>
    <row r="119" spans="1:5" ht="26.25" hidden="1">
      <c r="A119" s="454" t="s">
        <v>654</v>
      </c>
      <c r="B119" s="445" t="s">
        <v>1226</v>
      </c>
      <c r="C119" s="446" t="s">
        <v>655</v>
      </c>
      <c r="D119" s="447"/>
      <c r="E119" s="657"/>
    </row>
    <row r="120" spans="1:5" ht="17.25" customHeight="1">
      <c r="A120" s="466" t="s">
        <v>816</v>
      </c>
      <c r="B120" s="445" t="s">
        <v>990</v>
      </c>
      <c r="C120" s="446"/>
      <c r="D120" s="658">
        <f>D121+D122+D124+D123</f>
        <v>42048994.81</v>
      </c>
      <c r="E120" s="657"/>
    </row>
    <row r="121" spans="1:5" ht="44.25" customHeight="1">
      <c r="A121" s="454" t="s">
        <v>642</v>
      </c>
      <c r="B121" s="445" t="s">
        <v>990</v>
      </c>
      <c r="C121" s="446" t="s">
        <v>643</v>
      </c>
      <c r="D121" s="447">
        <v>22202400</v>
      </c>
      <c r="E121" s="657"/>
    </row>
    <row r="122" spans="1:5" ht="30" customHeight="1">
      <c r="A122" s="454" t="s">
        <v>654</v>
      </c>
      <c r="B122" s="445" t="s">
        <v>990</v>
      </c>
      <c r="C122" s="446" t="s">
        <v>655</v>
      </c>
      <c r="D122" s="447">
        <f>17709905.81+167564</f>
        <v>17877469.81</v>
      </c>
      <c r="E122" s="657"/>
    </row>
    <row r="123" spans="1:5" ht="30" customHeight="1">
      <c r="A123" s="491" t="s">
        <v>870</v>
      </c>
      <c r="B123" s="445" t="s">
        <v>990</v>
      </c>
      <c r="C123" s="446" t="s">
        <v>871</v>
      </c>
      <c r="D123" s="447">
        <f>25872</f>
        <v>25872</v>
      </c>
      <c r="E123" s="657"/>
    </row>
    <row r="124" spans="1:5" ht="18" customHeight="1">
      <c r="A124" s="466" t="s">
        <v>696</v>
      </c>
      <c r="B124" s="445" t="s">
        <v>990</v>
      </c>
      <c r="C124" s="446" t="s">
        <v>697</v>
      </c>
      <c r="D124" s="447">
        <f>1924385+16368+2500</f>
        <v>1943253</v>
      </c>
      <c r="E124" s="657"/>
    </row>
    <row r="125" spans="1:5" ht="34.5" customHeight="1">
      <c r="A125" s="466" t="s">
        <v>1002</v>
      </c>
      <c r="B125" s="520" t="s">
        <v>1003</v>
      </c>
      <c r="C125" s="446"/>
      <c r="D125" s="658">
        <f>D130+D137+D139+D141+D143+D145+D149+D126+D128+D133+D135</f>
        <v>238808328.34</v>
      </c>
      <c r="E125" s="657"/>
    </row>
    <row r="126" spans="1:5" ht="25.5" hidden="1">
      <c r="A126" s="466" t="s">
        <v>1227</v>
      </c>
      <c r="B126" s="445" t="s">
        <v>1228</v>
      </c>
      <c r="C126" s="446"/>
      <c r="D126" s="447">
        <f>D127</f>
        <v>0</v>
      </c>
      <c r="E126" s="657"/>
    </row>
    <row r="127" spans="1:5" ht="26.25" hidden="1">
      <c r="A127" s="454" t="s">
        <v>654</v>
      </c>
      <c r="B127" s="445" t="s">
        <v>1228</v>
      </c>
      <c r="C127" s="446" t="s">
        <v>655</v>
      </c>
      <c r="D127" s="447"/>
      <c r="E127" s="657"/>
    </row>
    <row r="128" spans="1:5" ht="33.75" customHeight="1" hidden="1">
      <c r="A128" s="496" t="s">
        <v>1000</v>
      </c>
      <c r="B128" s="445" t="s">
        <v>1229</v>
      </c>
      <c r="C128" s="446"/>
      <c r="D128" s="447">
        <f>D129</f>
        <v>0</v>
      </c>
      <c r="E128" s="657"/>
    </row>
    <row r="129" spans="1:5" ht="26.25" hidden="1">
      <c r="A129" s="454" t="s">
        <v>654</v>
      </c>
      <c r="B129" s="445" t="s">
        <v>1229</v>
      </c>
      <c r="C129" s="446" t="s">
        <v>655</v>
      </c>
      <c r="D129" s="447"/>
      <c r="E129" s="657"/>
    </row>
    <row r="130" spans="1:5" ht="73.5" customHeight="1">
      <c r="A130" s="556" t="s">
        <v>1004</v>
      </c>
      <c r="B130" s="445" t="s">
        <v>1005</v>
      </c>
      <c r="C130" s="446"/>
      <c r="D130" s="658">
        <f>D131+D132</f>
        <v>193829050</v>
      </c>
      <c r="E130" s="657"/>
    </row>
    <row r="131" spans="1:5" ht="45" customHeight="1">
      <c r="A131" s="454" t="s">
        <v>642</v>
      </c>
      <c r="B131" s="445" t="s">
        <v>1005</v>
      </c>
      <c r="C131" s="446" t="s">
        <v>643</v>
      </c>
      <c r="D131" s="447">
        <v>186909233</v>
      </c>
      <c r="E131" s="657"/>
    </row>
    <row r="132" spans="1:5" ht="25.5" customHeight="1">
      <c r="A132" s="454" t="s">
        <v>654</v>
      </c>
      <c r="B132" s="445" t="s">
        <v>1005</v>
      </c>
      <c r="C132" s="446" t="s">
        <v>655</v>
      </c>
      <c r="D132" s="447">
        <v>6919817</v>
      </c>
      <c r="E132" s="657"/>
    </row>
    <row r="133" spans="1:5" ht="26.25">
      <c r="A133" s="463" t="s">
        <v>1006</v>
      </c>
      <c r="B133" s="445" t="s">
        <v>1007</v>
      </c>
      <c r="C133" s="446"/>
      <c r="D133" s="447">
        <f>D134</f>
        <v>1607171</v>
      </c>
      <c r="E133" s="657"/>
    </row>
    <row r="134" spans="1:5" ht="26.25">
      <c r="A134" s="454" t="s">
        <v>654</v>
      </c>
      <c r="B134" s="445" t="s">
        <v>1007</v>
      </c>
      <c r="C134" s="446" t="s">
        <v>655</v>
      </c>
      <c r="D134" s="447">
        <f>1607171</f>
        <v>1607171</v>
      </c>
      <c r="E134" s="657"/>
    </row>
    <row r="135" spans="1:5" ht="26.25">
      <c r="A135" s="463" t="s">
        <v>1008</v>
      </c>
      <c r="B135" s="445" t="s">
        <v>1009</v>
      </c>
      <c r="C135" s="446"/>
      <c r="D135" s="447">
        <f>D136</f>
        <v>865399</v>
      </c>
      <c r="E135" s="657"/>
    </row>
    <row r="136" spans="1:5" ht="26.25">
      <c r="A136" s="454" t="s">
        <v>654</v>
      </c>
      <c r="B136" s="445" t="s">
        <v>1009</v>
      </c>
      <c r="C136" s="446" t="s">
        <v>655</v>
      </c>
      <c r="D136" s="447">
        <f>826214.9+39184.1</f>
        <v>865399</v>
      </c>
      <c r="E136" s="657"/>
    </row>
    <row r="137" spans="1:4" ht="38.25">
      <c r="A137" s="496" t="s">
        <v>1231</v>
      </c>
      <c r="B137" s="445" t="s">
        <v>1011</v>
      </c>
      <c r="C137" s="446"/>
      <c r="D137" s="658">
        <f>D138</f>
        <v>889886</v>
      </c>
    </row>
    <row r="138" spans="1:4" ht="38.25">
      <c r="A138" s="496" t="s">
        <v>1012</v>
      </c>
      <c r="B138" s="445" t="s">
        <v>1011</v>
      </c>
      <c r="C138" s="446" t="s">
        <v>655</v>
      </c>
      <c r="D138" s="447">
        <f>889886</f>
        <v>889886</v>
      </c>
    </row>
    <row r="139" spans="1:5" ht="38.25">
      <c r="A139" s="496" t="s">
        <v>1012</v>
      </c>
      <c r="B139" s="445" t="s">
        <v>1013</v>
      </c>
      <c r="C139" s="446"/>
      <c r="D139" s="658">
        <f>D140</f>
        <v>1468800</v>
      </c>
      <c r="E139" s="657"/>
    </row>
    <row r="140" spans="1:5" ht="25.5" customHeight="1">
      <c r="A140" s="454" t="s">
        <v>654</v>
      </c>
      <c r="B140" s="445" t="s">
        <v>1013</v>
      </c>
      <c r="C140" s="446" t="s">
        <v>655</v>
      </c>
      <c r="D140" s="447">
        <v>1468800</v>
      </c>
      <c r="E140" s="657"/>
    </row>
    <row r="141" spans="1:4" ht="51.75">
      <c r="A141" s="556" t="s">
        <v>1014</v>
      </c>
      <c r="B141" s="445" t="s">
        <v>1015</v>
      </c>
      <c r="C141" s="446"/>
      <c r="D141" s="658">
        <f>D142</f>
        <v>48449</v>
      </c>
    </row>
    <row r="142" spans="1:4" ht="26.25">
      <c r="A142" s="454" t="s">
        <v>654</v>
      </c>
      <c r="B142" s="445" t="s">
        <v>1015</v>
      </c>
      <c r="C142" s="446" t="s">
        <v>655</v>
      </c>
      <c r="D142" s="447">
        <f>48449</f>
        <v>48449</v>
      </c>
    </row>
    <row r="143" spans="1:4" ht="39">
      <c r="A143" s="556" t="s">
        <v>1298</v>
      </c>
      <c r="B143" s="445" t="s">
        <v>1017</v>
      </c>
      <c r="C143" s="446"/>
      <c r="D143" s="658">
        <f>D144</f>
        <v>500000</v>
      </c>
    </row>
    <row r="144" spans="1:4" ht="26.25">
      <c r="A144" s="454" t="s">
        <v>654</v>
      </c>
      <c r="B144" s="445" t="s">
        <v>1017</v>
      </c>
      <c r="C144" s="446" t="s">
        <v>655</v>
      </c>
      <c r="D144" s="658">
        <v>500000</v>
      </c>
    </row>
    <row r="145" spans="1:4" ht="17.25" customHeight="1">
      <c r="A145" s="466" t="s">
        <v>816</v>
      </c>
      <c r="B145" s="445" t="s">
        <v>1020</v>
      </c>
      <c r="C145" s="446"/>
      <c r="D145" s="658">
        <f>D146+D148+D147</f>
        <v>39421973.34</v>
      </c>
    </row>
    <row r="146" spans="1:4" ht="27.75" customHeight="1">
      <c r="A146" s="454" t="s">
        <v>654</v>
      </c>
      <c r="B146" s="445" t="s">
        <v>1020</v>
      </c>
      <c r="C146" s="446" t="s">
        <v>655</v>
      </c>
      <c r="D146" s="447">
        <f>33563717.34+1989489</f>
        <v>35553206.34</v>
      </c>
    </row>
    <row r="147" spans="1:4" ht="27.75" customHeight="1">
      <c r="A147" s="491" t="s">
        <v>870</v>
      </c>
      <c r="B147" s="445" t="s">
        <v>1020</v>
      </c>
      <c r="C147" s="446" t="s">
        <v>871</v>
      </c>
      <c r="D147" s="447">
        <f>600000</f>
        <v>600000</v>
      </c>
    </row>
    <row r="148" spans="1:5" ht="16.5" customHeight="1">
      <c r="A148" s="466" t="s">
        <v>696</v>
      </c>
      <c r="B148" s="445" t="s">
        <v>1020</v>
      </c>
      <c r="C148" s="446" t="s">
        <v>697</v>
      </c>
      <c r="D148" s="447">
        <f>2133738+1135029</f>
        <v>3268767</v>
      </c>
      <c r="E148" s="657"/>
    </row>
    <row r="149" spans="1:5" ht="15">
      <c r="A149" s="454" t="s">
        <v>1021</v>
      </c>
      <c r="B149" s="445" t="s">
        <v>1022</v>
      </c>
      <c r="C149" s="446"/>
      <c r="D149" s="447">
        <f>D150</f>
        <v>177600</v>
      </c>
      <c r="E149" s="657"/>
    </row>
    <row r="150" spans="1:5" ht="26.25">
      <c r="A150" s="454" t="s">
        <v>654</v>
      </c>
      <c r="B150" s="445" t="s">
        <v>1022</v>
      </c>
      <c r="C150" s="446" t="s">
        <v>655</v>
      </c>
      <c r="D150" s="447">
        <f>177600</f>
        <v>177600</v>
      </c>
      <c r="E150" s="657"/>
    </row>
    <row r="151" spans="1:5" ht="33" customHeight="1">
      <c r="A151" s="466" t="s">
        <v>1145</v>
      </c>
      <c r="B151" s="445" t="s">
        <v>1146</v>
      </c>
      <c r="C151" s="446"/>
      <c r="D151" s="658">
        <f>D156+D152+D154</f>
        <v>18966008</v>
      </c>
      <c r="E151" s="657"/>
    </row>
    <row r="152" spans="1:5" ht="33" customHeight="1" hidden="1">
      <c r="A152" s="556" t="s">
        <v>1232</v>
      </c>
      <c r="B152" s="445" t="s">
        <v>1233</v>
      </c>
      <c r="C152" s="446"/>
      <c r="D152" s="658">
        <f>D153</f>
        <v>0</v>
      </c>
      <c r="E152" s="657"/>
    </row>
    <row r="153" spans="1:5" ht="45" customHeight="1" hidden="1">
      <c r="A153" s="454" t="s">
        <v>642</v>
      </c>
      <c r="B153" s="445" t="s">
        <v>1233</v>
      </c>
      <c r="C153" s="446" t="s">
        <v>643</v>
      </c>
      <c r="D153" s="658"/>
      <c r="E153" s="657"/>
    </row>
    <row r="154" spans="1:4" ht="26.25" customHeight="1" hidden="1">
      <c r="A154" s="556" t="s">
        <v>1234</v>
      </c>
      <c r="B154" s="445" t="s">
        <v>1235</v>
      </c>
      <c r="C154" s="446"/>
      <c r="D154" s="658">
        <f>D155</f>
        <v>0</v>
      </c>
    </row>
    <row r="155" spans="1:4" ht="44.25" customHeight="1" hidden="1">
      <c r="A155" s="454" t="s">
        <v>642</v>
      </c>
      <c r="B155" s="445" t="s">
        <v>1235</v>
      </c>
      <c r="C155" s="446" t="s">
        <v>643</v>
      </c>
      <c r="D155" s="658">
        <f>100000-100000</f>
        <v>0</v>
      </c>
    </row>
    <row r="156" spans="1:5" ht="58.5" customHeight="1">
      <c r="A156" s="556" t="s">
        <v>1147</v>
      </c>
      <c r="B156" s="445" t="s">
        <v>1148</v>
      </c>
      <c r="C156" s="446"/>
      <c r="D156" s="655">
        <f>D157+D158</f>
        <v>18966008</v>
      </c>
      <c r="E156" s="657"/>
    </row>
    <row r="157" spans="1:5" ht="33" customHeight="1" hidden="1">
      <c r="A157" s="454" t="s">
        <v>654</v>
      </c>
      <c r="B157" s="445" t="s">
        <v>1148</v>
      </c>
      <c r="C157" s="446" t="s">
        <v>655</v>
      </c>
      <c r="D157" s="658"/>
      <c r="E157" s="657"/>
    </row>
    <row r="158" spans="1:5" ht="15.75" customHeight="1">
      <c r="A158" s="517" t="s">
        <v>827</v>
      </c>
      <c r="B158" s="445" t="s">
        <v>1148</v>
      </c>
      <c r="C158" s="446" t="s">
        <v>828</v>
      </c>
      <c r="D158" s="447">
        <v>18966008</v>
      </c>
      <c r="E158" s="657"/>
    </row>
    <row r="159" spans="1:5" s="461" customFormat="1" ht="48" customHeight="1">
      <c r="A159" s="454" t="s">
        <v>1035</v>
      </c>
      <c r="B159" s="445" t="s">
        <v>1036</v>
      </c>
      <c r="C159" s="446"/>
      <c r="D159" s="658">
        <f>D160+D166+D171</f>
        <v>44182197.04</v>
      </c>
      <c r="E159" s="659"/>
    </row>
    <row r="160" spans="1:5" ht="36.75" customHeight="1">
      <c r="A160" s="466" t="s">
        <v>1037</v>
      </c>
      <c r="B160" s="445" t="s">
        <v>1038</v>
      </c>
      <c r="C160" s="446"/>
      <c r="D160" s="658">
        <f>D161</f>
        <v>23143897</v>
      </c>
      <c r="E160" s="657"/>
    </row>
    <row r="161" spans="1:5" ht="32.25" customHeight="1">
      <c r="A161" s="466" t="s">
        <v>816</v>
      </c>
      <c r="B161" s="445" t="s">
        <v>1039</v>
      </c>
      <c r="C161" s="446"/>
      <c r="D161" s="658">
        <f>D162+D163+D165+D164</f>
        <v>23143897</v>
      </c>
      <c r="E161" s="657"/>
    </row>
    <row r="162" spans="1:5" ht="47.25" customHeight="1">
      <c r="A162" s="454" t="s">
        <v>642</v>
      </c>
      <c r="B162" s="445" t="s">
        <v>1039</v>
      </c>
      <c r="C162" s="446" t="s">
        <v>643</v>
      </c>
      <c r="D162" s="447">
        <v>14400300</v>
      </c>
      <c r="E162" s="657"/>
    </row>
    <row r="163" spans="1:5" ht="33" customHeight="1">
      <c r="A163" s="454" t="s">
        <v>654</v>
      </c>
      <c r="B163" s="445" t="s">
        <v>1039</v>
      </c>
      <c r="C163" s="446" t="s">
        <v>655</v>
      </c>
      <c r="D163" s="447">
        <f>644300+5760+3675000+798279+367800</f>
        <v>5491139</v>
      </c>
      <c r="E163" s="657"/>
    </row>
    <row r="164" spans="1:5" ht="26.25" customHeight="1">
      <c r="A164" s="491" t="s">
        <v>870</v>
      </c>
      <c r="B164" s="445" t="s">
        <v>1039</v>
      </c>
      <c r="C164" s="446" t="s">
        <v>871</v>
      </c>
      <c r="D164" s="447">
        <f>1510000+1640000</f>
        <v>3150000</v>
      </c>
      <c r="E164" s="657"/>
    </row>
    <row r="165" spans="1:5" ht="20.25" customHeight="1">
      <c r="A165" s="466" t="s">
        <v>696</v>
      </c>
      <c r="B165" s="445" t="s">
        <v>1039</v>
      </c>
      <c r="C165" s="446" t="s">
        <v>697</v>
      </c>
      <c r="D165" s="447">
        <f>115463-13005</f>
        <v>102458</v>
      </c>
      <c r="E165" s="657"/>
    </row>
    <row r="166" spans="1:5" ht="19.5" customHeight="1">
      <c r="A166" s="466" t="s">
        <v>1040</v>
      </c>
      <c r="B166" s="445" t="s">
        <v>1041</v>
      </c>
      <c r="C166" s="446"/>
      <c r="D166" s="658">
        <f>D167</f>
        <v>19538300.04</v>
      </c>
      <c r="E166" s="657"/>
    </row>
    <row r="167" spans="1:5" ht="15.75" customHeight="1">
      <c r="A167" s="466" t="s">
        <v>816</v>
      </c>
      <c r="B167" s="445" t="s">
        <v>1042</v>
      </c>
      <c r="C167" s="446"/>
      <c r="D167" s="658">
        <f>D168+D169+D170</f>
        <v>19538300.04</v>
      </c>
      <c r="E167" s="657"/>
    </row>
    <row r="168" spans="1:5" ht="45" customHeight="1">
      <c r="A168" s="454" t="s">
        <v>642</v>
      </c>
      <c r="B168" s="445" t="s">
        <v>1042</v>
      </c>
      <c r="C168" s="446" t="s">
        <v>643</v>
      </c>
      <c r="D168" s="447">
        <v>17937600</v>
      </c>
      <c r="E168" s="657"/>
    </row>
    <row r="169" spans="1:5" ht="27" customHeight="1">
      <c r="A169" s="454" t="s">
        <v>654</v>
      </c>
      <c r="B169" s="445" t="s">
        <v>1042</v>
      </c>
      <c r="C169" s="446" t="s">
        <v>655</v>
      </c>
      <c r="D169" s="447">
        <f>688100+61300+400700.04+4900+370000+30000</f>
        <v>1555000.04</v>
      </c>
      <c r="E169" s="657"/>
    </row>
    <row r="170" spans="1:5" ht="16.5" customHeight="1">
      <c r="A170" s="466" t="s">
        <v>696</v>
      </c>
      <c r="B170" s="445" t="s">
        <v>1042</v>
      </c>
      <c r="C170" s="446" t="s">
        <v>697</v>
      </c>
      <c r="D170" s="447">
        <v>45700</v>
      </c>
      <c r="E170" s="657"/>
    </row>
    <row r="171" spans="1:5" ht="29.25" customHeight="1">
      <c r="A171" s="518" t="s">
        <v>1149</v>
      </c>
      <c r="B171" s="445" t="s">
        <v>1150</v>
      </c>
      <c r="C171" s="446"/>
      <c r="D171" s="658">
        <f>D172</f>
        <v>1500000</v>
      </c>
      <c r="E171" s="657"/>
    </row>
    <row r="172" spans="1:5" ht="57" customHeight="1">
      <c r="A172" s="502" t="s">
        <v>1151</v>
      </c>
      <c r="B172" s="445" t="s">
        <v>1152</v>
      </c>
      <c r="C172" s="446"/>
      <c r="D172" s="658">
        <f>D173+D174</f>
        <v>1500000</v>
      </c>
      <c r="E172" s="657"/>
    </row>
    <row r="173" spans="1:5" ht="26.25" hidden="1">
      <c r="A173" s="454" t="s">
        <v>654</v>
      </c>
      <c r="B173" s="445" t="s">
        <v>1152</v>
      </c>
      <c r="C173" s="446" t="s">
        <v>655</v>
      </c>
      <c r="D173" s="658"/>
      <c r="E173" s="657"/>
    </row>
    <row r="174" spans="1:5" ht="19.5" customHeight="1">
      <c r="A174" s="517" t="s">
        <v>827</v>
      </c>
      <c r="B174" s="445" t="s">
        <v>1152</v>
      </c>
      <c r="C174" s="446" t="s">
        <v>828</v>
      </c>
      <c r="D174" s="447">
        <v>1500000</v>
      </c>
      <c r="E174" s="657"/>
    </row>
    <row r="175" spans="1:5" s="461" customFormat="1" ht="43.5" customHeight="1">
      <c r="A175" s="508" t="s">
        <v>1070</v>
      </c>
      <c r="B175" s="445" t="s">
        <v>1071</v>
      </c>
      <c r="C175" s="446"/>
      <c r="D175" s="658">
        <f>D176+D181</f>
        <v>9010850</v>
      </c>
      <c r="E175" s="659"/>
    </row>
    <row r="176" spans="1:5" ht="32.25" customHeight="1">
      <c r="A176" s="466" t="s">
        <v>1072</v>
      </c>
      <c r="B176" s="445" t="s">
        <v>1073</v>
      </c>
      <c r="C176" s="446"/>
      <c r="D176" s="658">
        <f>D177</f>
        <v>8787798</v>
      </c>
      <c r="E176" s="657"/>
    </row>
    <row r="177" spans="1:5" ht="18.75" customHeight="1">
      <c r="A177" s="466" t="s">
        <v>816</v>
      </c>
      <c r="B177" s="445" t="s">
        <v>1074</v>
      </c>
      <c r="C177" s="446"/>
      <c r="D177" s="658">
        <f>D178+D179+D180</f>
        <v>8787798</v>
      </c>
      <c r="E177" s="657"/>
    </row>
    <row r="178" spans="1:5" ht="42" customHeight="1">
      <c r="A178" s="454" t="s">
        <v>642</v>
      </c>
      <c r="B178" s="445" t="s">
        <v>1074</v>
      </c>
      <c r="C178" s="446" t="s">
        <v>643</v>
      </c>
      <c r="D178" s="447">
        <v>7573300</v>
      </c>
      <c r="E178" s="657"/>
    </row>
    <row r="179" spans="1:5" ht="27.75" customHeight="1">
      <c r="A179" s="454" t="s">
        <v>654</v>
      </c>
      <c r="B179" s="445" t="s">
        <v>1074</v>
      </c>
      <c r="C179" s="446" t="s">
        <v>655</v>
      </c>
      <c r="D179" s="447">
        <f>517200+35500+100000+467547+60000</f>
        <v>1180247</v>
      </c>
      <c r="E179" s="657"/>
    </row>
    <row r="180" spans="1:5" ht="16.5" customHeight="1">
      <c r="A180" s="466" t="s">
        <v>696</v>
      </c>
      <c r="B180" s="445" t="s">
        <v>1074</v>
      </c>
      <c r="C180" s="446" t="s">
        <v>697</v>
      </c>
      <c r="D180" s="447">
        <f>35314-1063</f>
        <v>34251</v>
      </c>
      <c r="E180" s="657"/>
    </row>
    <row r="181" spans="1:5" ht="27.75" customHeight="1">
      <c r="A181" s="466" t="s">
        <v>1075</v>
      </c>
      <c r="B181" s="445" t="s">
        <v>1076</v>
      </c>
      <c r="C181" s="446"/>
      <c r="D181" s="658">
        <f>D182+D184</f>
        <v>223052</v>
      </c>
      <c r="E181" s="657"/>
    </row>
    <row r="182" spans="1:5" ht="28.5" customHeight="1">
      <c r="A182" s="511" t="s">
        <v>1077</v>
      </c>
      <c r="B182" s="445" t="s">
        <v>1078</v>
      </c>
      <c r="C182" s="446"/>
      <c r="D182" s="658">
        <f>D183</f>
        <v>223052</v>
      </c>
      <c r="E182" s="657"/>
    </row>
    <row r="183" spans="1:5" ht="39" customHeight="1">
      <c r="A183" s="454" t="s">
        <v>642</v>
      </c>
      <c r="B183" s="445" t="s">
        <v>1078</v>
      </c>
      <c r="C183" s="446" t="s">
        <v>643</v>
      </c>
      <c r="D183" s="447">
        <v>223052</v>
      </c>
      <c r="E183" s="657"/>
    </row>
    <row r="184" spans="1:5" ht="16.5" customHeight="1" hidden="1">
      <c r="A184" s="454" t="s">
        <v>1021</v>
      </c>
      <c r="B184" s="445" t="s">
        <v>1079</v>
      </c>
      <c r="C184" s="446"/>
      <c r="D184" s="658">
        <f>D185</f>
        <v>0</v>
      </c>
      <c r="E184" s="657"/>
    </row>
    <row r="185" spans="1:5" ht="27" customHeight="1" hidden="1">
      <c r="A185" s="454" t="s">
        <v>654</v>
      </c>
      <c r="B185" s="445" t="s">
        <v>1079</v>
      </c>
      <c r="C185" s="446" t="s">
        <v>655</v>
      </c>
      <c r="D185" s="658"/>
      <c r="E185" s="657"/>
    </row>
    <row r="186" spans="1:5" ht="43.5" customHeight="1">
      <c r="A186" s="508" t="s">
        <v>893</v>
      </c>
      <c r="B186" s="445" t="s">
        <v>894</v>
      </c>
      <c r="C186" s="446"/>
      <c r="D186" s="658">
        <f>D187</f>
        <v>520000</v>
      </c>
      <c r="E186" s="657"/>
    </row>
    <row r="187" spans="1:5" s="461" customFormat="1" ht="54" customHeight="1">
      <c r="A187" s="569" t="s">
        <v>895</v>
      </c>
      <c r="B187" s="445" t="s">
        <v>896</v>
      </c>
      <c r="C187" s="446"/>
      <c r="D187" s="658">
        <f>D188</f>
        <v>520000</v>
      </c>
      <c r="E187" s="659"/>
    </row>
    <row r="188" spans="1:5" s="461" customFormat="1" ht="44.25" customHeight="1">
      <c r="A188" s="466" t="s">
        <v>897</v>
      </c>
      <c r="B188" s="445" t="s">
        <v>898</v>
      </c>
      <c r="C188" s="446"/>
      <c r="D188" s="447">
        <f>D189+D191</f>
        <v>520000</v>
      </c>
      <c r="E188" s="659"/>
    </row>
    <row r="189" spans="1:5" ht="18" customHeight="1" hidden="1">
      <c r="A189" s="452" t="s">
        <v>899</v>
      </c>
      <c r="B189" s="445" t="s">
        <v>900</v>
      </c>
      <c r="C189" s="446"/>
      <c r="D189" s="447">
        <f>D190</f>
        <v>0</v>
      </c>
      <c r="E189" s="657"/>
    </row>
    <row r="190" spans="1:5" ht="27" customHeight="1" hidden="1">
      <c r="A190" s="454" t="s">
        <v>654</v>
      </c>
      <c r="B190" s="445" t="s">
        <v>900</v>
      </c>
      <c r="C190" s="446" t="s">
        <v>655</v>
      </c>
      <c r="D190" s="447"/>
      <c r="E190" s="657"/>
    </row>
    <row r="191" spans="1:5" ht="18.75" customHeight="1">
      <c r="A191" s="452" t="s">
        <v>901</v>
      </c>
      <c r="B191" s="445" t="s">
        <v>902</v>
      </c>
      <c r="C191" s="446"/>
      <c r="D191" s="447">
        <f>D192</f>
        <v>520000</v>
      </c>
      <c r="E191" s="657"/>
    </row>
    <row r="192" spans="1:5" ht="25.5" customHeight="1">
      <c r="A192" s="454" t="s">
        <v>654</v>
      </c>
      <c r="B192" s="445" t="s">
        <v>902</v>
      </c>
      <c r="C192" s="446" t="s">
        <v>655</v>
      </c>
      <c r="D192" s="447">
        <f>200000+320000</f>
        <v>520000</v>
      </c>
      <c r="E192" s="657"/>
    </row>
    <row r="193" spans="1:5" ht="42.75" customHeight="1" hidden="1">
      <c r="A193" s="570" t="s">
        <v>903</v>
      </c>
      <c r="B193" s="470" t="s">
        <v>904</v>
      </c>
      <c r="C193" s="446"/>
      <c r="D193" s="655">
        <f>D194</f>
        <v>0</v>
      </c>
      <c r="E193" s="657"/>
    </row>
    <row r="194" spans="1:5" s="461" customFormat="1" ht="67.5" customHeight="1" hidden="1">
      <c r="A194" s="490" t="s">
        <v>1210</v>
      </c>
      <c r="B194" s="470" t="s">
        <v>906</v>
      </c>
      <c r="C194" s="446"/>
      <c r="D194" s="655">
        <f>D196</f>
        <v>0</v>
      </c>
      <c r="E194" s="659"/>
    </row>
    <row r="195" spans="1:5" s="461" customFormat="1" ht="31.5" customHeight="1" hidden="1">
      <c r="A195" s="466" t="s">
        <v>907</v>
      </c>
      <c r="B195" s="470" t="s">
        <v>908</v>
      </c>
      <c r="C195" s="446"/>
      <c r="D195" s="655">
        <f>D196</f>
        <v>0</v>
      </c>
      <c r="E195" s="659"/>
    </row>
    <row r="196" spans="1:5" ht="15.75" hidden="1">
      <c r="A196" s="444" t="s">
        <v>909</v>
      </c>
      <c r="B196" s="470" t="s">
        <v>910</v>
      </c>
      <c r="C196" s="446"/>
      <c r="D196" s="655">
        <f>D197</f>
        <v>0</v>
      </c>
      <c r="E196" s="657"/>
    </row>
    <row r="197" spans="1:5" ht="26.25" hidden="1">
      <c r="A197" s="454" t="s">
        <v>654</v>
      </c>
      <c r="B197" s="470" t="s">
        <v>910</v>
      </c>
      <c r="C197" s="446" t="s">
        <v>655</v>
      </c>
      <c r="D197" s="655"/>
      <c r="E197" s="657"/>
    </row>
    <row r="198" spans="1:5" ht="39">
      <c r="A198" s="444" t="s">
        <v>948</v>
      </c>
      <c r="B198" s="470" t="s">
        <v>949</v>
      </c>
      <c r="C198" s="456"/>
      <c r="D198" s="658">
        <f>D199</f>
        <v>970000</v>
      </c>
      <c r="E198" s="657"/>
    </row>
    <row r="199" spans="1:5" s="461" customFormat="1" ht="51.75">
      <c r="A199" s="572" t="s">
        <v>950</v>
      </c>
      <c r="B199" s="474" t="s">
        <v>951</v>
      </c>
      <c r="C199" s="456"/>
      <c r="D199" s="658">
        <f>D200</f>
        <v>970000</v>
      </c>
      <c r="E199" s="659"/>
    </row>
    <row r="200" spans="1:5" ht="25.5">
      <c r="A200" s="466" t="s">
        <v>952</v>
      </c>
      <c r="B200" s="474" t="s">
        <v>1212</v>
      </c>
      <c r="C200" s="456"/>
      <c r="D200" s="658">
        <f>D201+D203</f>
        <v>970000</v>
      </c>
      <c r="E200" s="657"/>
    </row>
    <row r="201" spans="1:5" ht="25.5">
      <c r="A201" s="475" t="s">
        <v>953</v>
      </c>
      <c r="B201" s="474" t="s">
        <v>954</v>
      </c>
      <c r="C201" s="456"/>
      <c r="D201" s="658">
        <f>D202</f>
        <v>0</v>
      </c>
      <c r="E201" s="657"/>
    </row>
    <row r="202" spans="1:5" ht="15">
      <c r="A202" s="502" t="s">
        <v>814</v>
      </c>
      <c r="B202" s="474" t="s">
        <v>954</v>
      </c>
      <c r="C202" s="456" t="s">
        <v>815</v>
      </c>
      <c r="D202" s="658"/>
      <c r="E202" s="657"/>
    </row>
    <row r="203" spans="1:5" ht="38.25">
      <c r="A203" s="475" t="s">
        <v>955</v>
      </c>
      <c r="B203" s="474" t="s">
        <v>956</v>
      </c>
      <c r="C203" s="456"/>
      <c r="D203" s="658">
        <f>D204</f>
        <v>970000</v>
      </c>
      <c r="E203" s="657"/>
    </row>
    <row r="204" spans="1:5" ht="15">
      <c r="A204" s="502" t="s">
        <v>814</v>
      </c>
      <c r="B204" s="474" t="s">
        <v>956</v>
      </c>
      <c r="C204" s="456" t="s">
        <v>815</v>
      </c>
      <c r="D204" s="447">
        <v>970000</v>
      </c>
      <c r="E204" s="657"/>
    </row>
    <row r="205" spans="1:5" ht="42" customHeight="1">
      <c r="A205" s="572" t="s">
        <v>957</v>
      </c>
      <c r="B205" s="485" t="s">
        <v>912</v>
      </c>
      <c r="C205" s="446"/>
      <c r="D205" s="655">
        <f>D217+D206</f>
        <v>5133067</v>
      </c>
      <c r="E205" s="657"/>
    </row>
    <row r="206" spans="1:5" s="461" customFormat="1" ht="64.5" hidden="1">
      <c r="A206" s="660" t="s">
        <v>1299</v>
      </c>
      <c r="B206" s="474" t="s">
        <v>1300</v>
      </c>
      <c r="C206" s="456"/>
      <c r="D206" s="655">
        <f>D207+D210</f>
        <v>0</v>
      </c>
      <c r="E206" s="659"/>
    </row>
    <row r="207" spans="1:5" ht="25.5" hidden="1">
      <c r="A207" s="466" t="s">
        <v>1301</v>
      </c>
      <c r="B207" s="470" t="s">
        <v>1302</v>
      </c>
      <c r="C207" s="456"/>
      <c r="D207" s="655">
        <f>D209</f>
        <v>0</v>
      </c>
      <c r="E207" s="657"/>
    </row>
    <row r="208" spans="1:5" ht="15.75" hidden="1">
      <c r="A208" s="502" t="s">
        <v>1303</v>
      </c>
      <c r="B208" s="474" t="s">
        <v>1304</v>
      </c>
      <c r="C208" s="456"/>
      <c r="D208" s="655">
        <f>D209</f>
        <v>0</v>
      </c>
      <c r="E208" s="657"/>
    </row>
    <row r="209" spans="1:5" ht="15.75" hidden="1">
      <c r="A209" s="502" t="s">
        <v>814</v>
      </c>
      <c r="B209" s="474" t="s">
        <v>1304</v>
      </c>
      <c r="C209" s="456" t="s">
        <v>815</v>
      </c>
      <c r="D209" s="655"/>
      <c r="E209" s="657"/>
    </row>
    <row r="210" spans="1:5" ht="26.25" hidden="1">
      <c r="A210" s="451" t="s">
        <v>1305</v>
      </c>
      <c r="B210" s="470" t="s">
        <v>1306</v>
      </c>
      <c r="C210" s="456"/>
      <c r="D210" s="655">
        <f>D211</f>
        <v>0</v>
      </c>
      <c r="E210" s="657"/>
    </row>
    <row r="211" spans="1:5" ht="15.75" hidden="1">
      <c r="A211" s="452" t="s">
        <v>1307</v>
      </c>
      <c r="B211" s="474" t="s">
        <v>1308</v>
      </c>
      <c r="C211" s="456"/>
      <c r="D211" s="655">
        <f>D212</f>
        <v>0</v>
      </c>
      <c r="E211" s="657"/>
    </row>
    <row r="212" spans="1:5" ht="15.75" hidden="1">
      <c r="A212" s="502" t="s">
        <v>814</v>
      </c>
      <c r="B212" s="474" t="s">
        <v>1308</v>
      </c>
      <c r="C212" s="456" t="s">
        <v>815</v>
      </c>
      <c r="D212" s="655"/>
      <c r="E212" s="657"/>
    </row>
    <row r="213" spans="1:5" ht="15.75" hidden="1">
      <c r="A213" s="502" t="s">
        <v>1303</v>
      </c>
      <c r="B213" s="474" t="s">
        <v>1309</v>
      </c>
      <c r="C213" s="456"/>
      <c r="D213" s="655">
        <f>D214</f>
        <v>0</v>
      </c>
      <c r="E213" s="657"/>
    </row>
    <row r="214" spans="1:5" ht="15.75" hidden="1">
      <c r="A214" s="502" t="s">
        <v>814</v>
      </c>
      <c r="B214" s="474" t="s">
        <v>1309</v>
      </c>
      <c r="C214" s="456" t="s">
        <v>815</v>
      </c>
      <c r="D214" s="655"/>
      <c r="E214" s="657"/>
    </row>
    <row r="215" spans="1:5" ht="15.75" hidden="1">
      <c r="A215" s="502" t="s">
        <v>1310</v>
      </c>
      <c r="B215" s="474" t="s">
        <v>1311</v>
      </c>
      <c r="C215" s="456"/>
      <c r="D215" s="655">
        <f>D216</f>
        <v>0</v>
      </c>
      <c r="E215" s="657"/>
    </row>
    <row r="216" spans="1:5" ht="15.75" hidden="1">
      <c r="A216" s="502" t="s">
        <v>814</v>
      </c>
      <c r="B216" s="474" t="s">
        <v>1311</v>
      </c>
      <c r="C216" s="456" t="s">
        <v>815</v>
      </c>
      <c r="D216" s="655"/>
      <c r="E216" s="657"/>
    </row>
    <row r="217" spans="1:5" s="461" customFormat="1" ht="51">
      <c r="A217" s="490" t="s">
        <v>1312</v>
      </c>
      <c r="B217" s="485" t="s">
        <v>914</v>
      </c>
      <c r="C217" s="446"/>
      <c r="D217" s="655">
        <f>D218+D223+D232+D226</f>
        <v>5133067</v>
      </c>
      <c r="E217" s="659"/>
    </row>
    <row r="218" spans="1:5" s="461" customFormat="1" ht="33.75" customHeight="1">
      <c r="A218" s="466" t="s">
        <v>991</v>
      </c>
      <c r="B218" s="470" t="s">
        <v>992</v>
      </c>
      <c r="C218" s="456"/>
      <c r="D218" s="655">
        <f>D219+D221</f>
        <v>2208640</v>
      </c>
      <c r="E218" s="659"/>
    </row>
    <row r="219" spans="1:5" s="461" customFormat="1" ht="24">
      <c r="A219" s="505" t="s">
        <v>993</v>
      </c>
      <c r="B219" s="470" t="s">
        <v>994</v>
      </c>
      <c r="C219" s="456"/>
      <c r="D219" s="655">
        <f>D220</f>
        <v>1748640</v>
      </c>
      <c r="E219" s="659"/>
    </row>
    <row r="220" spans="1:5" s="461" customFormat="1" ht="26.25">
      <c r="A220" s="491" t="s">
        <v>870</v>
      </c>
      <c r="B220" s="470" t="s">
        <v>994</v>
      </c>
      <c r="C220" s="456" t="s">
        <v>871</v>
      </c>
      <c r="D220" s="655">
        <f>1748640</f>
        <v>1748640</v>
      </c>
      <c r="E220" s="659"/>
    </row>
    <row r="221" spans="1:5" s="461" customFormat="1" ht="24">
      <c r="A221" s="505" t="s">
        <v>995</v>
      </c>
      <c r="B221" s="470" t="s">
        <v>996</v>
      </c>
      <c r="C221" s="456"/>
      <c r="D221" s="655">
        <f>D222</f>
        <v>460000</v>
      </c>
      <c r="E221" s="659"/>
    </row>
    <row r="222" spans="1:5" s="461" customFormat="1" ht="26.25">
      <c r="A222" s="454" t="s">
        <v>870</v>
      </c>
      <c r="B222" s="470" t="s">
        <v>996</v>
      </c>
      <c r="C222" s="456" t="s">
        <v>871</v>
      </c>
      <c r="D222" s="655">
        <f>460000</f>
        <v>460000</v>
      </c>
      <c r="E222" s="659"/>
    </row>
    <row r="223" spans="1:5" s="461" customFormat="1" ht="30.75" customHeight="1">
      <c r="A223" s="466" t="s">
        <v>960</v>
      </c>
      <c r="B223" s="470" t="s">
        <v>961</v>
      </c>
      <c r="C223" s="456"/>
      <c r="D223" s="658">
        <f>D224</f>
        <v>1000000</v>
      </c>
      <c r="E223" s="659"/>
    </row>
    <row r="224" spans="1:5" s="461" customFormat="1" ht="39">
      <c r="A224" s="452" t="s">
        <v>962</v>
      </c>
      <c r="B224" s="470" t="s">
        <v>963</v>
      </c>
      <c r="C224" s="456"/>
      <c r="D224" s="658">
        <f>D225</f>
        <v>1000000</v>
      </c>
      <c r="E224" s="659"/>
    </row>
    <row r="225" spans="1:5" s="461" customFormat="1" ht="15">
      <c r="A225" s="502" t="s">
        <v>814</v>
      </c>
      <c r="B225" s="470" t="s">
        <v>963</v>
      </c>
      <c r="C225" s="456" t="s">
        <v>815</v>
      </c>
      <c r="D225" s="658">
        <f>500000+500000</f>
        <v>1000000</v>
      </c>
      <c r="E225" s="659"/>
    </row>
    <row r="226" spans="1:5" s="461" customFormat="1" ht="0.75" customHeight="1" hidden="1">
      <c r="A226" s="454" t="s">
        <v>941</v>
      </c>
      <c r="B226" s="445" t="s">
        <v>942</v>
      </c>
      <c r="C226" s="456"/>
      <c r="D226" s="447">
        <f>D227+D229</f>
        <v>0</v>
      </c>
      <c r="E226" s="659"/>
    </row>
    <row r="227" spans="1:5" s="461" customFormat="1" ht="26.25" hidden="1">
      <c r="A227" s="454" t="s">
        <v>943</v>
      </c>
      <c r="B227" s="445" t="s">
        <v>944</v>
      </c>
      <c r="C227" s="456"/>
      <c r="D227" s="447">
        <f>D228</f>
        <v>0</v>
      </c>
      <c r="E227" s="659"/>
    </row>
    <row r="228" spans="1:5" s="461" customFormat="1" ht="22.5" customHeight="1" hidden="1">
      <c r="A228" s="502" t="s">
        <v>814</v>
      </c>
      <c r="B228" s="445" t="s">
        <v>944</v>
      </c>
      <c r="C228" s="456" t="s">
        <v>815</v>
      </c>
      <c r="D228" s="447"/>
      <c r="E228" s="659"/>
    </row>
    <row r="229" spans="1:5" s="461" customFormat="1" ht="26.25" hidden="1">
      <c r="A229" s="502" t="s">
        <v>945</v>
      </c>
      <c r="B229" s="445" t="s">
        <v>946</v>
      </c>
      <c r="C229" s="456"/>
      <c r="D229" s="447">
        <f>D231+D230</f>
        <v>0</v>
      </c>
      <c r="E229" s="659"/>
    </row>
    <row r="230" spans="1:5" s="461" customFormat="1" ht="26.25" hidden="1">
      <c r="A230" s="454" t="s">
        <v>654</v>
      </c>
      <c r="B230" s="445" t="s">
        <v>946</v>
      </c>
      <c r="C230" s="456" t="s">
        <v>655</v>
      </c>
      <c r="D230" s="447"/>
      <c r="E230" s="659"/>
    </row>
    <row r="231" spans="1:5" s="461" customFormat="1" ht="26.25" hidden="1">
      <c r="A231" s="502" t="s">
        <v>870</v>
      </c>
      <c r="B231" s="445" t="s">
        <v>946</v>
      </c>
      <c r="C231" s="456" t="s">
        <v>871</v>
      </c>
      <c r="D231" s="447"/>
      <c r="E231" s="659"/>
    </row>
    <row r="232" spans="1:5" s="461" customFormat="1" ht="29.25" customHeight="1">
      <c r="A232" s="466" t="s">
        <v>915</v>
      </c>
      <c r="B232" s="470" t="s">
        <v>916</v>
      </c>
      <c r="C232" s="456"/>
      <c r="D232" s="658">
        <f>D239+D233+D236</f>
        <v>1924427</v>
      </c>
      <c r="E232" s="659"/>
    </row>
    <row r="233" spans="1:5" s="461" customFormat="1" ht="51">
      <c r="A233" s="466" t="s">
        <v>917</v>
      </c>
      <c r="B233" s="470" t="s">
        <v>918</v>
      </c>
      <c r="C233" s="456"/>
      <c r="D233" s="658">
        <f>D235+D234</f>
        <v>1017730</v>
      </c>
      <c r="E233" s="659"/>
    </row>
    <row r="234" spans="1:5" s="461" customFormat="1" ht="26.25">
      <c r="A234" s="454" t="s">
        <v>654</v>
      </c>
      <c r="B234" s="470" t="s">
        <v>918</v>
      </c>
      <c r="C234" s="456" t="s">
        <v>655</v>
      </c>
      <c r="D234" s="447">
        <f>58130</f>
        <v>58130</v>
      </c>
      <c r="E234" s="659"/>
    </row>
    <row r="235" spans="1:5" s="461" customFormat="1" ht="15">
      <c r="A235" s="502" t="s">
        <v>814</v>
      </c>
      <c r="B235" s="470" t="s">
        <v>918</v>
      </c>
      <c r="C235" s="456" t="s">
        <v>815</v>
      </c>
      <c r="D235" s="447">
        <f>1017730-58130</f>
        <v>959600</v>
      </c>
      <c r="E235" s="659"/>
    </row>
    <row r="236" spans="1:5" s="461" customFormat="1" ht="30" customHeight="1">
      <c r="A236" s="466" t="s">
        <v>919</v>
      </c>
      <c r="B236" s="470" t="s">
        <v>920</v>
      </c>
      <c r="C236" s="456"/>
      <c r="D236" s="658">
        <f>D238+D237</f>
        <v>440322</v>
      </c>
      <c r="E236" s="659"/>
    </row>
    <row r="237" spans="1:5" s="461" customFormat="1" ht="26.25" customHeight="1">
      <c r="A237" s="454" t="s">
        <v>654</v>
      </c>
      <c r="B237" s="470" t="s">
        <v>920</v>
      </c>
      <c r="C237" s="456" t="s">
        <v>655</v>
      </c>
      <c r="D237" s="658">
        <f>29065</f>
        <v>29065</v>
      </c>
      <c r="E237" s="659"/>
    </row>
    <row r="238" spans="1:5" s="461" customFormat="1" ht="23.25" customHeight="1">
      <c r="A238" s="502" t="s">
        <v>814</v>
      </c>
      <c r="B238" s="470" t="s">
        <v>920</v>
      </c>
      <c r="C238" s="456" t="s">
        <v>815</v>
      </c>
      <c r="D238" s="447">
        <f>877632-466375</f>
        <v>411257</v>
      </c>
      <c r="E238" s="659"/>
    </row>
    <row r="239" spans="1:5" s="461" customFormat="1" ht="39">
      <c r="A239" s="502" t="s">
        <v>921</v>
      </c>
      <c r="B239" s="470" t="s">
        <v>922</v>
      </c>
      <c r="C239" s="456"/>
      <c r="D239" s="658">
        <f>D240</f>
        <v>466375</v>
      </c>
      <c r="E239" s="659"/>
    </row>
    <row r="240" spans="1:5" s="461" customFormat="1" ht="15">
      <c r="A240" s="502" t="s">
        <v>814</v>
      </c>
      <c r="B240" s="470" t="s">
        <v>922</v>
      </c>
      <c r="C240" s="456" t="s">
        <v>815</v>
      </c>
      <c r="D240" s="658">
        <f>466375</f>
        <v>466375</v>
      </c>
      <c r="E240" s="659"/>
    </row>
    <row r="241" spans="1:5" ht="45" customHeight="1">
      <c r="A241" s="466" t="s">
        <v>1044</v>
      </c>
      <c r="B241" s="474" t="s">
        <v>1045</v>
      </c>
      <c r="C241" s="446"/>
      <c r="D241" s="658">
        <f>D242+D247+D257</f>
        <v>4114213.3899999997</v>
      </c>
      <c r="E241" s="657"/>
    </row>
    <row r="242" spans="1:5" s="461" customFormat="1" ht="63" customHeight="1">
      <c r="A242" s="466" t="s">
        <v>1046</v>
      </c>
      <c r="B242" s="474" t="s">
        <v>1047</v>
      </c>
      <c r="C242" s="481"/>
      <c r="D242" s="658">
        <f>D243</f>
        <v>105000</v>
      </c>
      <c r="E242" s="659"/>
    </row>
    <row r="243" spans="1:5" ht="45" customHeight="1">
      <c r="A243" s="466" t="s">
        <v>1048</v>
      </c>
      <c r="B243" s="474" t="s">
        <v>1049</v>
      </c>
      <c r="C243" s="481"/>
      <c r="D243" s="658">
        <f>D244</f>
        <v>105000</v>
      </c>
      <c r="E243" s="657"/>
    </row>
    <row r="244" spans="1:5" ht="15.75" customHeight="1">
      <c r="A244" s="466" t="s">
        <v>1050</v>
      </c>
      <c r="B244" s="474" t="s">
        <v>1051</v>
      </c>
      <c r="C244" s="481"/>
      <c r="D244" s="658">
        <f>D245+D246</f>
        <v>105000</v>
      </c>
      <c r="E244" s="657"/>
    </row>
    <row r="245" spans="1:5" s="461" customFormat="1" ht="26.25">
      <c r="A245" s="454" t="s">
        <v>654</v>
      </c>
      <c r="B245" s="474" t="s">
        <v>1051</v>
      </c>
      <c r="C245" s="481" t="s">
        <v>655</v>
      </c>
      <c r="D245" s="658">
        <f>85000-20000+20000</f>
        <v>85000</v>
      </c>
      <c r="E245" s="659"/>
    </row>
    <row r="246" spans="1:5" s="461" customFormat="1" ht="15">
      <c r="A246" s="451" t="s">
        <v>827</v>
      </c>
      <c r="B246" s="474" t="s">
        <v>1051</v>
      </c>
      <c r="C246" s="481" t="s">
        <v>828</v>
      </c>
      <c r="D246" s="658">
        <f>20000</f>
        <v>20000</v>
      </c>
      <c r="E246" s="659"/>
    </row>
    <row r="247" spans="1:5" s="461" customFormat="1" ht="68.25" customHeight="1">
      <c r="A247" s="490" t="s">
        <v>1166</v>
      </c>
      <c r="B247" s="474" t="s">
        <v>1167</v>
      </c>
      <c r="C247" s="446"/>
      <c r="D247" s="658">
        <f>D248+D252</f>
        <v>150000</v>
      </c>
      <c r="E247" s="659"/>
    </row>
    <row r="248" spans="1:5" s="461" customFormat="1" ht="44.25" customHeight="1">
      <c r="A248" s="490" t="s">
        <v>1168</v>
      </c>
      <c r="B248" s="474" t="s">
        <v>1169</v>
      </c>
      <c r="C248" s="446"/>
      <c r="D248" s="658">
        <f>D249</f>
        <v>150000</v>
      </c>
      <c r="E248" s="659"/>
    </row>
    <row r="249" spans="1:5" ht="39">
      <c r="A249" s="451" t="s">
        <v>1170</v>
      </c>
      <c r="B249" s="474" t="s">
        <v>1171</v>
      </c>
      <c r="C249" s="446"/>
      <c r="D249" s="658">
        <f>D251+D250</f>
        <v>150000</v>
      </c>
      <c r="E249" s="657"/>
    </row>
    <row r="250" spans="1:5" ht="0.75" customHeight="1" hidden="1">
      <c r="A250" s="454" t="s">
        <v>642</v>
      </c>
      <c r="B250" s="474" t="s">
        <v>1171</v>
      </c>
      <c r="C250" s="446" t="s">
        <v>643</v>
      </c>
      <c r="D250" s="658">
        <f>3195-3195</f>
        <v>0</v>
      </c>
      <c r="E250" s="657"/>
    </row>
    <row r="251" spans="1:5" s="461" customFormat="1" ht="25.5" customHeight="1">
      <c r="A251" s="454" t="s">
        <v>654</v>
      </c>
      <c r="B251" s="474" t="s">
        <v>1171</v>
      </c>
      <c r="C251" s="446" t="s">
        <v>655</v>
      </c>
      <c r="D251" s="658">
        <f>100000+50000</f>
        <v>150000</v>
      </c>
      <c r="E251" s="659"/>
    </row>
    <row r="252" spans="1:5" s="461" customFormat="1" ht="41.25" customHeight="1" hidden="1">
      <c r="A252" s="490" t="s">
        <v>1216</v>
      </c>
      <c r="B252" s="474" t="s">
        <v>1217</v>
      </c>
      <c r="C252" s="446"/>
      <c r="D252" s="658">
        <f>D253</f>
        <v>0</v>
      </c>
      <c r="E252" s="659"/>
    </row>
    <row r="253" spans="1:5" s="461" customFormat="1" ht="30" customHeight="1" hidden="1">
      <c r="A253" s="466" t="s">
        <v>816</v>
      </c>
      <c r="B253" s="474" t="s">
        <v>1278</v>
      </c>
      <c r="C253" s="446"/>
      <c r="D253" s="658">
        <f>D254+D255+D256</f>
        <v>0</v>
      </c>
      <c r="E253" s="659"/>
    </row>
    <row r="254" spans="1:5" ht="41.25" customHeight="1" hidden="1">
      <c r="A254" s="454" t="s">
        <v>642</v>
      </c>
      <c r="B254" s="474" t="s">
        <v>1278</v>
      </c>
      <c r="C254" s="446" t="s">
        <v>643</v>
      </c>
      <c r="D254" s="658"/>
      <c r="E254" s="657"/>
    </row>
    <row r="255" spans="1:5" ht="28.5" customHeight="1" hidden="1">
      <c r="A255" s="454" t="s">
        <v>654</v>
      </c>
      <c r="B255" s="474" t="s">
        <v>1278</v>
      </c>
      <c r="C255" s="446" t="s">
        <v>655</v>
      </c>
      <c r="D255" s="658"/>
      <c r="E255" s="657"/>
    </row>
    <row r="256" spans="1:5" ht="16.5" customHeight="1" hidden="1">
      <c r="A256" s="466" t="s">
        <v>696</v>
      </c>
      <c r="B256" s="474" t="s">
        <v>1278</v>
      </c>
      <c r="C256" s="446" t="s">
        <v>697</v>
      </c>
      <c r="D256" s="658"/>
      <c r="E256" s="657"/>
    </row>
    <row r="257" spans="1:5" s="461" customFormat="1" ht="58.5" customHeight="1">
      <c r="A257" s="490" t="s">
        <v>1052</v>
      </c>
      <c r="B257" s="474" t="s">
        <v>1053</v>
      </c>
      <c r="C257" s="481"/>
      <c r="D257" s="658">
        <f>D258+D270+D267</f>
        <v>3859213.3899999997</v>
      </c>
      <c r="E257" s="659"/>
    </row>
    <row r="258" spans="1:5" ht="25.5">
      <c r="A258" s="466" t="s">
        <v>1054</v>
      </c>
      <c r="B258" s="474" t="s">
        <v>1055</v>
      </c>
      <c r="C258" s="481"/>
      <c r="D258" s="658">
        <f>D259+D262+D265</f>
        <v>1733211</v>
      </c>
      <c r="E258" s="657"/>
    </row>
    <row r="259" spans="1:5" ht="15">
      <c r="A259" s="451" t="s">
        <v>1056</v>
      </c>
      <c r="B259" s="474" t="s">
        <v>1057</v>
      </c>
      <c r="C259" s="446"/>
      <c r="D259" s="658">
        <f>D260+D261</f>
        <v>615795</v>
      </c>
      <c r="E259" s="657"/>
    </row>
    <row r="260" spans="1:5" ht="26.25">
      <c r="A260" s="454" t="s">
        <v>654</v>
      </c>
      <c r="B260" s="474" t="s">
        <v>1057</v>
      </c>
      <c r="C260" s="481" t="s">
        <v>655</v>
      </c>
      <c r="D260" s="447">
        <f>237417</f>
        <v>237417</v>
      </c>
      <c r="E260" s="657"/>
    </row>
    <row r="261" spans="1:5" ht="15">
      <c r="A261" s="451" t="s">
        <v>827</v>
      </c>
      <c r="B261" s="474" t="s">
        <v>1057</v>
      </c>
      <c r="C261" s="481" t="s">
        <v>828</v>
      </c>
      <c r="D261" s="447">
        <f>378378</f>
        <v>378378</v>
      </c>
      <c r="E261" s="657"/>
    </row>
    <row r="262" spans="1:5" ht="18.75" customHeight="1">
      <c r="A262" s="556" t="s">
        <v>1058</v>
      </c>
      <c r="B262" s="474" t="s">
        <v>1059</v>
      </c>
      <c r="C262" s="446"/>
      <c r="D262" s="658">
        <f>D264+D263</f>
        <v>1102863</v>
      </c>
      <c r="E262" s="657"/>
    </row>
    <row r="263" spans="1:5" ht="29.25" customHeight="1">
      <c r="A263" s="454" t="s">
        <v>654</v>
      </c>
      <c r="B263" s="474" t="s">
        <v>1059</v>
      </c>
      <c r="C263" s="481" t="s">
        <v>655</v>
      </c>
      <c r="D263" s="447">
        <v>520743</v>
      </c>
      <c r="E263" s="657"/>
    </row>
    <row r="264" spans="1:5" ht="21" customHeight="1">
      <c r="A264" s="451" t="s">
        <v>827</v>
      </c>
      <c r="B264" s="474" t="s">
        <v>1059</v>
      </c>
      <c r="C264" s="481" t="s">
        <v>828</v>
      </c>
      <c r="D264" s="447">
        <f>618000-20412-15468</f>
        <v>582120</v>
      </c>
      <c r="E264" s="657"/>
    </row>
    <row r="265" spans="1:5" ht="21" customHeight="1">
      <c r="A265" s="556" t="s">
        <v>1060</v>
      </c>
      <c r="B265" s="474" t="s">
        <v>1061</v>
      </c>
      <c r="C265" s="446"/>
      <c r="D265" s="447">
        <f>D266</f>
        <v>14553</v>
      </c>
      <c r="E265" s="657"/>
    </row>
    <row r="266" spans="1:5" ht="21" customHeight="1">
      <c r="A266" s="451" t="s">
        <v>827</v>
      </c>
      <c r="B266" s="474" t="s">
        <v>1061</v>
      </c>
      <c r="C266" s="481" t="s">
        <v>828</v>
      </c>
      <c r="D266" s="447">
        <f>14553</f>
        <v>14553</v>
      </c>
      <c r="E266" s="657"/>
    </row>
    <row r="267" spans="1:5" ht="15.75" customHeight="1">
      <c r="A267" s="466" t="s">
        <v>1062</v>
      </c>
      <c r="B267" s="474" t="s">
        <v>1063</v>
      </c>
      <c r="C267" s="481"/>
      <c r="D267" s="658">
        <f>D268</f>
        <v>36000</v>
      </c>
      <c r="E267" s="657"/>
    </row>
    <row r="268" spans="1:5" ht="15" customHeight="1">
      <c r="A268" s="454" t="s">
        <v>1060</v>
      </c>
      <c r="B268" s="474" t="s">
        <v>1064</v>
      </c>
      <c r="C268" s="481"/>
      <c r="D268" s="658">
        <f>D269</f>
        <v>36000</v>
      </c>
      <c r="E268" s="657"/>
    </row>
    <row r="269" spans="1:5" ht="22.5" customHeight="1">
      <c r="A269" s="571" t="s">
        <v>654</v>
      </c>
      <c r="B269" s="474" t="s">
        <v>1064</v>
      </c>
      <c r="C269" s="481" t="s">
        <v>655</v>
      </c>
      <c r="D269" s="658">
        <v>36000</v>
      </c>
      <c r="E269" s="657"/>
    </row>
    <row r="270" spans="1:5" ht="39.75" customHeight="1">
      <c r="A270" s="466" t="s">
        <v>1065</v>
      </c>
      <c r="B270" s="474" t="s">
        <v>1066</v>
      </c>
      <c r="C270" s="481"/>
      <c r="D270" s="658">
        <f>D271</f>
        <v>2090002.39</v>
      </c>
      <c r="E270" s="657"/>
    </row>
    <row r="271" spans="1:5" ht="24" customHeight="1">
      <c r="A271" s="452" t="s">
        <v>816</v>
      </c>
      <c r="B271" s="474" t="s">
        <v>1067</v>
      </c>
      <c r="C271" s="481"/>
      <c r="D271" s="658">
        <f>D272+D273+D274</f>
        <v>2090002.39</v>
      </c>
      <c r="E271" s="657"/>
    </row>
    <row r="272" spans="1:5" ht="30.75" customHeight="1">
      <c r="A272" s="451" t="s">
        <v>1068</v>
      </c>
      <c r="B272" s="474" t="s">
        <v>1067</v>
      </c>
      <c r="C272" s="446" t="s">
        <v>643</v>
      </c>
      <c r="D272" s="447">
        <v>616000</v>
      </c>
      <c r="E272" s="657"/>
    </row>
    <row r="273" spans="1:5" ht="27" customHeight="1">
      <c r="A273" s="454" t="s">
        <v>654</v>
      </c>
      <c r="B273" s="474" t="s">
        <v>1067</v>
      </c>
      <c r="C273" s="481" t="s">
        <v>655</v>
      </c>
      <c r="D273" s="447">
        <f>1364002.39+40000</f>
        <v>1404002.39</v>
      </c>
      <c r="E273" s="657"/>
    </row>
    <row r="274" spans="1:5" ht="18.75" customHeight="1">
      <c r="A274" s="466" t="s">
        <v>696</v>
      </c>
      <c r="B274" s="474" t="s">
        <v>1067</v>
      </c>
      <c r="C274" s="481" t="s">
        <v>697</v>
      </c>
      <c r="D274" s="447">
        <v>70000</v>
      </c>
      <c r="E274" s="657"/>
    </row>
    <row r="275" spans="1:5" ht="43.5" customHeight="1">
      <c r="A275" s="508" t="s">
        <v>1313</v>
      </c>
      <c r="B275" s="445" t="s">
        <v>759</v>
      </c>
      <c r="C275" s="456"/>
      <c r="D275" s="447">
        <f>D276</f>
        <v>1084073</v>
      </c>
      <c r="E275" s="657"/>
    </row>
    <row r="276" spans="1:5" s="461" customFormat="1" ht="57.75" customHeight="1">
      <c r="A276" s="490" t="s">
        <v>760</v>
      </c>
      <c r="B276" s="445" t="s">
        <v>761</v>
      </c>
      <c r="C276" s="456"/>
      <c r="D276" s="447">
        <f>D277</f>
        <v>1084073</v>
      </c>
      <c r="E276" s="659"/>
    </row>
    <row r="277" spans="1:5" s="461" customFormat="1" ht="27" customHeight="1">
      <c r="A277" s="490" t="s">
        <v>762</v>
      </c>
      <c r="B277" s="445" t="s">
        <v>763</v>
      </c>
      <c r="C277" s="456"/>
      <c r="D277" s="447">
        <f>D278</f>
        <v>1084073</v>
      </c>
      <c r="E277" s="659"/>
    </row>
    <row r="278" spans="1:5" ht="18" customHeight="1">
      <c r="A278" s="490" t="s">
        <v>764</v>
      </c>
      <c r="B278" s="445" t="s">
        <v>765</v>
      </c>
      <c r="C278" s="456"/>
      <c r="D278" s="447">
        <f>D279</f>
        <v>1084073</v>
      </c>
      <c r="E278" s="657"/>
    </row>
    <row r="279" spans="1:5" ht="27" customHeight="1">
      <c r="A279" s="454" t="s">
        <v>654</v>
      </c>
      <c r="B279" s="445" t="s">
        <v>765</v>
      </c>
      <c r="C279" s="446" t="s">
        <v>655</v>
      </c>
      <c r="D279" s="447">
        <f>657100+30000+40000+270000+37422+49551</f>
        <v>1084073</v>
      </c>
      <c r="E279" s="657"/>
    </row>
    <row r="280" spans="1:5" ht="40.5" customHeight="1">
      <c r="A280" s="444" t="s">
        <v>673</v>
      </c>
      <c r="B280" s="455" t="s">
        <v>674</v>
      </c>
      <c r="C280" s="446"/>
      <c r="D280" s="658">
        <f>D281</f>
        <v>329014</v>
      </c>
      <c r="E280" s="657"/>
    </row>
    <row r="281" spans="1:5" s="461" customFormat="1" ht="69" customHeight="1">
      <c r="A281" s="465" t="s">
        <v>675</v>
      </c>
      <c r="B281" s="455" t="s">
        <v>676</v>
      </c>
      <c r="C281" s="446"/>
      <c r="D281" s="658">
        <f>D282</f>
        <v>329014</v>
      </c>
      <c r="E281" s="659"/>
    </row>
    <row r="282" spans="1:5" s="461" customFormat="1" ht="29.25" customHeight="1">
      <c r="A282" s="466" t="s">
        <v>677</v>
      </c>
      <c r="B282" s="455" t="s">
        <v>678</v>
      </c>
      <c r="C282" s="446"/>
      <c r="D282" s="658">
        <f>D283+D286</f>
        <v>329014</v>
      </c>
      <c r="E282" s="659"/>
    </row>
    <row r="283" spans="1:5" ht="28.5" customHeight="1">
      <c r="A283" s="556" t="s">
        <v>679</v>
      </c>
      <c r="B283" s="455" t="s">
        <v>680</v>
      </c>
      <c r="C283" s="446"/>
      <c r="D283" s="658">
        <f>D284+D285</f>
        <v>329014</v>
      </c>
      <c r="E283" s="657"/>
    </row>
    <row r="284" spans="1:5" ht="42.75" customHeight="1">
      <c r="A284" s="454" t="s">
        <v>642</v>
      </c>
      <c r="B284" s="455" t="s">
        <v>680</v>
      </c>
      <c r="C284" s="456" t="s">
        <v>643</v>
      </c>
      <c r="D284" s="447">
        <v>295773</v>
      </c>
      <c r="E284" s="657"/>
    </row>
    <row r="285" spans="1:5" ht="26.25" customHeight="1">
      <c r="A285" s="454" t="s">
        <v>654</v>
      </c>
      <c r="B285" s="455" t="s">
        <v>680</v>
      </c>
      <c r="C285" s="456" t="s">
        <v>655</v>
      </c>
      <c r="D285" s="447">
        <v>33241</v>
      </c>
      <c r="E285" s="657"/>
    </row>
    <row r="286" spans="1:5" ht="28.5" customHeight="1" hidden="1">
      <c r="A286" s="454" t="s">
        <v>768</v>
      </c>
      <c r="B286" s="455" t="s">
        <v>769</v>
      </c>
      <c r="C286" s="446"/>
      <c r="D286" s="447">
        <f>D287</f>
        <v>0</v>
      </c>
      <c r="E286" s="657"/>
    </row>
    <row r="287" spans="1:5" ht="28.5" customHeight="1" hidden="1">
      <c r="A287" s="454" t="s">
        <v>654</v>
      </c>
      <c r="B287" s="455" t="s">
        <v>769</v>
      </c>
      <c r="C287" s="456" t="s">
        <v>655</v>
      </c>
      <c r="D287" s="447"/>
      <c r="E287" s="657"/>
    </row>
    <row r="288" spans="1:5" ht="44.25" customHeight="1">
      <c r="A288" s="489" t="s">
        <v>770</v>
      </c>
      <c r="B288" s="474" t="s">
        <v>771</v>
      </c>
      <c r="C288" s="446"/>
      <c r="D288" s="447">
        <f>D289+D304+D309</f>
        <v>17757899.55</v>
      </c>
      <c r="E288" s="657"/>
    </row>
    <row r="289" spans="1:5" s="461" customFormat="1" ht="51">
      <c r="A289" s="490" t="s">
        <v>860</v>
      </c>
      <c r="B289" s="474" t="s">
        <v>861</v>
      </c>
      <c r="C289" s="446"/>
      <c r="D289" s="447">
        <f>D290+D293</f>
        <v>15737299.55</v>
      </c>
      <c r="E289" s="659"/>
    </row>
    <row r="290" spans="1:4" s="461" customFormat="1" ht="25.5">
      <c r="A290" s="466" t="s">
        <v>862</v>
      </c>
      <c r="B290" s="474" t="s">
        <v>863</v>
      </c>
      <c r="C290" s="446"/>
      <c r="D290" s="447">
        <f>D291</f>
        <v>1463489.55</v>
      </c>
    </row>
    <row r="291" spans="1:4" ht="26.25">
      <c r="A291" s="454" t="s">
        <v>864</v>
      </c>
      <c r="B291" s="474" t="s">
        <v>865</v>
      </c>
      <c r="C291" s="446"/>
      <c r="D291" s="447">
        <f>D292</f>
        <v>1463489.55</v>
      </c>
    </row>
    <row r="292" spans="1:4" ht="18" customHeight="1">
      <c r="A292" s="454" t="s">
        <v>704</v>
      </c>
      <c r="B292" s="474" t="s">
        <v>865</v>
      </c>
      <c r="C292" s="446" t="s">
        <v>655</v>
      </c>
      <c r="D292" s="447">
        <f>200000+1263489.55</f>
        <v>1463489.55</v>
      </c>
    </row>
    <row r="293" spans="1:4" ht="25.5">
      <c r="A293" s="466" t="s">
        <v>866</v>
      </c>
      <c r="B293" s="474" t="s">
        <v>867</v>
      </c>
      <c r="C293" s="446"/>
      <c r="D293" s="447">
        <f>D294+D300+D302+D298+D296</f>
        <v>14273810</v>
      </c>
    </row>
    <row r="294" spans="1:4" s="461" customFormat="1" ht="15">
      <c r="A294" s="454" t="s">
        <v>868</v>
      </c>
      <c r="B294" s="474" t="s">
        <v>869</v>
      </c>
      <c r="C294" s="446"/>
      <c r="D294" s="447">
        <f>D295</f>
        <v>1800000</v>
      </c>
    </row>
    <row r="295" spans="1:4" ht="22.5" customHeight="1">
      <c r="A295" s="491" t="s">
        <v>870</v>
      </c>
      <c r="B295" s="474" t="s">
        <v>869</v>
      </c>
      <c r="C295" s="446" t="s">
        <v>871</v>
      </c>
      <c r="D295" s="447">
        <f>1800000</f>
        <v>1800000</v>
      </c>
    </row>
    <row r="296" spans="1:4" ht="33" customHeight="1">
      <c r="A296" s="466" t="s">
        <v>874</v>
      </c>
      <c r="B296" s="474" t="s">
        <v>875</v>
      </c>
      <c r="C296" s="446"/>
      <c r="D296" s="447">
        <f>D297</f>
        <v>9060810</v>
      </c>
    </row>
    <row r="297" spans="1:4" ht="37.5" customHeight="1">
      <c r="A297" s="492" t="s">
        <v>870</v>
      </c>
      <c r="B297" s="474" t="s">
        <v>875</v>
      </c>
      <c r="C297" s="446" t="s">
        <v>871</v>
      </c>
      <c r="D297" s="447">
        <v>9060810</v>
      </c>
    </row>
    <row r="298" spans="1:4" ht="45.75" customHeight="1">
      <c r="A298" s="493" t="s">
        <v>876</v>
      </c>
      <c r="B298" s="474" t="s">
        <v>877</v>
      </c>
      <c r="C298" s="446"/>
      <c r="D298" s="447">
        <f>D299</f>
        <v>100000</v>
      </c>
    </row>
    <row r="299" spans="1:4" ht="36" customHeight="1">
      <c r="A299" s="492" t="s">
        <v>870</v>
      </c>
      <c r="B299" s="474" t="s">
        <v>877</v>
      </c>
      <c r="C299" s="446" t="s">
        <v>871</v>
      </c>
      <c r="D299" s="447">
        <f>100000</f>
        <v>100000</v>
      </c>
    </row>
    <row r="300" spans="1:4" ht="29.25" customHeight="1">
      <c r="A300" s="454" t="s">
        <v>878</v>
      </c>
      <c r="B300" s="474" t="s">
        <v>879</v>
      </c>
      <c r="C300" s="446"/>
      <c r="D300" s="447">
        <f>D301</f>
        <v>1750000</v>
      </c>
    </row>
    <row r="301" spans="1:4" ht="29.25" customHeight="1">
      <c r="A301" s="492" t="s">
        <v>870</v>
      </c>
      <c r="B301" s="474" t="s">
        <v>879</v>
      </c>
      <c r="C301" s="446" t="s">
        <v>871</v>
      </c>
      <c r="D301" s="447">
        <f>1850000-100000</f>
        <v>1750000</v>
      </c>
    </row>
    <row r="302" spans="1:4" ht="15">
      <c r="A302" s="454" t="s">
        <v>872</v>
      </c>
      <c r="B302" s="474" t="s">
        <v>873</v>
      </c>
      <c r="C302" s="446"/>
      <c r="D302" s="447">
        <f>D303</f>
        <v>1563000</v>
      </c>
    </row>
    <row r="303" spans="1:4" ht="26.25">
      <c r="A303" s="491" t="s">
        <v>870</v>
      </c>
      <c r="B303" s="474" t="s">
        <v>873</v>
      </c>
      <c r="C303" s="446" t="s">
        <v>871</v>
      </c>
      <c r="D303" s="447">
        <f>1435043+127957</f>
        <v>1563000</v>
      </c>
    </row>
    <row r="304" spans="1:4" s="461" customFormat="1" ht="69.75" customHeight="1">
      <c r="A304" s="494" t="s">
        <v>853</v>
      </c>
      <c r="B304" s="474" t="s">
        <v>854</v>
      </c>
      <c r="C304" s="446"/>
      <c r="D304" s="658">
        <f>D305</f>
        <v>1675000</v>
      </c>
    </row>
    <row r="305" spans="1:4" s="461" customFormat="1" ht="30" customHeight="1">
      <c r="A305" s="466" t="s">
        <v>855</v>
      </c>
      <c r="B305" s="474" t="s">
        <v>856</v>
      </c>
      <c r="C305" s="446"/>
      <c r="D305" s="658">
        <f>D306</f>
        <v>1675000</v>
      </c>
    </row>
    <row r="306" spans="1:5" ht="15">
      <c r="A306" s="451" t="s">
        <v>857</v>
      </c>
      <c r="B306" s="474" t="s">
        <v>858</v>
      </c>
      <c r="C306" s="446"/>
      <c r="D306" s="658">
        <f>D308+D307</f>
        <v>1675000</v>
      </c>
      <c r="E306" s="657"/>
    </row>
    <row r="307" spans="1:5" ht="15">
      <c r="A307" s="454" t="s">
        <v>704</v>
      </c>
      <c r="B307" s="474" t="s">
        <v>858</v>
      </c>
      <c r="C307" s="446" t="s">
        <v>655</v>
      </c>
      <c r="D307" s="658">
        <v>10000</v>
      </c>
      <c r="E307" s="657"/>
    </row>
    <row r="308" spans="1:5" ht="15">
      <c r="A308" s="454" t="s">
        <v>696</v>
      </c>
      <c r="B308" s="474" t="s">
        <v>858</v>
      </c>
      <c r="C308" s="446" t="s">
        <v>697</v>
      </c>
      <c r="D308" s="658">
        <f>500000+565000+600000</f>
        <v>1665000</v>
      </c>
      <c r="E308" s="657"/>
    </row>
    <row r="309" spans="1:5" s="461" customFormat="1" ht="63.75">
      <c r="A309" s="494" t="s">
        <v>772</v>
      </c>
      <c r="B309" s="474" t="s">
        <v>773</v>
      </c>
      <c r="C309" s="446"/>
      <c r="D309" s="658">
        <f>D310+D313</f>
        <v>345600</v>
      </c>
      <c r="E309" s="659"/>
    </row>
    <row r="310" spans="1:4" ht="25.5">
      <c r="A310" s="479" t="s">
        <v>880</v>
      </c>
      <c r="B310" s="474" t="s">
        <v>881</v>
      </c>
      <c r="C310" s="446"/>
      <c r="D310" s="658">
        <f>D311</f>
        <v>177800</v>
      </c>
    </row>
    <row r="311" spans="1:4" ht="15">
      <c r="A311" s="466" t="s">
        <v>882</v>
      </c>
      <c r="B311" s="474" t="s">
        <v>883</v>
      </c>
      <c r="C311" s="446"/>
      <c r="D311" s="658">
        <f>D312</f>
        <v>177800</v>
      </c>
    </row>
    <row r="312" spans="1:4" ht="26.25">
      <c r="A312" s="454" t="s">
        <v>654</v>
      </c>
      <c r="B312" s="474" t="s">
        <v>883</v>
      </c>
      <c r="C312" s="446" t="s">
        <v>655</v>
      </c>
      <c r="D312" s="658">
        <v>177800</v>
      </c>
    </row>
    <row r="313" spans="1:4" ht="57.75" customHeight="1">
      <c r="A313" s="569" t="s">
        <v>1023</v>
      </c>
      <c r="B313" s="474" t="s">
        <v>1024</v>
      </c>
      <c r="C313" s="446"/>
      <c r="D313" s="658">
        <f>D314</f>
        <v>167800</v>
      </c>
    </row>
    <row r="314" spans="1:4" ht="31.5" customHeight="1">
      <c r="A314" s="466" t="s">
        <v>776</v>
      </c>
      <c r="B314" s="474" t="s">
        <v>1025</v>
      </c>
      <c r="C314" s="446"/>
      <c r="D314" s="658">
        <f>D315</f>
        <v>167800</v>
      </c>
    </row>
    <row r="315" spans="1:4" ht="27.75" customHeight="1">
      <c r="A315" s="454" t="s">
        <v>654</v>
      </c>
      <c r="B315" s="474" t="s">
        <v>1025</v>
      </c>
      <c r="C315" s="446" t="s">
        <v>655</v>
      </c>
      <c r="D315" s="447">
        <v>167800</v>
      </c>
    </row>
    <row r="316" spans="1:5" ht="43.5" customHeight="1">
      <c r="A316" s="451" t="s">
        <v>681</v>
      </c>
      <c r="B316" s="455" t="s">
        <v>682</v>
      </c>
      <c r="C316" s="456"/>
      <c r="D316" s="658">
        <f>D323+D317</f>
        <v>654400</v>
      </c>
      <c r="E316" s="453"/>
    </row>
    <row r="317" spans="1:5" ht="80.25" customHeight="1">
      <c r="A317" s="479" t="s">
        <v>778</v>
      </c>
      <c r="B317" s="455" t="s">
        <v>779</v>
      </c>
      <c r="C317" s="446"/>
      <c r="D317" s="447">
        <f>D318</f>
        <v>70000</v>
      </c>
      <c r="E317" s="453"/>
    </row>
    <row r="318" spans="1:5" ht="31.5" customHeight="1">
      <c r="A318" s="465" t="s">
        <v>780</v>
      </c>
      <c r="B318" s="470" t="s">
        <v>781</v>
      </c>
      <c r="C318" s="446"/>
      <c r="D318" s="447">
        <f>D319+D321</f>
        <v>70000</v>
      </c>
      <c r="E318" s="453"/>
    </row>
    <row r="319" spans="1:5" ht="32.25" customHeight="1">
      <c r="A319" s="454" t="s">
        <v>782</v>
      </c>
      <c r="B319" s="470" t="s">
        <v>783</v>
      </c>
      <c r="C319" s="446"/>
      <c r="D319" s="447">
        <f>D320</f>
        <v>30000</v>
      </c>
      <c r="E319" s="453"/>
    </row>
    <row r="320" spans="1:5" ht="28.5" customHeight="1">
      <c r="A320" s="454" t="s">
        <v>654</v>
      </c>
      <c r="B320" s="470" t="s">
        <v>783</v>
      </c>
      <c r="C320" s="446" t="s">
        <v>655</v>
      </c>
      <c r="D320" s="447">
        <v>30000</v>
      </c>
      <c r="E320" s="453"/>
    </row>
    <row r="321" spans="1:5" ht="23.25" customHeight="1">
      <c r="A321" s="454" t="s">
        <v>784</v>
      </c>
      <c r="B321" s="470" t="s">
        <v>785</v>
      </c>
      <c r="C321" s="446"/>
      <c r="D321" s="447">
        <f>D322</f>
        <v>40000</v>
      </c>
      <c r="E321" s="453"/>
    </row>
    <row r="322" spans="1:5" ht="28.5" customHeight="1">
      <c r="A322" s="454" t="s">
        <v>654</v>
      </c>
      <c r="B322" s="470" t="s">
        <v>785</v>
      </c>
      <c r="C322" s="446" t="s">
        <v>655</v>
      </c>
      <c r="D322" s="447">
        <f>40000</f>
        <v>40000</v>
      </c>
      <c r="E322" s="453"/>
    </row>
    <row r="323" spans="1:4" s="461" customFormat="1" ht="59.25" customHeight="1">
      <c r="A323" s="451" t="s">
        <v>683</v>
      </c>
      <c r="B323" s="455" t="s">
        <v>684</v>
      </c>
      <c r="C323" s="456"/>
      <c r="D323" s="658">
        <f>D325+D328</f>
        <v>584400</v>
      </c>
    </row>
    <row r="324" spans="1:4" ht="45.75" customHeight="1">
      <c r="A324" s="465" t="s">
        <v>685</v>
      </c>
      <c r="B324" s="455" t="s">
        <v>686</v>
      </c>
      <c r="C324" s="456"/>
      <c r="D324" s="658">
        <f>D325+D328</f>
        <v>584400</v>
      </c>
    </row>
    <row r="325" spans="1:4" ht="40.5" customHeight="1">
      <c r="A325" s="556" t="s">
        <v>687</v>
      </c>
      <c r="B325" s="445" t="s">
        <v>688</v>
      </c>
      <c r="C325" s="446"/>
      <c r="D325" s="658">
        <f>D326+D327</f>
        <v>292200</v>
      </c>
    </row>
    <row r="326" spans="1:4" ht="43.5" customHeight="1">
      <c r="A326" s="454" t="s">
        <v>642</v>
      </c>
      <c r="B326" s="445" t="s">
        <v>688</v>
      </c>
      <c r="C326" s="456" t="s">
        <v>643</v>
      </c>
      <c r="D326" s="447">
        <v>289200</v>
      </c>
    </row>
    <row r="327" spans="1:4" ht="26.25">
      <c r="A327" s="454" t="s">
        <v>654</v>
      </c>
      <c r="B327" s="445" t="s">
        <v>688</v>
      </c>
      <c r="C327" s="456" t="s">
        <v>655</v>
      </c>
      <c r="D327" s="447">
        <v>3000</v>
      </c>
    </row>
    <row r="328" spans="1:4" ht="33.75" customHeight="1">
      <c r="A328" s="556" t="s">
        <v>689</v>
      </c>
      <c r="B328" s="445" t="s">
        <v>690</v>
      </c>
      <c r="C328" s="446"/>
      <c r="D328" s="658">
        <f>D329+D330</f>
        <v>292200</v>
      </c>
    </row>
    <row r="329" spans="1:4" ht="39">
      <c r="A329" s="454" t="s">
        <v>642</v>
      </c>
      <c r="B329" s="445" t="s">
        <v>690</v>
      </c>
      <c r="C329" s="456" t="s">
        <v>643</v>
      </c>
      <c r="D329" s="447">
        <f>193920+58564+39716</f>
        <v>292200</v>
      </c>
    </row>
    <row r="330" spans="1:4" ht="26.25" hidden="1">
      <c r="A330" s="454" t="s">
        <v>654</v>
      </c>
      <c r="B330" s="445" t="s">
        <v>690</v>
      </c>
      <c r="C330" s="456" t="s">
        <v>655</v>
      </c>
      <c r="D330" s="447">
        <f>39716-39716</f>
        <v>0</v>
      </c>
    </row>
    <row r="331" spans="1:6" ht="59.25" customHeight="1">
      <c r="A331" s="465" t="s">
        <v>833</v>
      </c>
      <c r="B331" s="474" t="s">
        <v>834</v>
      </c>
      <c r="C331" s="456"/>
      <c r="D331" s="658">
        <f>D332</f>
        <v>51000</v>
      </c>
      <c r="E331" s="661"/>
      <c r="F331" s="662"/>
    </row>
    <row r="332" spans="1:6" ht="84.75" customHeight="1">
      <c r="A332" s="496" t="s">
        <v>835</v>
      </c>
      <c r="B332" s="474" t="s">
        <v>836</v>
      </c>
      <c r="C332" s="456"/>
      <c r="D332" s="658">
        <f>D333+D336+D339+D342</f>
        <v>51000</v>
      </c>
      <c r="E332" s="663"/>
      <c r="F332" s="662"/>
    </row>
    <row r="333" spans="1:6" ht="25.5" hidden="1">
      <c r="A333" s="496" t="s">
        <v>837</v>
      </c>
      <c r="B333" s="474" t="s">
        <v>838</v>
      </c>
      <c r="C333" s="456"/>
      <c r="D333" s="658">
        <f>D334</f>
        <v>0</v>
      </c>
      <c r="E333" s="661"/>
      <c r="F333" s="662"/>
    </row>
    <row r="334" spans="1:6" ht="26.25" hidden="1">
      <c r="A334" s="454" t="s">
        <v>839</v>
      </c>
      <c r="B334" s="474" t="s">
        <v>840</v>
      </c>
      <c r="C334" s="456"/>
      <c r="D334" s="658">
        <f>D335</f>
        <v>0</v>
      </c>
      <c r="E334" s="661"/>
      <c r="F334" s="662"/>
    </row>
    <row r="335" spans="1:6" ht="26.25" hidden="1">
      <c r="A335" s="454" t="s">
        <v>654</v>
      </c>
      <c r="B335" s="474" t="s">
        <v>840</v>
      </c>
      <c r="C335" s="456" t="s">
        <v>655</v>
      </c>
      <c r="D335" s="658"/>
      <c r="E335" s="661"/>
      <c r="F335" s="662"/>
    </row>
    <row r="336" spans="1:6" ht="57" customHeight="1">
      <c r="A336" s="496" t="s">
        <v>841</v>
      </c>
      <c r="B336" s="474" t="s">
        <v>842</v>
      </c>
      <c r="C336" s="456"/>
      <c r="D336" s="658">
        <f>D337</f>
        <v>51000</v>
      </c>
      <c r="E336" s="661"/>
      <c r="F336" s="662"/>
    </row>
    <row r="337" spans="1:6" ht="26.25">
      <c r="A337" s="454" t="s">
        <v>839</v>
      </c>
      <c r="B337" s="474" t="s">
        <v>843</v>
      </c>
      <c r="C337" s="456"/>
      <c r="D337" s="658">
        <f>D338</f>
        <v>51000</v>
      </c>
      <c r="E337" s="661"/>
      <c r="F337" s="662"/>
    </row>
    <row r="338" spans="1:5" ht="26.25">
      <c r="A338" s="454" t="s">
        <v>654</v>
      </c>
      <c r="B338" s="474" t="s">
        <v>843</v>
      </c>
      <c r="C338" s="456" t="s">
        <v>655</v>
      </c>
      <c r="D338" s="447">
        <v>51000</v>
      </c>
      <c r="E338" s="661"/>
    </row>
    <row r="339" spans="1:5" ht="38.25" hidden="1">
      <c r="A339" s="496" t="s">
        <v>844</v>
      </c>
      <c r="B339" s="474" t="s">
        <v>845</v>
      </c>
      <c r="C339" s="456"/>
      <c r="D339" s="658">
        <f>D340</f>
        <v>0</v>
      </c>
      <c r="E339" s="661"/>
    </row>
    <row r="340" spans="1:5" ht="26.25" hidden="1">
      <c r="A340" s="454" t="s">
        <v>839</v>
      </c>
      <c r="B340" s="474" t="s">
        <v>846</v>
      </c>
      <c r="C340" s="456"/>
      <c r="D340" s="658">
        <f>D341</f>
        <v>0</v>
      </c>
      <c r="E340" s="661"/>
    </row>
    <row r="341" spans="1:5" ht="26.25" hidden="1">
      <c r="A341" s="454" t="s">
        <v>654</v>
      </c>
      <c r="B341" s="474" t="s">
        <v>846</v>
      </c>
      <c r="C341" s="456" t="s">
        <v>655</v>
      </c>
      <c r="D341" s="658"/>
      <c r="E341" s="661"/>
    </row>
    <row r="342" spans="1:5" ht="25.5" hidden="1">
      <c r="A342" s="496" t="s">
        <v>847</v>
      </c>
      <c r="B342" s="474" t="s">
        <v>848</v>
      </c>
      <c r="C342" s="456"/>
      <c r="D342" s="658">
        <f>D343</f>
        <v>0</v>
      </c>
      <c r="E342" s="661"/>
    </row>
    <row r="343" spans="1:5" ht="26.25" hidden="1">
      <c r="A343" s="454" t="s">
        <v>839</v>
      </c>
      <c r="B343" s="474" t="s">
        <v>849</v>
      </c>
      <c r="C343" s="456"/>
      <c r="D343" s="658">
        <f>D344</f>
        <v>0</v>
      </c>
      <c r="E343" s="661"/>
    </row>
    <row r="344" spans="1:5" ht="26.25" hidden="1">
      <c r="A344" s="454" t="s">
        <v>654</v>
      </c>
      <c r="B344" s="474" t="s">
        <v>849</v>
      </c>
      <c r="C344" s="456" t="s">
        <v>655</v>
      </c>
      <c r="D344" s="658"/>
      <c r="E344" s="661"/>
    </row>
    <row r="345" spans="1:5" ht="45.75" customHeight="1">
      <c r="A345" s="465" t="s">
        <v>1187</v>
      </c>
      <c r="B345" s="470" t="s">
        <v>1175</v>
      </c>
      <c r="C345" s="446"/>
      <c r="D345" s="655">
        <f>D346+D350</f>
        <v>7777933.76</v>
      </c>
      <c r="E345" s="453"/>
    </row>
    <row r="346" spans="1:5" s="461" customFormat="1" ht="57" customHeight="1">
      <c r="A346" s="444" t="s">
        <v>1176</v>
      </c>
      <c r="B346" s="470" t="s">
        <v>1177</v>
      </c>
      <c r="C346" s="446"/>
      <c r="D346" s="655">
        <f>D347</f>
        <v>9602.76</v>
      </c>
      <c r="E346" s="498"/>
    </row>
    <row r="347" spans="1:4" ht="48" customHeight="1">
      <c r="A347" s="444" t="s">
        <v>1178</v>
      </c>
      <c r="B347" s="470" t="s">
        <v>1179</v>
      </c>
      <c r="C347" s="446"/>
      <c r="D347" s="655">
        <f>D348</f>
        <v>9602.76</v>
      </c>
    </row>
    <row r="348" spans="1:4" ht="19.5" customHeight="1">
      <c r="A348" s="451" t="s">
        <v>1180</v>
      </c>
      <c r="B348" s="470" t="s">
        <v>1181</v>
      </c>
      <c r="C348" s="446"/>
      <c r="D348" s="655">
        <f>D349</f>
        <v>9602.76</v>
      </c>
    </row>
    <row r="349" spans="1:4" ht="19.5" customHeight="1">
      <c r="A349" s="444" t="s">
        <v>1182</v>
      </c>
      <c r="B349" s="470" t="s">
        <v>1181</v>
      </c>
      <c r="C349" s="446" t="s">
        <v>1183</v>
      </c>
      <c r="D349" s="655">
        <v>9602.76</v>
      </c>
    </row>
    <row r="350" spans="1:4" s="461" customFormat="1" ht="60" customHeight="1">
      <c r="A350" s="444" t="s">
        <v>1188</v>
      </c>
      <c r="B350" s="445" t="s">
        <v>1189</v>
      </c>
      <c r="C350" s="446"/>
      <c r="D350" s="655">
        <f>D351</f>
        <v>7768331</v>
      </c>
    </row>
    <row r="351" spans="1:4" s="461" customFormat="1" ht="36" customHeight="1">
      <c r="A351" s="465" t="s">
        <v>1190</v>
      </c>
      <c r="B351" s="445" t="s">
        <v>1191</v>
      </c>
      <c r="C351" s="446"/>
      <c r="D351" s="658">
        <f>D352</f>
        <v>7768331</v>
      </c>
    </row>
    <row r="352" spans="1:4" ht="29.25" customHeight="1">
      <c r="A352" s="556" t="s">
        <v>1192</v>
      </c>
      <c r="B352" s="445" t="s">
        <v>1193</v>
      </c>
      <c r="C352" s="446"/>
      <c r="D352" s="658">
        <f>D353</f>
        <v>7768331</v>
      </c>
    </row>
    <row r="353" spans="1:4" s="461" customFormat="1" ht="15">
      <c r="A353" s="502" t="s">
        <v>814</v>
      </c>
      <c r="B353" s="445" t="s">
        <v>1193</v>
      </c>
      <c r="C353" s="456" t="s">
        <v>815</v>
      </c>
      <c r="D353" s="447">
        <v>7768331</v>
      </c>
    </row>
    <row r="354" spans="1:5" ht="25.5">
      <c r="A354" s="490" t="s">
        <v>923</v>
      </c>
      <c r="B354" s="445" t="s">
        <v>924</v>
      </c>
      <c r="C354" s="456"/>
      <c r="D354" s="664">
        <f>D355+D359</f>
        <v>33000</v>
      </c>
      <c r="E354" s="541"/>
    </row>
    <row r="355" spans="1:5" s="461" customFormat="1" ht="54.75" customHeight="1">
      <c r="A355" s="569" t="s">
        <v>925</v>
      </c>
      <c r="B355" s="445" t="s">
        <v>926</v>
      </c>
      <c r="C355" s="456"/>
      <c r="D355" s="658">
        <f>D356</f>
        <v>28000</v>
      </c>
      <c r="E355" s="665"/>
    </row>
    <row r="356" spans="1:5" ht="26.25">
      <c r="A356" s="569" t="s">
        <v>927</v>
      </c>
      <c r="B356" s="445" t="s">
        <v>928</v>
      </c>
      <c r="C356" s="456"/>
      <c r="D356" s="658">
        <f>D357</f>
        <v>28000</v>
      </c>
      <c r="E356" s="666"/>
    </row>
    <row r="357" spans="1:5" ht="28.5">
      <c r="A357" s="452" t="s">
        <v>929</v>
      </c>
      <c r="B357" s="445" t="s">
        <v>930</v>
      </c>
      <c r="C357" s="456"/>
      <c r="D357" s="658">
        <f>D358</f>
        <v>28000</v>
      </c>
      <c r="E357" s="666"/>
    </row>
    <row r="358" spans="1:5" ht="28.5">
      <c r="A358" s="454" t="s">
        <v>654</v>
      </c>
      <c r="B358" s="445" t="s">
        <v>930</v>
      </c>
      <c r="C358" s="456" t="s">
        <v>655</v>
      </c>
      <c r="D358" s="658">
        <v>28000</v>
      </c>
      <c r="E358" s="666"/>
    </row>
    <row r="359" spans="1:5" ht="54.75" customHeight="1">
      <c r="A359" s="465" t="s">
        <v>931</v>
      </c>
      <c r="B359" s="445" t="s">
        <v>932</v>
      </c>
      <c r="C359" s="456"/>
      <c r="D359" s="658">
        <f>D360</f>
        <v>5000</v>
      </c>
      <c r="E359" s="666"/>
    </row>
    <row r="360" spans="1:5" ht="43.5" customHeight="1">
      <c r="A360" s="569" t="s">
        <v>933</v>
      </c>
      <c r="B360" s="445" t="s">
        <v>934</v>
      </c>
      <c r="C360" s="456"/>
      <c r="D360" s="658">
        <f>D361</f>
        <v>5000</v>
      </c>
      <c r="E360" s="666"/>
    </row>
    <row r="361" spans="1:5" ht="31.5" customHeight="1">
      <c r="A361" s="454" t="s">
        <v>935</v>
      </c>
      <c r="B361" s="445" t="s">
        <v>936</v>
      </c>
      <c r="C361" s="456"/>
      <c r="D361" s="658">
        <f>D362</f>
        <v>5000</v>
      </c>
      <c r="E361" s="666"/>
    </row>
    <row r="362" spans="1:5" ht="28.5">
      <c r="A362" s="454" t="s">
        <v>654</v>
      </c>
      <c r="B362" s="445" t="s">
        <v>936</v>
      </c>
      <c r="C362" s="456" t="s">
        <v>655</v>
      </c>
      <c r="D362" s="658">
        <v>5000</v>
      </c>
      <c r="E362" s="666"/>
    </row>
    <row r="363" spans="1:5" ht="46.5" customHeight="1">
      <c r="A363" s="490" t="s">
        <v>884</v>
      </c>
      <c r="B363" s="474" t="s">
        <v>885</v>
      </c>
      <c r="C363" s="456"/>
      <c r="D363" s="658">
        <f>D364</f>
        <v>21467750.58</v>
      </c>
      <c r="E363" s="541"/>
    </row>
    <row r="364" spans="1:5" s="461" customFormat="1" ht="60">
      <c r="A364" s="574" t="s">
        <v>964</v>
      </c>
      <c r="B364" s="474" t="s">
        <v>887</v>
      </c>
      <c r="C364" s="456"/>
      <c r="D364" s="658">
        <f>D365+D376</f>
        <v>21467750.58</v>
      </c>
      <c r="E364" s="665"/>
    </row>
    <row r="365" spans="1:5" ht="26.25" customHeight="1">
      <c r="A365" s="502" t="s">
        <v>965</v>
      </c>
      <c r="B365" s="474" t="s">
        <v>966</v>
      </c>
      <c r="C365" s="456"/>
      <c r="D365" s="658">
        <f>D366+D368+D370+D372+D374</f>
        <v>7725425.58</v>
      </c>
      <c r="E365" s="666"/>
    </row>
    <row r="366" spans="1:5" ht="24" customHeight="1">
      <c r="A366" s="475" t="s">
        <v>967</v>
      </c>
      <c r="B366" s="474" t="s">
        <v>968</v>
      </c>
      <c r="C366" s="456"/>
      <c r="D366" s="658">
        <f>D367</f>
        <v>5578897</v>
      </c>
      <c r="E366" s="666"/>
    </row>
    <row r="367" spans="1:5" ht="26.25">
      <c r="A367" s="502" t="s">
        <v>814</v>
      </c>
      <c r="B367" s="474" t="s">
        <v>968</v>
      </c>
      <c r="C367" s="456" t="s">
        <v>815</v>
      </c>
      <c r="D367" s="447">
        <f>1615000-615000-163165+4742062</f>
        <v>5578897</v>
      </c>
      <c r="E367" s="666"/>
    </row>
    <row r="368" spans="1:5" ht="26.25" hidden="1">
      <c r="A368" s="496" t="s">
        <v>969</v>
      </c>
      <c r="B368" s="474" t="s">
        <v>970</v>
      </c>
      <c r="C368" s="456"/>
      <c r="D368" s="658">
        <f>D369</f>
        <v>0</v>
      </c>
      <c r="E368" s="666"/>
    </row>
    <row r="369" spans="1:5" ht="26.25" hidden="1">
      <c r="A369" s="502" t="s">
        <v>814</v>
      </c>
      <c r="B369" s="474" t="s">
        <v>970</v>
      </c>
      <c r="C369" s="456" t="s">
        <v>815</v>
      </c>
      <c r="D369" s="658">
        <f>15000-15000</f>
        <v>0</v>
      </c>
      <c r="E369" s="666"/>
    </row>
    <row r="370" spans="1:5" ht="44.25" customHeight="1">
      <c r="A370" s="452" t="s">
        <v>962</v>
      </c>
      <c r="B370" s="474" t="s">
        <v>975</v>
      </c>
      <c r="C370" s="456"/>
      <c r="D370" s="447">
        <f>D371</f>
        <v>615000</v>
      </c>
      <c r="E370" s="666"/>
    </row>
    <row r="371" spans="1:5" ht="26.25">
      <c r="A371" s="502" t="s">
        <v>814</v>
      </c>
      <c r="B371" s="474" t="s">
        <v>975</v>
      </c>
      <c r="C371" s="456" t="s">
        <v>815</v>
      </c>
      <c r="D371" s="447">
        <f>600000+15000</f>
        <v>615000</v>
      </c>
      <c r="E371" s="666"/>
    </row>
    <row r="372" spans="1:5" ht="38.25">
      <c r="A372" s="496" t="s">
        <v>971</v>
      </c>
      <c r="B372" s="474" t="s">
        <v>972</v>
      </c>
      <c r="C372" s="456"/>
      <c r="D372" s="447">
        <f>D373</f>
        <v>230676.58</v>
      </c>
      <c r="E372" s="666"/>
    </row>
    <row r="373" spans="1:5" ht="26.25">
      <c r="A373" s="502" t="s">
        <v>814</v>
      </c>
      <c r="B373" s="474" t="s">
        <v>972</v>
      </c>
      <c r="C373" s="456" t="s">
        <v>815</v>
      </c>
      <c r="D373" s="447">
        <f>229729.58+947</f>
        <v>230676.58</v>
      </c>
      <c r="E373" s="666"/>
    </row>
    <row r="374" spans="1:5" ht="26.25">
      <c r="A374" s="505" t="s">
        <v>973</v>
      </c>
      <c r="B374" s="474" t="s">
        <v>974</v>
      </c>
      <c r="C374" s="456"/>
      <c r="D374" s="447">
        <f>D375</f>
        <v>1300852</v>
      </c>
      <c r="E374" s="666"/>
    </row>
    <row r="375" spans="1:5" ht="26.25">
      <c r="A375" s="502" t="s">
        <v>814</v>
      </c>
      <c r="B375" s="474" t="s">
        <v>974</v>
      </c>
      <c r="C375" s="456" t="s">
        <v>815</v>
      </c>
      <c r="D375" s="447">
        <f>1300852</f>
        <v>1300852</v>
      </c>
      <c r="E375" s="666"/>
    </row>
    <row r="376" spans="1:5" ht="26.25">
      <c r="A376" s="466" t="s">
        <v>866</v>
      </c>
      <c r="B376" s="482" t="s">
        <v>888</v>
      </c>
      <c r="C376" s="446"/>
      <c r="D376" s="447">
        <f>D377</f>
        <v>13742325</v>
      </c>
      <c r="E376" s="666"/>
    </row>
    <row r="377" spans="1:5" ht="26.25">
      <c r="A377" s="496" t="s">
        <v>889</v>
      </c>
      <c r="B377" s="474" t="s">
        <v>890</v>
      </c>
      <c r="C377" s="446"/>
      <c r="D377" s="447">
        <f>D378</f>
        <v>13742325</v>
      </c>
      <c r="E377" s="666"/>
    </row>
    <row r="378" spans="1:5" ht="27.75" customHeight="1">
      <c r="A378" s="451" t="s">
        <v>870</v>
      </c>
      <c r="B378" s="474" t="s">
        <v>890</v>
      </c>
      <c r="C378" s="446" t="s">
        <v>871</v>
      </c>
      <c r="D378" s="447">
        <f>1569426+12172899</f>
        <v>13742325</v>
      </c>
      <c r="E378" s="666"/>
    </row>
    <row r="379" spans="1:5" ht="29.25" customHeight="1">
      <c r="A379" s="508" t="s">
        <v>1026</v>
      </c>
      <c r="B379" s="445" t="s">
        <v>1027</v>
      </c>
      <c r="C379" s="456"/>
      <c r="D379" s="658">
        <f>D380</f>
        <v>15000</v>
      </c>
      <c r="E379" s="541"/>
    </row>
    <row r="380" spans="1:5" ht="45.75" customHeight="1">
      <c r="A380" s="465" t="s">
        <v>1028</v>
      </c>
      <c r="B380" s="445" t="s">
        <v>1029</v>
      </c>
      <c r="C380" s="456"/>
      <c r="D380" s="658">
        <f>D381</f>
        <v>15000</v>
      </c>
      <c r="E380" s="666"/>
    </row>
    <row r="381" spans="1:5" ht="28.5" customHeight="1">
      <c r="A381" s="496" t="s">
        <v>1030</v>
      </c>
      <c r="B381" s="445" t="s">
        <v>1031</v>
      </c>
      <c r="C381" s="456"/>
      <c r="D381" s="658">
        <f>D382</f>
        <v>15000</v>
      </c>
      <c r="E381" s="666"/>
    </row>
    <row r="382" spans="1:5" ht="20.25" customHeight="1">
      <c r="A382" s="496" t="s">
        <v>1032</v>
      </c>
      <c r="B382" s="445" t="s">
        <v>1033</v>
      </c>
      <c r="C382" s="456"/>
      <c r="D382" s="658">
        <f>D383</f>
        <v>15000</v>
      </c>
      <c r="E382" s="666"/>
    </row>
    <row r="383" spans="1:5" ht="30" customHeight="1">
      <c r="A383" s="571" t="s">
        <v>654</v>
      </c>
      <c r="B383" s="445" t="s">
        <v>1033</v>
      </c>
      <c r="C383" s="446" t="s">
        <v>655</v>
      </c>
      <c r="D383" s="658">
        <v>15000</v>
      </c>
      <c r="E383" s="666"/>
    </row>
    <row r="384" spans="1:5" ht="41.25" customHeight="1">
      <c r="A384" s="480" t="s">
        <v>786</v>
      </c>
      <c r="B384" s="474" t="s">
        <v>787</v>
      </c>
      <c r="C384" s="446"/>
      <c r="D384" s="447">
        <f>D385+D389</f>
        <v>268500</v>
      </c>
      <c r="E384" s="541"/>
    </row>
    <row r="385" spans="1:5" ht="38.25">
      <c r="A385" s="496" t="s">
        <v>788</v>
      </c>
      <c r="B385" s="474" t="s">
        <v>789</v>
      </c>
      <c r="C385" s="446"/>
      <c r="D385" s="447">
        <f>D386</f>
        <v>15000</v>
      </c>
      <c r="E385" s="666"/>
    </row>
    <row r="386" spans="1:5" ht="26.25">
      <c r="A386" s="496" t="s">
        <v>790</v>
      </c>
      <c r="B386" s="474" t="s">
        <v>791</v>
      </c>
      <c r="C386" s="446"/>
      <c r="D386" s="447">
        <f>D387</f>
        <v>15000</v>
      </c>
      <c r="E386" s="666"/>
    </row>
    <row r="387" spans="1:5" ht="28.5">
      <c r="A387" s="454" t="s">
        <v>792</v>
      </c>
      <c r="B387" s="474" t="s">
        <v>793</v>
      </c>
      <c r="C387" s="446"/>
      <c r="D387" s="447">
        <f>D388</f>
        <v>15000</v>
      </c>
      <c r="E387" s="666"/>
    </row>
    <row r="388" spans="1:5" ht="26.25">
      <c r="A388" s="454" t="s">
        <v>654</v>
      </c>
      <c r="B388" s="474" t="s">
        <v>793</v>
      </c>
      <c r="C388" s="446" t="s">
        <v>655</v>
      </c>
      <c r="D388" s="447">
        <v>15000</v>
      </c>
      <c r="E388" s="667"/>
    </row>
    <row r="389" spans="1:5" ht="57.75" customHeight="1">
      <c r="A389" s="496" t="s">
        <v>794</v>
      </c>
      <c r="B389" s="474" t="s">
        <v>795</v>
      </c>
      <c r="C389" s="446"/>
      <c r="D389" s="447">
        <f>D390</f>
        <v>253500</v>
      </c>
      <c r="E389" s="666"/>
    </row>
    <row r="390" spans="1:5" ht="19.5" customHeight="1">
      <c r="A390" s="496" t="s">
        <v>796</v>
      </c>
      <c r="B390" s="474" t="s">
        <v>797</v>
      </c>
      <c r="C390" s="446"/>
      <c r="D390" s="447">
        <f>D391</f>
        <v>253500</v>
      </c>
      <c r="E390" s="666"/>
    </row>
    <row r="391" spans="1:5" ht="26.25">
      <c r="A391" s="496" t="s">
        <v>756</v>
      </c>
      <c r="B391" s="474" t="s">
        <v>798</v>
      </c>
      <c r="C391" s="446"/>
      <c r="D391" s="447">
        <f>D392</f>
        <v>253500</v>
      </c>
      <c r="E391" s="666"/>
    </row>
    <row r="392" spans="1:5" ht="26.25">
      <c r="A392" s="454" t="s">
        <v>654</v>
      </c>
      <c r="B392" s="474" t="s">
        <v>798</v>
      </c>
      <c r="C392" s="446" t="s">
        <v>655</v>
      </c>
      <c r="D392" s="447">
        <f>181500+72000</f>
        <v>253500</v>
      </c>
      <c r="E392" s="667"/>
    </row>
    <row r="393" spans="1:5" ht="33" customHeight="1">
      <c r="A393" s="454" t="s">
        <v>1209</v>
      </c>
      <c r="B393" s="474" t="s">
        <v>800</v>
      </c>
      <c r="C393" s="481"/>
      <c r="D393" s="658">
        <f>D394</f>
        <v>2746541</v>
      </c>
      <c r="E393" s="541"/>
    </row>
    <row r="394" spans="1:4" s="461" customFormat="1" ht="61.5" customHeight="1">
      <c r="A394" s="454" t="s">
        <v>801</v>
      </c>
      <c r="B394" s="474" t="s">
        <v>802</v>
      </c>
      <c r="C394" s="481"/>
      <c r="D394" s="658">
        <f>D396</f>
        <v>2746541</v>
      </c>
    </row>
    <row r="395" spans="1:4" s="461" customFormat="1" ht="60" customHeight="1">
      <c r="A395" s="484" t="s">
        <v>803</v>
      </c>
      <c r="B395" s="474" t="s">
        <v>804</v>
      </c>
      <c r="C395" s="481"/>
      <c r="D395" s="658">
        <f>D396</f>
        <v>2746541</v>
      </c>
    </row>
    <row r="396" spans="1:4" s="461" customFormat="1" ht="36.75" customHeight="1">
      <c r="A396" s="452" t="s">
        <v>805</v>
      </c>
      <c r="B396" s="474" t="s">
        <v>806</v>
      </c>
      <c r="C396" s="481"/>
      <c r="D396" s="658">
        <f>D397+D398</f>
        <v>2746541</v>
      </c>
    </row>
    <row r="397" spans="1:4" ht="39">
      <c r="A397" s="454" t="s">
        <v>642</v>
      </c>
      <c r="B397" s="474" t="s">
        <v>806</v>
      </c>
      <c r="C397" s="481" t="s">
        <v>643</v>
      </c>
      <c r="D397" s="447">
        <v>765394</v>
      </c>
    </row>
    <row r="398" spans="1:4" ht="26.25">
      <c r="A398" s="454" t="s">
        <v>654</v>
      </c>
      <c r="B398" s="474" t="s">
        <v>806</v>
      </c>
      <c r="C398" s="481" t="s">
        <v>655</v>
      </c>
      <c r="D398" s="447">
        <v>1981147</v>
      </c>
    </row>
    <row r="399" spans="1:5" ht="15.75">
      <c r="A399" s="454" t="s">
        <v>636</v>
      </c>
      <c r="B399" s="455" t="s">
        <v>637</v>
      </c>
      <c r="C399" s="446"/>
      <c r="D399" s="655">
        <f>D400</f>
        <v>1537000</v>
      </c>
      <c r="E399" s="453"/>
    </row>
    <row r="400" spans="1:5" s="461" customFormat="1" ht="15.75">
      <c r="A400" s="451" t="s">
        <v>638</v>
      </c>
      <c r="B400" s="455" t="s">
        <v>639</v>
      </c>
      <c r="C400" s="446"/>
      <c r="D400" s="655">
        <f>D401</f>
        <v>1537000</v>
      </c>
      <c r="E400" s="659"/>
    </row>
    <row r="401" spans="1:5" ht="26.25">
      <c r="A401" s="452" t="s">
        <v>640</v>
      </c>
      <c r="B401" s="455" t="s">
        <v>641</v>
      </c>
      <c r="C401" s="446"/>
      <c r="D401" s="655">
        <f>D402</f>
        <v>1537000</v>
      </c>
      <c r="E401" s="657"/>
    </row>
    <row r="402" spans="1:5" ht="39">
      <c r="A402" s="454" t="s">
        <v>642</v>
      </c>
      <c r="B402" s="455" t="s">
        <v>641</v>
      </c>
      <c r="C402" s="456" t="s">
        <v>643</v>
      </c>
      <c r="D402" s="447">
        <v>1537000</v>
      </c>
      <c r="E402" s="657"/>
    </row>
    <row r="403" spans="1:5" ht="15" customHeight="1">
      <c r="A403" s="454" t="s">
        <v>691</v>
      </c>
      <c r="B403" s="445" t="s">
        <v>692</v>
      </c>
      <c r="C403" s="446"/>
      <c r="D403" s="658">
        <f>D404</f>
        <v>16353600</v>
      </c>
      <c r="E403" s="657"/>
    </row>
    <row r="404" spans="1:5" s="461" customFormat="1" ht="15.75" customHeight="1">
      <c r="A404" s="452" t="s">
        <v>693</v>
      </c>
      <c r="B404" s="445" t="s">
        <v>694</v>
      </c>
      <c r="C404" s="446"/>
      <c r="D404" s="658">
        <f>D408+D405</f>
        <v>16353600</v>
      </c>
      <c r="E404" s="659"/>
    </row>
    <row r="405" spans="1:5" ht="27.75" customHeight="1">
      <c r="A405" s="473" t="s">
        <v>807</v>
      </c>
      <c r="B405" s="445" t="s">
        <v>808</v>
      </c>
      <c r="C405" s="481"/>
      <c r="D405" s="447">
        <f>D406+D407</f>
        <v>290000</v>
      </c>
      <c r="E405" s="657"/>
    </row>
    <row r="406" spans="1:5" ht="39">
      <c r="A406" s="454" t="s">
        <v>642</v>
      </c>
      <c r="B406" s="445" t="s">
        <v>808</v>
      </c>
      <c r="C406" s="481" t="s">
        <v>643</v>
      </c>
      <c r="D406" s="447">
        <f>168970+51030</f>
        <v>220000</v>
      </c>
      <c r="E406" s="657"/>
    </row>
    <row r="407" spans="1:5" ht="26.25">
      <c r="A407" s="454" t="s">
        <v>654</v>
      </c>
      <c r="B407" s="445" t="s">
        <v>808</v>
      </c>
      <c r="C407" s="481" t="s">
        <v>655</v>
      </c>
      <c r="D407" s="447">
        <f>40000+30000</f>
        <v>70000</v>
      </c>
      <c r="E407" s="657"/>
    </row>
    <row r="408" spans="1:5" ht="27.75" customHeight="1">
      <c r="A408" s="452" t="s">
        <v>640</v>
      </c>
      <c r="B408" s="445" t="s">
        <v>695</v>
      </c>
      <c r="C408" s="446"/>
      <c r="D408" s="658">
        <f>D409+D410+D411</f>
        <v>16063600</v>
      </c>
      <c r="E408" s="657"/>
    </row>
    <row r="409" spans="1:5" ht="39">
      <c r="A409" s="454" t="s">
        <v>642</v>
      </c>
      <c r="B409" s="445" t="s">
        <v>695</v>
      </c>
      <c r="C409" s="456" t="s">
        <v>643</v>
      </c>
      <c r="D409" s="447">
        <v>15918200</v>
      </c>
      <c r="E409" s="657"/>
    </row>
    <row r="410" spans="1:5" ht="26.25">
      <c r="A410" s="454" t="s">
        <v>654</v>
      </c>
      <c r="B410" s="445" t="s">
        <v>695</v>
      </c>
      <c r="C410" s="456" t="s">
        <v>655</v>
      </c>
      <c r="D410" s="467">
        <v>58500</v>
      </c>
      <c r="E410" s="657"/>
    </row>
    <row r="411" spans="1:5" ht="15">
      <c r="A411" s="466" t="s">
        <v>696</v>
      </c>
      <c r="B411" s="445" t="s">
        <v>695</v>
      </c>
      <c r="C411" s="456" t="s">
        <v>697</v>
      </c>
      <c r="D411" s="447">
        <f>80900+6000</f>
        <v>86900</v>
      </c>
      <c r="E411" s="657"/>
    </row>
    <row r="412" spans="1:5" ht="26.25">
      <c r="A412" s="469" t="s">
        <v>715</v>
      </c>
      <c r="B412" s="470" t="s">
        <v>716</v>
      </c>
      <c r="C412" s="456"/>
      <c r="D412" s="658">
        <f>D413</f>
        <v>559000</v>
      </c>
      <c r="E412" s="657"/>
    </row>
    <row r="413" spans="1:5" s="461" customFormat="1" ht="17.25" customHeight="1">
      <c r="A413" s="469" t="s">
        <v>717</v>
      </c>
      <c r="B413" s="470" t="s">
        <v>718</v>
      </c>
      <c r="C413" s="456"/>
      <c r="D413" s="658">
        <f>D414</f>
        <v>559000</v>
      </c>
      <c r="E413" s="659"/>
    </row>
    <row r="414" spans="1:5" ht="26.25">
      <c r="A414" s="452" t="s">
        <v>640</v>
      </c>
      <c r="B414" s="470" t="s">
        <v>719</v>
      </c>
      <c r="C414" s="446"/>
      <c r="D414" s="658">
        <f>D415+D416+D417</f>
        <v>559000</v>
      </c>
      <c r="E414" s="657"/>
    </row>
    <row r="415" spans="1:5" ht="37.5" customHeight="1">
      <c r="A415" s="454" t="s">
        <v>642</v>
      </c>
      <c r="B415" s="470" t="s">
        <v>719</v>
      </c>
      <c r="C415" s="456" t="s">
        <v>643</v>
      </c>
      <c r="D415" s="447">
        <v>559000</v>
      </c>
      <c r="E415" s="657"/>
    </row>
    <row r="416" spans="1:5" ht="15" hidden="1">
      <c r="A416" s="454" t="s">
        <v>704</v>
      </c>
      <c r="B416" s="470" t="s">
        <v>719</v>
      </c>
      <c r="C416" s="456" t="s">
        <v>655</v>
      </c>
      <c r="D416" s="447"/>
      <c r="E416" s="657"/>
    </row>
    <row r="417" spans="1:5" ht="15" hidden="1">
      <c r="A417" s="466" t="s">
        <v>696</v>
      </c>
      <c r="B417" s="470" t="s">
        <v>719</v>
      </c>
      <c r="C417" s="456" t="s">
        <v>697</v>
      </c>
      <c r="D417" s="658"/>
      <c r="E417" s="657"/>
    </row>
    <row r="418" spans="1:5" ht="28.5" customHeight="1">
      <c r="A418" s="454" t="s">
        <v>646</v>
      </c>
      <c r="B418" s="455" t="s">
        <v>647</v>
      </c>
      <c r="C418" s="446"/>
      <c r="D418" s="658">
        <f>D419+D422</f>
        <v>1967800</v>
      </c>
      <c r="E418" s="453"/>
    </row>
    <row r="419" spans="1:4" s="461" customFormat="1" ht="19.5" customHeight="1">
      <c r="A419" s="451" t="s">
        <v>648</v>
      </c>
      <c r="B419" s="455" t="s">
        <v>649</v>
      </c>
      <c r="C419" s="446"/>
      <c r="D419" s="658">
        <f>D420</f>
        <v>880000</v>
      </c>
    </row>
    <row r="420" spans="1:4" ht="30.75" customHeight="1">
      <c r="A420" s="452" t="s">
        <v>640</v>
      </c>
      <c r="B420" s="455" t="s">
        <v>650</v>
      </c>
      <c r="C420" s="456"/>
      <c r="D420" s="658">
        <f>D421</f>
        <v>880000</v>
      </c>
    </row>
    <row r="421" spans="1:4" ht="39.75" customHeight="1">
      <c r="A421" s="454" t="s">
        <v>642</v>
      </c>
      <c r="B421" s="455" t="s">
        <v>650</v>
      </c>
      <c r="C421" s="456" t="s">
        <v>643</v>
      </c>
      <c r="D421" s="447">
        <v>880000</v>
      </c>
    </row>
    <row r="422" spans="1:5" s="461" customFormat="1" ht="15.75" customHeight="1">
      <c r="A422" s="451" t="s">
        <v>651</v>
      </c>
      <c r="B422" s="455" t="s">
        <v>652</v>
      </c>
      <c r="C422" s="456"/>
      <c r="D422" s="658">
        <f>D423</f>
        <v>1087800</v>
      </c>
      <c r="E422" s="659"/>
    </row>
    <row r="423" spans="1:5" ht="28.5" customHeight="1">
      <c r="A423" s="452" t="s">
        <v>640</v>
      </c>
      <c r="B423" s="455" t="s">
        <v>653</v>
      </c>
      <c r="C423" s="456"/>
      <c r="D423" s="658">
        <f>D424+D425+D426</f>
        <v>1087800</v>
      </c>
      <c r="E423" s="657"/>
    </row>
    <row r="424" spans="1:5" ht="39">
      <c r="A424" s="454" t="s">
        <v>642</v>
      </c>
      <c r="B424" s="455" t="s">
        <v>653</v>
      </c>
      <c r="C424" s="456" t="s">
        <v>643</v>
      </c>
      <c r="D424" s="447">
        <v>1062800</v>
      </c>
      <c r="E424" s="657"/>
    </row>
    <row r="425" spans="1:5" ht="15">
      <c r="A425" s="454" t="s">
        <v>704</v>
      </c>
      <c r="B425" s="455" t="s">
        <v>653</v>
      </c>
      <c r="C425" s="456" t="s">
        <v>655</v>
      </c>
      <c r="D425" s="447">
        <f>10000+15000</f>
        <v>25000</v>
      </c>
      <c r="E425" s="657"/>
    </row>
    <row r="426" spans="1:5" ht="15" hidden="1">
      <c r="A426" s="466" t="s">
        <v>696</v>
      </c>
      <c r="B426" s="455" t="s">
        <v>653</v>
      </c>
      <c r="C426" s="456" t="s">
        <v>697</v>
      </c>
      <c r="D426" s="658"/>
      <c r="E426" s="657"/>
    </row>
    <row r="427" spans="1:5" ht="26.25" customHeight="1">
      <c r="A427" s="454" t="s">
        <v>809</v>
      </c>
      <c r="B427" s="455" t="s">
        <v>810</v>
      </c>
      <c r="C427" s="481"/>
      <c r="D427" s="658">
        <f>D428</f>
        <v>2976707.56</v>
      </c>
      <c r="E427" s="657"/>
    </row>
    <row r="428" spans="1:5" s="461" customFormat="1" ht="17.25" customHeight="1">
      <c r="A428" s="454" t="s">
        <v>811</v>
      </c>
      <c r="B428" s="455" t="s">
        <v>812</v>
      </c>
      <c r="C428" s="481"/>
      <c r="D428" s="658">
        <f>D429</f>
        <v>2976707.56</v>
      </c>
      <c r="E428" s="659"/>
    </row>
    <row r="429" spans="1:5" ht="17.25" customHeight="1">
      <c r="A429" s="451" t="s">
        <v>756</v>
      </c>
      <c r="B429" s="455" t="s">
        <v>813</v>
      </c>
      <c r="C429" s="481"/>
      <c r="D429" s="658">
        <f>D430+D432+D431</f>
        <v>2976707.56</v>
      </c>
      <c r="E429" s="657"/>
    </row>
    <row r="430" spans="1:4" ht="16.5" customHeight="1">
      <c r="A430" s="454" t="s">
        <v>704</v>
      </c>
      <c r="B430" s="455" t="s">
        <v>813</v>
      </c>
      <c r="C430" s="481" t="s">
        <v>655</v>
      </c>
      <c r="D430" s="447">
        <f>10000.24+50000</f>
        <v>60000.24</v>
      </c>
    </row>
    <row r="431" spans="1:4" ht="16.5" customHeight="1">
      <c r="A431" s="502" t="s">
        <v>814</v>
      </c>
      <c r="B431" s="455" t="s">
        <v>813</v>
      </c>
      <c r="C431" s="481" t="s">
        <v>815</v>
      </c>
      <c r="D431" s="447">
        <v>220000</v>
      </c>
    </row>
    <row r="432" spans="1:4" ht="17.25" customHeight="1">
      <c r="A432" s="466" t="s">
        <v>696</v>
      </c>
      <c r="B432" s="455" t="s">
        <v>813</v>
      </c>
      <c r="C432" s="481" t="s">
        <v>697</v>
      </c>
      <c r="D432" s="447">
        <f>167900+67000+3521200-105748.68-68550-50947-2963820-177600+30000+2277273</f>
        <v>2696707.32</v>
      </c>
    </row>
    <row r="433" spans="1:7" ht="18.75" customHeight="1">
      <c r="A433" s="451" t="s">
        <v>698</v>
      </c>
      <c r="B433" s="470" t="s">
        <v>699</v>
      </c>
      <c r="C433" s="456"/>
      <c r="D433" s="655">
        <f>D434+D438+D457</f>
        <v>23646676</v>
      </c>
      <c r="E433" s="453"/>
      <c r="F433" s="657"/>
      <c r="G433" s="657"/>
    </row>
    <row r="434" spans="1:6" s="461" customFormat="1" ht="30" customHeight="1">
      <c r="A434" s="465" t="s">
        <v>700</v>
      </c>
      <c r="B434" s="445" t="s">
        <v>701</v>
      </c>
      <c r="C434" s="446"/>
      <c r="D434" s="655">
        <f>D435</f>
        <v>292200</v>
      </c>
      <c r="F434" s="659"/>
    </row>
    <row r="435" spans="1:6" ht="26.25">
      <c r="A435" s="452" t="s">
        <v>702</v>
      </c>
      <c r="B435" s="445" t="s">
        <v>703</v>
      </c>
      <c r="C435" s="446"/>
      <c r="D435" s="658">
        <f>D436+D437</f>
        <v>292200</v>
      </c>
      <c r="F435" s="657"/>
    </row>
    <row r="436" spans="1:6" ht="38.25" customHeight="1">
      <c r="A436" s="454" t="s">
        <v>642</v>
      </c>
      <c r="B436" s="445" t="s">
        <v>703</v>
      </c>
      <c r="C436" s="456" t="s">
        <v>643</v>
      </c>
      <c r="D436" s="447">
        <f>208320+62913+20967</f>
        <v>292200</v>
      </c>
      <c r="F436" s="657"/>
    </row>
    <row r="437" spans="1:6" ht="15" hidden="1">
      <c r="A437" s="454" t="s">
        <v>704</v>
      </c>
      <c r="B437" s="445" t="s">
        <v>703</v>
      </c>
      <c r="C437" s="456" t="s">
        <v>655</v>
      </c>
      <c r="D437" s="447">
        <f>20967-20967</f>
        <v>0</v>
      </c>
      <c r="F437" s="657"/>
    </row>
    <row r="438" spans="1:6" ht="18" customHeight="1">
      <c r="A438" s="454" t="s">
        <v>705</v>
      </c>
      <c r="B438" s="445" t="s">
        <v>706</v>
      </c>
      <c r="C438" s="456"/>
      <c r="D438" s="658">
        <f>D439+D441+D443+D445+D447+D451+D455+D453</f>
        <v>23354476</v>
      </c>
      <c r="F438" s="657"/>
    </row>
    <row r="439" spans="1:6" ht="36.75" customHeight="1">
      <c r="A439" s="468" t="s">
        <v>1116</v>
      </c>
      <c r="B439" s="445" t="s">
        <v>1117</v>
      </c>
      <c r="C439" s="446"/>
      <c r="D439" s="658">
        <f>D440</f>
        <v>280884</v>
      </c>
      <c r="F439" s="657"/>
    </row>
    <row r="440" spans="1:6" ht="26.25" customHeight="1">
      <c r="A440" s="454" t="s">
        <v>654</v>
      </c>
      <c r="B440" s="445" t="s">
        <v>1117</v>
      </c>
      <c r="C440" s="456" t="s">
        <v>655</v>
      </c>
      <c r="D440" s="447">
        <f>5758+275126</f>
        <v>280884</v>
      </c>
      <c r="F440" s="657"/>
    </row>
    <row r="441" spans="1:6" ht="44.25" customHeight="1">
      <c r="A441" s="468" t="s">
        <v>707</v>
      </c>
      <c r="B441" s="445" t="s">
        <v>708</v>
      </c>
      <c r="C441" s="446"/>
      <c r="D441" s="658">
        <f>D442</f>
        <v>29220</v>
      </c>
      <c r="F441" s="657"/>
    </row>
    <row r="442" spans="1:6" ht="24.75" customHeight="1">
      <c r="A442" s="454" t="s">
        <v>654</v>
      </c>
      <c r="B442" s="445" t="s">
        <v>708</v>
      </c>
      <c r="C442" s="456" t="s">
        <v>643</v>
      </c>
      <c r="D442" s="447">
        <f>22442+6778</f>
        <v>29220</v>
      </c>
      <c r="F442" s="657"/>
    </row>
    <row r="443" spans="1:6" ht="39" hidden="1">
      <c r="A443" s="556" t="s">
        <v>711</v>
      </c>
      <c r="B443" s="445" t="s">
        <v>712</v>
      </c>
      <c r="C443" s="456"/>
      <c r="D443" s="658">
        <f>D444</f>
        <v>0</v>
      </c>
      <c r="F443" s="657"/>
    </row>
    <row r="444" spans="1:6" ht="19.5" customHeight="1" hidden="1">
      <c r="A444" s="454" t="s">
        <v>704</v>
      </c>
      <c r="B444" s="445" t="s">
        <v>712</v>
      </c>
      <c r="C444" s="456" t="s">
        <v>655</v>
      </c>
      <c r="D444" s="658"/>
      <c r="F444" s="657"/>
    </row>
    <row r="445" spans="1:6" ht="3" customHeight="1" hidden="1">
      <c r="A445" s="466" t="s">
        <v>1314</v>
      </c>
      <c r="B445" s="445" t="s">
        <v>1315</v>
      </c>
      <c r="C445" s="446"/>
      <c r="D445" s="658"/>
      <c r="F445" s="657"/>
    </row>
    <row r="446" spans="1:6" ht="26.25" hidden="1">
      <c r="A446" s="454" t="s">
        <v>654</v>
      </c>
      <c r="B446" s="445" t="s">
        <v>1315</v>
      </c>
      <c r="C446" s="456" t="s">
        <v>655</v>
      </c>
      <c r="D446" s="658"/>
      <c r="F446" s="657"/>
    </row>
    <row r="447" spans="1:5" ht="25.5">
      <c r="A447" s="466" t="s">
        <v>816</v>
      </c>
      <c r="B447" s="445" t="s">
        <v>817</v>
      </c>
      <c r="C447" s="446"/>
      <c r="D447" s="658">
        <f>D448+D449+D450</f>
        <v>22469052</v>
      </c>
      <c r="E447" s="657"/>
    </row>
    <row r="448" spans="1:5" ht="39">
      <c r="A448" s="454" t="s">
        <v>642</v>
      </c>
      <c r="B448" s="445" t="s">
        <v>817</v>
      </c>
      <c r="C448" s="456" t="s">
        <v>643</v>
      </c>
      <c r="D448" s="447">
        <v>5520500</v>
      </c>
      <c r="E448" s="657"/>
    </row>
    <row r="449" spans="1:5" ht="26.25">
      <c r="A449" s="454" t="s">
        <v>654</v>
      </c>
      <c r="B449" s="445" t="s">
        <v>817</v>
      </c>
      <c r="C449" s="456" t="s">
        <v>655</v>
      </c>
      <c r="D449" s="447">
        <f>11758350+102950+1487928+3551072</f>
        <v>16900300</v>
      </c>
      <c r="E449" s="657"/>
    </row>
    <row r="450" spans="1:5" ht="15">
      <c r="A450" s="466" t="s">
        <v>696</v>
      </c>
      <c r="B450" s="445" t="s">
        <v>817</v>
      </c>
      <c r="C450" s="456" t="s">
        <v>697</v>
      </c>
      <c r="D450" s="447">
        <f>38927+9325</f>
        <v>48252</v>
      </c>
      <c r="E450" s="657"/>
    </row>
    <row r="451" spans="1:5" ht="15">
      <c r="A451" s="490" t="s">
        <v>818</v>
      </c>
      <c r="B451" s="445" t="s">
        <v>819</v>
      </c>
      <c r="C451" s="456"/>
      <c r="D451" s="658">
        <f>D452</f>
        <v>100000</v>
      </c>
      <c r="E451" s="657"/>
    </row>
    <row r="452" spans="1:5" ht="25.5" customHeight="1">
      <c r="A452" s="454" t="s">
        <v>654</v>
      </c>
      <c r="B452" s="445" t="s">
        <v>819</v>
      </c>
      <c r="C452" s="456" t="s">
        <v>655</v>
      </c>
      <c r="D452" s="658">
        <v>100000</v>
      </c>
      <c r="E452" s="657"/>
    </row>
    <row r="453" spans="1:5" ht="25.5" customHeight="1">
      <c r="A453" s="451" t="s">
        <v>978</v>
      </c>
      <c r="B453" s="445" t="s">
        <v>979</v>
      </c>
      <c r="C453" s="456"/>
      <c r="D453" s="658">
        <f>D454</f>
        <v>300000</v>
      </c>
      <c r="E453" s="657"/>
    </row>
    <row r="454" spans="1:5" ht="25.5" customHeight="1">
      <c r="A454" s="454" t="s">
        <v>654</v>
      </c>
      <c r="B454" s="445" t="s">
        <v>979</v>
      </c>
      <c r="C454" s="456" t="s">
        <v>655</v>
      </c>
      <c r="D454" s="658">
        <v>300000</v>
      </c>
      <c r="E454" s="657"/>
    </row>
    <row r="455" spans="1:5" ht="26.25">
      <c r="A455" s="454" t="s">
        <v>820</v>
      </c>
      <c r="B455" s="445" t="s">
        <v>821</v>
      </c>
      <c r="C455" s="456"/>
      <c r="D455" s="658">
        <f>D456</f>
        <v>175320</v>
      </c>
      <c r="E455" s="657"/>
    </row>
    <row r="456" spans="1:5" ht="14.25" customHeight="1">
      <c r="A456" s="454" t="s">
        <v>814</v>
      </c>
      <c r="B456" s="445" t="s">
        <v>821</v>
      </c>
      <c r="C456" s="456" t="s">
        <v>815</v>
      </c>
      <c r="D456" s="447">
        <f>175320</f>
        <v>175320</v>
      </c>
      <c r="E456" s="657"/>
    </row>
    <row r="457" spans="1:5" s="461" customFormat="1" ht="15.75" hidden="1">
      <c r="A457" s="668" t="s">
        <v>722</v>
      </c>
      <c r="B457" s="587" t="s">
        <v>723</v>
      </c>
      <c r="C457" s="588"/>
      <c r="D457" s="669">
        <f>D458</f>
        <v>0</v>
      </c>
      <c r="E457" s="659"/>
    </row>
    <row r="458" spans="1:5" ht="15.75" hidden="1">
      <c r="A458" s="451" t="s">
        <v>724</v>
      </c>
      <c r="B458" s="445" t="s">
        <v>1316</v>
      </c>
      <c r="C458" s="446"/>
      <c r="D458" s="655">
        <f>D459</f>
        <v>0</v>
      </c>
      <c r="E458" s="657"/>
    </row>
    <row r="459" spans="1:5" ht="15.75" hidden="1">
      <c r="A459" s="454" t="s">
        <v>704</v>
      </c>
      <c r="B459" s="445" t="s">
        <v>1316</v>
      </c>
      <c r="C459" s="446" t="s">
        <v>697</v>
      </c>
      <c r="D459" s="655"/>
      <c r="E459" s="657"/>
    </row>
    <row r="460" spans="1:5" ht="15">
      <c r="A460" s="454" t="s">
        <v>728</v>
      </c>
      <c r="B460" s="455" t="s">
        <v>729</v>
      </c>
      <c r="C460" s="472" t="s">
        <v>730</v>
      </c>
      <c r="D460" s="658">
        <f>D461</f>
        <v>50000</v>
      </c>
      <c r="E460" s="657"/>
    </row>
    <row r="461" spans="1:4" s="461" customFormat="1" ht="15">
      <c r="A461" s="454" t="s">
        <v>726</v>
      </c>
      <c r="B461" s="455" t="s">
        <v>731</v>
      </c>
      <c r="C461" s="472" t="s">
        <v>730</v>
      </c>
      <c r="D461" s="658">
        <f>D462</f>
        <v>50000</v>
      </c>
    </row>
    <row r="462" spans="1:4" ht="15">
      <c r="A462" s="452" t="s">
        <v>732</v>
      </c>
      <c r="B462" s="455" t="s">
        <v>733</v>
      </c>
      <c r="C462" s="472" t="s">
        <v>730</v>
      </c>
      <c r="D462" s="658">
        <f>D463</f>
        <v>50000</v>
      </c>
    </row>
    <row r="463" spans="1:4" ht="15.75" customHeight="1">
      <c r="A463" s="454" t="s">
        <v>696</v>
      </c>
      <c r="B463" s="455" t="s">
        <v>733</v>
      </c>
      <c r="C463" s="472" t="s">
        <v>697</v>
      </c>
      <c r="D463" s="658">
        <v>50000</v>
      </c>
    </row>
    <row r="464" spans="1:4" ht="15" hidden="1">
      <c r="A464" s="670" t="s">
        <v>1069</v>
      </c>
      <c r="B464" s="671" t="s">
        <v>1081</v>
      </c>
      <c r="C464" s="672"/>
      <c r="D464" s="664">
        <f>D465</f>
        <v>0</v>
      </c>
    </row>
    <row r="465" spans="1:4" ht="25.5" hidden="1">
      <c r="A465" s="567" t="s">
        <v>1082</v>
      </c>
      <c r="B465" s="455" t="s">
        <v>1083</v>
      </c>
      <c r="C465" s="672"/>
      <c r="D465" s="664">
        <f>D466</f>
        <v>0</v>
      </c>
    </row>
    <row r="466" spans="1:4" ht="15" hidden="1">
      <c r="A466" s="567" t="s">
        <v>1084</v>
      </c>
      <c r="B466" s="455" t="s">
        <v>1085</v>
      </c>
      <c r="C466" s="672"/>
      <c r="D466" s="664">
        <f>D467</f>
        <v>0</v>
      </c>
    </row>
    <row r="467" spans="1:4" ht="26.25" hidden="1">
      <c r="A467" s="454" t="s">
        <v>654</v>
      </c>
      <c r="B467" s="455" t="s">
        <v>1317</v>
      </c>
      <c r="C467" s="672">
        <v>200</v>
      </c>
      <c r="D467" s="664"/>
    </row>
    <row r="468" spans="1:4" ht="15.75">
      <c r="A468" s="670" t="s">
        <v>822</v>
      </c>
      <c r="B468" s="673" t="s">
        <v>823</v>
      </c>
      <c r="C468" s="674"/>
      <c r="D468" s="669">
        <f>D469</f>
        <v>30000</v>
      </c>
    </row>
    <row r="469" spans="1:4" s="461" customFormat="1" ht="15.75">
      <c r="A469" s="454" t="s">
        <v>726</v>
      </c>
      <c r="B469" s="470" t="s">
        <v>824</v>
      </c>
      <c r="C469" s="456"/>
      <c r="D469" s="655">
        <f>D470</f>
        <v>30000</v>
      </c>
    </row>
    <row r="470" spans="1:5" ht="15.75">
      <c r="A470" s="454" t="s">
        <v>825</v>
      </c>
      <c r="B470" s="470" t="s">
        <v>826</v>
      </c>
      <c r="C470" s="456"/>
      <c r="D470" s="655">
        <f>D471</f>
        <v>30000</v>
      </c>
      <c r="E470" s="675"/>
    </row>
    <row r="471" spans="1:4" ht="16.5" thickBot="1">
      <c r="A471" s="676" t="s">
        <v>827</v>
      </c>
      <c r="B471" s="677" t="s">
        <v>826</v>
      </c>
      <c r="C471" s="678" t="s">
        <v>828</v>
      </c>
      <c r="D471" s="679">
        <f>30000</f>
        <v>30000</v>
      </c>
    </row>
    <row r="472" spans="1:3" ht="15.75">
      <c r="A472" s="415"/>
      <c r="B472" s="680"/>
      <c r="C472" s="413"/>
    </row>
    <row r="473" spans="1:5" ht="15.75">
      <c r="A473" s="415"/>
      <c r="B473" s="680"/>
      <c r="C473" s="413"/>
      <c r="E473" s="657"/>
    </row>
    <row r="474" spans="1:3" ht="15.75">
      <c r="A474" s="415"/>
      <c r="B474" s="680"/>
      <c r="C474" s="413"/>
    </row>
    <row r="475" spans="1:5" ht="15.75">
      <c r="A475" s="415"/>
      <c r="B475" s="680"/>
      <c r="C475" s="413"/>
      <c r="E475" s="657"/>
    </row>
  </sheetData>
  <sheetProtection/>
  <mergeCells count="8">
    <mergeCell ref="B5:D5"/>
    <mergeCell ref="B6:D6"/>
    <mergeCell ref="A8:D8"/>
    <mergeCell ref="F8:K8"/>
    <mergeCell ref="A10:A11"/>
    <mergeCell ref="B10:B11"/>
    <mergeCell ref="C10:C11"/>
    <mergeCell ref="D10:D11"/>
  </mergeCells>
  <hyperlinks>
    <hyperlink ref="A206" r:id="rId1" display="consultantplus://offline/ref=C6EF3AE28B6C46D1117CBBA251A07B11C6C7C5768D67668B05322DA1BBA42282C9440EEF08E6CC43410E37U6VAM"/>
    <hyperlink ref="A199" r:id="rId2" display="consultantplus://offline/ref=C6EF3AE28B6C46D1117CBBA251A07B11C6C7C5768D606C8B0E322DA1BBA42282C9440EEF08E6CC43400230U6VFM"/>
  </hyperlinks>
  <printOptions/>
  <pageMargins left="0.7086614173228347" right="0.29" top="0.46" bottom="0.37" header="0.31496062992125984" footer="0.31496062992125984"/>
  <pageSetup horizontalDpi="600" verticalDpi="600" orientation="portrait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44</cp:lastModifiedBy>
  <cp:lastPrinted>2019-05-28T13:43:00Z</cp:lastPrinted>
  <dcterms:created xsi:type="dcterms:W3CDTF">2010-11-11T11:56:17Z</dcterms:created>
  <dcterms:modified xsi:type="dcterms:W3CDTF">2019-05-28T13:43:05Z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