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95" windowWidth="14955" windowHeight="8325" activeTab="4"/>
  </bookViews>
  <sheets>
    <sheet name="№1" sheetId="1" r:id="rId1"/>
    <sheet name=" прил 2 ВСР" sheetId="2" r:id="rId2"/>
    <sheet name="прил 3" sheetId="3" r:id="rId3"/>
    <sheet name="Пр.№4" sheetId="4" r:id="rId4"/>
    <sheet name="прил 5 прогр" sheetId="5" r:id="rId5"/>
  </sheets>
  <definedNames>
    <definedName name="_xlnm.Print_Area" localSheetId="1">' прил 2 ВСР'!$A$1:$J$583</definedName>
    <definedName name="_xlnm.Print_Area" localSheetId="2">'прил 3'!$A$1:$D$48</definedName>
    <definedName name="_xlnm.Print_Area" localSheetId="4">'прил 5 прогр'!$A$1:$E$472</definedName>
  </definedNames>
  <calcPr fullCalcOnLoad="1"/>
</workbook>
</file>

<file path=xl/sharedStrings.xml><?xml version="1.0" encoding="utf-8"?>
<sst xmlns="http://schemas.openxmlformats.org/spreadsheetml/2006/main" count="4669" uniqueCount="1117">
  <si>
    <t>Основное мероприятие "Социальная поддержка работников организаций дополнительного образования"</t>
  </si>
  <si>
    <t>03 2 05 13070</t>
  </si>
  <si>
    <t>Основное мероприятие "Повышение правового сознания и предупреждение опасного поведения участников дорожного движения"</t>
  </si>
  <si>
    <t>11 3 01 С1459</t>
  </si>
  <si>
    <t>Основное мероприятие "Повышение безопасности управлением транспорта, осуществляющего деятельность по перевозке школьников, с помощью спутниково-навигационной системы ГЛОНАСС по программно-аппаратному комплексу мониторингового центра"</t>
  </si>
  <si>
    <t>11 3 04 С1459</t>
  </si>
  <si>
    <t>12 0 00 00000</t>
  </si>
  <si>
    <t>12 2 00 00000</t>
  </si>
  <si>
    <t>12 2 01 13180</t>
  </si>
  <si>
    <t>12 2 01 00000</t>
  </si>
  <si>
    <t>Основное мероприятие "Обеспечение деятельности и исполнение функций органов исполнительной власти  по профилактике преступлений и иных правонарушений в Глушковском районе Курской области"</t>
  </si>
  <si>
    <t>12 2 01 13480</t>
  </si>
  <si>
    <t>14 0 00 00000</t>
  </si>
  <si>
    <t>14 1 00 00000</t>
  </si>
  <si>
    <t>14 1 01 00000</t>
  </si>
  <si>
    <t>Муниципальная программа Глушковского района Курской области "Устойчивое развитие сельских территорий Глушковского района Курской области на 2015-2017 г.г. и на период до 2020 г."</t>
  </si>
  <si>
    <t>Подпрограмма "Социальное развитие села в Глушковском районе Курской области" муниципальной  программы Глушковского района Курской области "Устойчивое развитие сельских территорий Глушковского района Курской области на 2015-2017 г.г. и на период до 2020 г."</t>
  </si>
  <si>
    <t>Основное мероприятие "Строительство локальных сетей водоснабжения"</t>
  </si>
  <si>
    <t>Иные межбюджетные трансферты на реализацию мероприятий, направленных на устойчивое развитие сельских территорий</t>
  </si>
  <si>
    <t>07 0 00 00000</t>
  </si>
  <si>
    <t>Иные межбюджетные трансферты на реализацию мероприятий федеральной целевой программы "Устойчивое развитие сельских территорий на 2014 - 2017 годы и на период до 2020 года"</t>
  </si>
  <si>
    <t>16 1 04 50181</t>
  </si>
  <si>
    <t>76 0 00 00000</t>
  </si>
  <si>
    <t>76 1 00 00000</t>
  </si>
  <si>
    <t>76 1 00 С1404</t>
  </si>
  <si>
    <t>01 0 00 00000</t>
  </si>
  <si>
    <t xml:space="preserve"> 01 1 01 С1463</t>
  </si>
  <si>
    <t>01 1 00 00000</t>
  </si>
  <si>
    <t>01 1 01 00000</t>
  </si>
  <si>
    <t>01 1 01 С1401</t>
  </si>
  <si>
    <t>01 2 00 00000</t>
  </si>
  <si>
    <t>Основное мероприятие "Развитие библиотечного дела в Глушковском районе Курской области"</t>
  </si>
  <si>
    <t>01 3 00 00000</t>
  </si>
  <si>
    <t>01 3 01 С1401</t>
  </si>
  <si>
    <t>01 3 01 00000</t>
  </si>
  <si>
    <t>01 3 03 00000</t>
  </si>
  <si>
    <t>08 3 01 13540</t>
  </si>
  <si>
    <t>Мероприятия, связанные с организацией отдыха детей в каникулярное время</t>
  </si>
  <si>
    <t>08 3 01 S3540</t>
  </si>
  <si>
    <t>Закупка товаров, работ и услуг для обеспечения государственных (муниципальных) нужд</t>
  </si>
  <si>
    <t>06 1 01 13421</t>
  </si>
  <si>
    <t>06 1 01 S3421</t>
  </si>
  <si>
    <t>77 1 00 00000</t>
  </si>
  <si>
    <t>77 1 00 13310</t>
  </si>
  <si>
    <t>Обеспечение деятельности и выполнение функций  органов местного самоуправления</t>
  </si>
  <si>
    <t>Муниципальная программа Глушковского района Курской области "Обеспечение доступным и комфортным жильем и коммунальными услугами граждан в Глушковском районе Курской области на 2015-2020 г.г."</t>
  </si>
  <si>
    <t>Иные межбюджетные трансферты на осуществление переданных полномочий на  создание  объектов водоснабжения муниципальной собственности, не относящихся к объектам капитального строительства</t>
  </si>
  <si>
    <t>Иные межбюджетные трансферты на осуществление переданных полномочий на  осуществление мероприятий по созданию  объектов водоснабжения муниципальной собственности, не относящихся к объектам капитального строительства</t>
  </si>
  <si>
    <t>09 0 00 00000</t>
  </si>
  <si>
    <t>09 1 00 00000</t>
  </si>
  <si>
    <t>09 1 01 С1437</t>
  </si>
  <si>
    <t>Основное мероприятие "Обеспечение населения экологически чистой питьевой водой"</t>
  </si>
  <si>
    <t>10 0 00 00000</t>
  </si>
  <si>
    <t>Мероприятия в области имущественных отношений</t>
  </si>
  <si>
    <t>04 0 00 00000</t>
  </si>
  <si>
    <t>04 1 00 00000</t>
  </si>
  <si>
    <t>04 1 01 00000</t>
  </si>
  <si>
    <t>04 1 01 С1467</t>
  </si>
  <si>
    <t>10 1 00 00000</t>
  </si>
  <si>
    <t>10 1 01 00000</t>
  </si>
  <si>
    <t>10 1 01 13360</t>
  </si>
  <si>
    <t xml:space="preserve"> Глушковского района Курской области</t>
  </si>
  <si>
    <t xml:space="preserve"> Наименование</t>
  </si>
  <si>
    <t>ГРБС</t>
  </si>
  <si>
    <t>РЗ</t>
  </si>
  <si>
    <t>ПР</t>
  </si>
  <si>
    <t>ЦСР</t>
  </si>
  <si>
    <t>ВР</t>
  </si>
  <si>
    <t xml:space="preserve">Сумма </t>
  </si>
  <si>
    <t>3</t>
  </si>
  <si>
    <t>4</t>
  </si>
  <si>
    <t>5</t>
  </si>
  <si>
    <t>6</t>
  </si>
  <si>
    <t>7</t>
  </si>
  <si>
    <t>ВСЕГО РАСХОДОВ</t>
  </si>
  <si>
    <t>Администрация Глушковского района    Курской области</t>
  </si>
  <si>
    <t>001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</si>
  <si>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</si>
  <si>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</si>
  <si>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</si>
  <si>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</si>
  <si>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</si>
  <si>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</si>
  <si>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деятельности и выполнение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</si>
  <si>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</si>
  <si>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</si>
  <si>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</si>
  <si>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</si>
  <si>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представительного органа муниципального образования</t>
  </si>
  <si>
    <t>Председатель представительного органа муниципального образования</t>
  </si>
  <si>
    <t>Аппарат  представительного органа  муниципального образования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</si>
  <si>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</si>
  <si>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</si>
  <si>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</si>
  <si>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</si>
  <si>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</si>
  <si>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 </t>
  </si>
  <si>
    <t>04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</si>
  <si>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</si>
  <si>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Содержание работников, осуществляющих переданные государственные полномочия в сфере социальной защиты</t>
  </si>
  <si>
    <t>Осуществление отдельных государственных полномочий в сфере архивного дела</t>
  </si>
  <si>
    <t>Муниципальная программа Глушковского района Курской области «Комплексная межведомственная программа по профилактике преступлений и иных правонарушений в  Глушковском районе Курской области на 2015-2020 г.г.».</t>
  </si>
  <si>
    <t>Подпрограмма «Управление муниципальной программой и обеспечение условий реализации» муниципальной программы Глушковского района Курской области «Комплексная межведомственная программа по профилактике преступлений и иных правонарушений в  Глушковском районе Курской области на 2015-2020 г.г.»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</si>
  <si>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</si>
  <si>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</si>
  <si>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</si>
  <si>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</si>
  <si>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</si>
  <si>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Осуществление отдельных государственных полномочий в сфере трудовых отношений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</si>
  <si>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</si>
  <si>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06</t>
  </si>
  <si>
    <t>Обеспечение деятельности контрольно-счетных органов муниципального образования</t>
  </si>
  <si>
    <t>Руководитель контрольно-счетного органа  муниципального образования</t>
  </si>
  <si>
    <t>07</t>
  </si>
  <si>
    <t>Организация и проведение выборов и референдумов</t>
  </si>
  <si>
    <t>Подготовка и проведение выборов</t>
  </si>
  <si>
    <t>Резервные фонды</t>
  </si>
  <si>
    <t>11</t>
  </si>
  <si>
    <t>Резервные фонды органов местного самоуправления</t>
  </si>
  <si>
    <t/>
  </si>
  <si>
    <t>Резервный фонд местной администрации</t>
  </si>
  <si>
    <t>Другие общегосударственные вопросы</t>
  </si>
  <si>
    <t>13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</si>
  <si>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</si>
  <si>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Предоставление субсидий бюджетным, автономным учреждениям и иным некоммерческим организациям</t>
  </si>
  <si>
    <t>600</t>
  </si>
  <si>
    <t>Мероприятия, направленные на развитие муниципальной службы</t>
  </si>
  <si>
    <t>Реализация государственных функций, связанных с общегосударственным управлением</t>
  </si>
  <si>
    <t>Выполнение других обязательств муниципального образования</t>
  </si>
  <si>
    <t>Выполнение других (прочих) обязательств органа местного самоуправления</t>
  </si>
  <si>
    <t>Расходы на обеспечение деятельности (оказание услуг) муниципальных учреждений</t>
  </si>
  <si>
    <t>Реализация мероприятий по распространению официальной информации</t>
  </si>
  <si>
    <t>Межбюджетные трансферты</t>
  </si>
  <si>
    <t>500</t>
  </si>
  <si>
    <t>Резервные фонды исполнительных органов государственной власти</t>
  </si>
  <si>
    <t>Резервный фонд  Администрации Курской области</t>
  </si>
  <si>
    <t>Социальное обеспечение и иные выплаты населению</t>
  </si>
  <si>
    <t>300</t>
  </si>
  <si>
    <t>Национальная экономика</t>
  </si>
  <si>
    <t>Транспорт</t>
  </si>
  <si>
    <t>08</t>
  </si>
  <si>
    <t>Муниципальная программа Глушковского района Курской области «Развитие транспортной системы, обеспечение перевозки пассажиров в Глушковском районе Курской области  и безопасности дорожного движения»</t>
  </si>
  <si>
    <t>Отдельные мероприятия по другим видам транспорта</t>
  </si>
  <si>
    <t>Дорожное хозяйство (дорожные фонды)</t>
  </si>
  <si>
    <t>09</t>
  </si>
  <si>
    <t>Основное мероприятие "Развитие и обеспечение деятельности муниципальной службы"</t>
  </si>
  <si>
    <t>25 0 00 00000</t>
  </si>
  <si>
    <t>25 1 00 00000</t>
  </si>
  <si>
    <t>25 1 01 00000</t>
  </si>
  <si>
    <t>25 1 01 59300</t>
  </si>
  <si>
    <t>Межевание автомобильных дорог общего пользования местного значения, проведение кадастровых работ</t>
  </si>
  <si>
    <t>Другие вопросы в области национальной экономики</t>
  </si>
  <si>
    <t>12</t>
  </si>
  <si>
    <t>Муниципальная программа Глушковского района Курской области  «Управление муниципальным имуществом и земельными ресурсами Глушковского района Курской области»</t>
  </si>
  <si>
    <t>Подпрограмма «Повышение эффективности управления муниципальным имуществом и земельными ресурсами» муниципальной программы Глушковского района Курской области «Управление муниципальным имуществом и земельными ресурсами Глушковского района Курской области»</t>
  </si>
  <si>
    <t>Мероприятия в области энергосбережения</t>
  </si>
  <si>
    <t>Муниципальная программа Глушковского района Курской области "Обеспечение доступным и комфортным жильем и коммунальными услугами граждан в Глушковском  районе Курской области на 2015-2020 г.г."</t>
  </si>
  <si>
    <t>Подпрограмма «Создание условий для обеспечения доступным и комфортным жильем граждан Глушковского района Курской области» муниципальной программы «Обеспечение доступным и комфортным жильем и коммунальными услугами граждан в Глушковском районе Курской области на 2015-2020 г.г.»</t>
  </si>
  <si>
    <t>Муниципальная программа Глушковского района Курской области "Развитие экономики муниципального района "Глушковский  район" Курской области на 2015-2020 г.г."</t>
  </si>
  <si>
    <t>Подпрограмма «Создание благоприятных условий для привлечения инвестиций в экономику Глушковского района Курской области» муниципальной программы Глушковского района Курской области «Развитие экономики муниципального района "Глушковский район" Курской области на 2015-2020 г.г.»</t>
  </si>
  <si>
    <t>11 3 04 00000</t>
  </si>
  <si>
    <t>16 0 00 00000</t>
  </si>
  <si>
    <t>16 1 00 00000</t>
  </si>
  <si>
    <t>03 1 01 13000</t>
  </si>
  <si>
    <t>Жилищно-коммунальное хозяйство</t>
  </si>
  <si>
    <t>05</t>
  </si>
  <si>
    <t>Коммунальное хозяйство</t>
  </si>
  <si>
    <t xml:space="preserve"> Муниципальная программа  Глушковского района Курской области   «Охрана окружающей среды  в муниципальном образовании «Глушковский  район»  Курской области  на  2015-2020 г.г.»</t>
  </si>
  <si>
    <t>Основное мероприятие "Организация оздоровления и отдыха детей Глушковского района Курской области"</t>
  </si>
  <si>
    <t>Основное мероприятие "Организация малозатратных форм детского отдыха"</t>
  </si>
  <si>
    <t>08 3 02 С1458</t>
  </si>
  <si>
    <t>Развитие системы оздоровления и отдыха детей</t>
  </si>
  <si>
    <t>08 3 03 00000</t>
  </si>
  <si>
    <t>08 3 03 С1401</t>
  </si>
  <si>
    <t>17 0 00 00000</t>
  </si>
  <si>
    <t>17 1 00 00000</t>
  </si>
  <si>
    <t>Развитие рынка труда, повышение эффективности занятости населения</t>
  </si>
  <si>
    <t>Подпрограмма «Экология и чистая вода  в Глушковском районе Курской области» муниципальной программы  Глушковского района Курской области «Охрана окружающей среды в муниципальном образовании «Глушковский район» Курской области на 2015-2020 г.г»</t>
  </si>
  <si>
    <t>Подпрограмма «Создание условий для обеспечения доступным и комфортным жильем граждан Глушковского района Курской области » муниципальной программы  Глушковского района  Курской области программа  «Обеспечение доступным и комфортным жильем и коммунальными услугами граждан в Глушковском районе  Курской области на 2015-2020 г.г.»</t>
  </si>
  <si>
    <t>Подпрограмма «Обеспечение качественными услугами ЖКХ населения  Глушковского  района   Курской области» муниципальной  программы  Глушковского района Курской области «Обеспечение доступным и комфортным жильем и коммунальными услугами граждан  в Глушковском районе  Курской области на 2015-2020 г.г.</t>
  </si>
  <si>
    <t>Мероприятия по благоустройству</t>
  </si>
  <si>
    <t>Мероприятия по сбору и удалению твердых и жидких бытовых отходов</t>
  </si>
  <si>
    <t>Образование</t>
  </si>
  <si>
    <t>Реализация мероприятий в сфере молодежной политики</t>
  </si>
  <si>
    <t>Организация отдыха детей в каникулярное время</t>
  </si>
  <si>
    <t>Культура , кинематография</t>
  </si>
  <si>
    <t>Культура</t>
  </si>
  <si>
    <t>Муниципальная программа Глушковского района Курской области "Развитие культуры в Глушковском районе Курской области"</t>
  </si>
  <si>
    <t>Подпрограмма "Наследие" муниципальной программы Глушковского района Курской области "Развитие культуры в Глушковском районе Курской области"</t>
  </si>
  <si>
    <t>Социальная политика</t>
  </si>
  <si>
    <t>10</t>
  </si>
  <si>
    <t>Пенсионное обеспечение</t>
  </si>
  <si>
    <t>Основное мероприятие "Предоставление социальных выплат и мер социальной поддержки отдельным категориям граждан"</t>
  </si>
  <si>
    <t>02 1 03 С1445</t>
  </si>
  <si>
    <t>02 1 01 11170</t>
  </si>
  <si>
    <t>02 1 01 11180</t>
  </si>
  <si>
    <t>02 1 01 13150</t>
  </si>
  <si>
    <t>02 1 01 13160</t>
  </si>
  <si>
    <t>03 1 01 00000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</si>
  <si>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</si>
  <si>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03 1 01 13030</t>
  </si>
  <si>
    <t xml:space="preserve">Выплата пенсий за выслугу лет и доплат к пенсиям муниципальных служащих </t>
  </si>
  <si>
    <t xml:space="preserve">10 </t>
  </si>
  <si>
    <t>Социальное обеспечение населения</t>
  </si>
  <si>
    <t>Ежемесячное пособие на ребенка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</si>
  <si>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</si>
  <si>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социальной поддержки отдельным категориям граждан по обеспечению продовольственными товарами</t>
  </si>
  <si>
    <t>Обеспечение  мер  социальной  поддержки  ветеранов  труда</t>
  </si>
  <si>
    <t>Обеспечение  мер  социальной  поддержки труженников тыла</t>
  </si>
  <si>
    <t>Физическая культура  и спорт</t>
  </si>
  <si>
    <t xml:space="preserve">Физическая культура  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</si>
  <si>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</si>
  <si>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</si>
  <si>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</si>
  <si>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</si>
  <si>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</si>
  <si>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</si>
  <si>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</si>
  <si>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</si>
  <si>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</si>
  <si>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Отдел образования Администрации Глушковского района Курской области </t>
  </si>
  <si>
    <t>004</t>
  </si>
  <si>
    <t>Муниципальная программа Глушковского района Курской области  "Энергосбережение и повышение энергетической эффективности  Глушковского района Курской области на период 2010-2015 г.г. и на перспективу до 2020 г."</t>
  </si>
  <si>
    <t>Подпрограмма "Энергосбережение в муниципальном образовании "Глушковский район" Курской области" муниципальной программы Глушковского района Курской области "Энергосбережение и повышение энергетической эффективности  Глушковского района Курской области на период 2010-2015 г.г. и на перспективу до 2020 г."</t>
  </si>
  <si>
    <t>Дошкольное образование</t>
  </si>
  <si>
    <t>Муниципальная программа Глушковского района Курской области "Развитие образования в Глушковском районе Курской области"</t>
  </si>
  <si>
    <t>Подпрограмма "Развитие дошкольного и общего образования детей" муниципальной программы Глушковского района Курской области "Развитие образования в Глушковском районе Курской области"</t>
  </si>
  <si>
    <t>Общее образование</t>
  </si>
  <si>
    <t>Ежемесячное денежное вознаграждение за классное руководство</t>
  </si>
  <si>
    <t>Сумма</t>
  </si>
  <si>
    <t>2</t>
  </si>
  <si>
    <t>Обеспечение условий реализации муниципальной программы</t>
  </si>
  <si>
    <t>01 3 1440</t>
  </si>
  <si>
    <t>Расходы на проведение капитального ремонта муниципальных дошкольных образовательных организаций</t>
  </si>
  <si>
    <t>03 1 1301</t>
  </si>
  <si>
    <t>Приобретение оборудования для базовых детских садов в рамках реализации комплексных программ поддержки развития дошкольных образовательных организаций Курской области</t>
  </si>
  <si>
    <t>03 1 1302</t>
  </si>
  <si>
    <t>07 1 1433</t>
  </si>
  <si>
    <t>07 1 1457</t>
  </si>
  <si>
    <t>01 0 0000000</t>
  </si>
  <si>
    <t xml:space="preserve"> 01 1 01 11820</t>
  </si>
  <si>
    <t xml:space="preserve"> 01 1 01 С1401</t>
  </si>
  <si>
    <t>02 1 02 00000</t>
  </si>
  <si>
    <t>02 1 02 С1445</t>
  </si>
  <si>
    <t>06 0 00 00000</t>
  </si>
  <si>
    <t>06 1 00 00000</t>
  </si>
  <si>
    <t>Проведение мероприятий в области образования</t>
  </si>
  <si>
    <t>Подпрограмма "Развитие дополнительного образования и системы воспитания детей" муниципальной программы Глушковского района Курской области "Развитие образования в Глушковском районе Курской области"</t>
  </si>
  <si>
    <t>Подпрограмма «Повышение безопасности дорожного движения в Глушковском районе Курской области» муниципальной программы Глушковского района Курской области «Развитие транспортной системы, обеспечение перевозки пассажиров в Глушковском районе Курской области и безопасности дорожного движения»</t>
  </si>
  <si>
    <t>Обеспечение безопасности дорожного движения на автомобильных дорогах местного значения</t>
  </si>
  <si>
    <t xml:space="preserve">Расходы на выплаты персоналу в целях обеспечения выполнения функций органами местного самоуправления, казенными учреждениями </t>
  </si>
  <si>
    <t>Другие вопросы в области образования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</si>
  <si>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</si>
  <si>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 xml:space="preserve">Осуществление отдельных государственных полномочий 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 </t>
  </si>
  <si>
    <t xml:space="preserve">Охрана семьи и детства </t>
  </si>
  <si>
    <t>07 2 00  00000</t>
  </si>
  <si>
    <t>Основное мероприятие "Осуществление полномочий по созданию условий для развития социальной и инженерной инфраструктуры муниципальных образований "</t>
  </si>
  <si>
    <t xml:space="preserve">Иные межбюджетные трансферты на осуществление полномочий по созданию условий для развития социальной и инженерной инфраструктуры муниципальных образований </t>
  </si>
  <si>
    <t>07 2 03 П1417</t>
  </si>
  <si>
    <t>Основное мероприятие "Поддержка молодых семей в улучшении жилищных условий на территории Глушковского района Курской области"</t>
  </si>
  <si>
    <t>07 2 01 00000</t>
  </si>
  <si>
    <t>Иные межбюджетные трансферты на реализацию мероприятий подпрограммы "Обеспечение жильем молодых семей" федеральной целевой программы "Жилище на 2011-2015 годы</t>
  </si>
  <si>
    <t>07 2 01 50201</t>
  </si>
  <si>
    <t>Основное мероприятие:"Развитие социальной и инженерной инфраструктуры муниципальных образований Глушковского района Курской области"</t>
  </si>
  <si>
    <t>07 2 02 00000</t>
  </si>
  <si>
    <t xml:space="preserve">Иные межбюджетные трансферты на государственную поддержку молодых семей в улучшении жилищных условий </t>
  </si>
  <si>
    <t>07 2 01 R0201</t>
  </si>
  <si>
    <t>07 2 01 L0201</t>
  </si>
  <si>
    <t>07 2 03 00000</t>
  </si>
  <si>
    <t>07 1 00 00000</t>
  </si>
  <si>
    <t>07 1 01 00000</t>
  </si>
  <si>
    <t>Основное мероприятие "Поддержание в чистоте территории населенных пунктов муниципальных образований"</t>
  </si>
  <si>
    <t>07 1 01 П1433</t>
  </si>
  <si>
    <t>Основное мероприятие "Организация ритуальных услуг и содержание мест захоронения"</t>
  </si>
  <si>
    <t>07 1 02 00000</t>
  </si>
  <si>
    <t>07 1 02 П1457</t>
  </si>
  <si>
    <t>07 2 00 00000</t>
  </si>
  <si>
    <t>Содержание ребенка в семье опекуна и приемной семье, а также вознаграждение, причитающееся приемному родителю</t>
  </si>
  <si>
    <t>Муниципальная программа  Глушковского района Курской области "Развитие образования в Глушковском районе Курской области"</t>
  </si>
  <si>
    <t>Выплата компенсации части родительской платы</t>
  </si>
  <si>
    <t xml:space="preserve">Отдел Культуры Администрации Глушковского района Курской области </t>
  </si>
  <si>
    <t>005</t>
  </si>
  <si>
    <t>03 2 1462</t>
  </si>
  <si>
    <t xml:space="preserve">Культура </t>
  </si>
  <si>
    <t>Подпрограмма "Искусство" муниципальной программы Глушковского района Курской области "Развитие культуры в Глушковском районе Курской области"</t>
  </si>
  <si>
    <t>О8</t>
  </si>
  <si>
    <t>Гранты на развитие культуры и искусства</t>
  </si>
  <si>
    <t>Проведение мероприятий в области культуры</t>
  </si>
  <si>
    <t>Развитие библиотечного дела</t>
  </si>
  <si>
    <t>Другие вопросы  в области культуры, кинематографии</t>
  </si>
  <si>
    <t>Подпрограмма "Управление муниципальной программой  и обеспечение условий реализации" муниципальной программы Глушковского района Курской области  "Развитие культуры в Глушковском районе Курской области"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</si>
  <si>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</si>
  <si>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</si>
  <si>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>01 2 1307</t>
  </si>
  <si>
    <t>05 0 00 00000</t>
  </si>
  <si>
    <t>05 1 00 00000</t>
  </si>
  <si>
    <t>05 1 01 00000</t>
  </si>
  <si>
    <t>Основное мероприятие "Энергосбережение и повышение энергетической эффективности в бюджетной сфере"</t>
  </si>
  <si>
    <t>05 1 01 С1434</t>
  </si>
  <si>
    <t>06 1 00 000000</t>
  </si>
  <si>
    <t>06 1 01 000000</t>
  </si>
  <si>
    <t>08 0 00 00000</t>
  </si>
  <si>
    <t>08 1 00 00000</t>
  </si>
  <si>
    <t>08 1 01 00000</t>
  </si>
  <si>
    <t>Муниципальная программа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</si>
  <si>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Подпрограмма "Повышение эффективности реализации молодежной политики" муниципальной программы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</si>
  <si>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1 01 С1414</t>
  </si>
  <si>
    <t>08 2 00 00000</t>
  </si>
  <si>
    <t>Подпрограмма «Реализация муниципальной политики в сфере физической культуры и спорта» муниципальной программы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</si>
  <si>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Основное мероприятие "Организация и проведение физкультурных и спортивных мероприятий, привлечение населения к занятиям физической культурой и массовым спортом"</t>
  </si>
  <si>
    <t>08 2 01 00000</t>
  </si>
  <si>
    <t>08 2 01 С1406</t>
  </si>
  <si>
    <t>08 2 02 00000</t>
  </si>
  <si>
    <t>08 2 02 С1406</t>
  </si>
  <si>
    <t>Основное мероприятие "Мероприятия по поэтапному внедрению Всероссийского физкультурно-спортивного комплекса "Готов к труду и обороне"(ГТО)"</t>
  </si>
  <si>
    <t>01 2 01 00000</t>
  </si>
  <si>
    <t xml:space="preserve"> 01 2 01 С1401</t>
  </si>
  <si>
    <t xml:space="preserve"> 01 2 01 С1442</t>
  </si>
  <si>
    <t xml:space="preserve">Основное мероприятие "Оказание мер социальной поддержки по оплате жилищно-коммунальных услуг отдельным категориям граждан" </t>
  </si>
  <si>
    <t>02 3 02 00000</t>
  </si>
  <si>
    <t>02 3 02 13220</t>
  </si>
  <si>
    <t>Основное мероприятие "Обеспечение деятельности и выполнение функций органов исполнительной власти по организации и осуществлению деятельности по опеке и попечительству"</t>
  </si>
  <si>
    <t xml:space="preserve"> Основное мероприятие "Осуществление государственных выплат и пособий гражданам, имеющим детей, детям-сиротам и детям, оставшимся без попечения родителей"</t>
  </si>
  <si>
    <t>Подпрограмма «Оздоровление и отдых детей» муниципальной  программы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</si>
  <si>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08 3 00 00000</t>
  </si>
  <si>
    <t>08 3 01 00000</t>
  </si>
  <si>
    <t>Основное мероприятие "Развитие образования в сфере культуры и искусства"</t>
  </si>
  <si>
    <t>03 2 02 00000</t>
  </si>
  <si>
    <t>03 2 02 С1401</t>
  </si>
  <si>
    <t>15 0 00 00000</t>
  </si>
  <si>
    <t>15 1 00 00000</t>
  </si>
  <si>
    <t>Создание благоприятных условий для привлечения инвестиций в экономику муниципального образования</t>
  </si>
  <si>
    <t>Обеспечение предоставления мер социальной поддержки работникам муниципальных образовательных организаций</t>
  </si>
  <si>
    <t>08 2 02 С1401</t>
  </si>
  <si>
    <t>Мероприятия по сбору и транспортированию твердых коммунальных  отходов</t>
  </si>
  <si>
    <t>09 1 01 00000</t>
  </si>
  <si>
    <t>01 1 01 11820</t>
  </si>
  <si>
    <t>Основное мероприятие "Организация деятельности по подготовке МКУ "ДОЛ "Солнышко" Глушковского района к летней оздоровительной кампании и его функционирование"</t>
  </si>
  <si>
    <t>08 3 02 00000</t>
  </si>
  <si>
    <t>11 0 00 00000</t>
  </si>
  <si>
    <t>11 1 00 00000</t>
  </si>
  <si>
    <t>11 1 01 00000</t>
  </si>
  <si>
    <t>Основное мероприятие "Капитальный ремонт, ремонт и содержание автомобильных дорог общего пользования местного  значения"</t>
  </si>
  <si>
    <t>Основное мероприятие "Строительство и (или) реконструкция автомобильных дорог общего пользования местного значения"</t>
  </si>
  <si>
    <t>11 1 02 00000</t>
  </si>
  <si>
    <t>11 2 00 00000</t>
  </si>
  <si>
    <t>11 2 01 00000</t>
  </si>
  <si>
    <t>11 2 01 С1426</t>
  </si>
  <si>
    <t>71 0 00 00000</t>
  </si>
  <si>
    <t>71 1 00 00000</t>
  </si>
  <si>
    <t>71 1 00 С1402</t>
  </si>
  <si>
    <t>75 0 00 00000</t>
  </si>
  <si>
    <t>75 1 00 00000</t>
  </si>
  <si>
    <t>75 1 00 С1402</t>
  </si>
  <si>
    <t>75 3 00 00000</t>
  </si>
  <si>
    <t>75 3 00 С1402</t>
  </si>
  <si>
    <t>02 0 00 00000</t>
  </si>
  <si>
    <t>02 2 00 00000</t>
  </si>
  <si>
    <t>02 2 01 00000</t>
  </si>
  <si>
    <t>02 2 01 13190</t>
  </si>
  <si>
    <t>02 2 02 00000</t>
  </si>
  <si>
    <t>02 2 02 13170</t>
  </si>
  <si>
    <t>02 3 00 00000</t>
  </si>
  <si>
    <t>02 3 01 00000</t>
  </si>
  <si>
    <t>Основное мероприятие "Обеспечение деятельности и исполнение функций органов исполнительной власти  в сфере социального обеспечения"</t>
  </si>
  <si>
    <t>73 0 00 00000</t>
  </si>
  <si>
    <t>73 1 00 00000</t>
  </si>
  <si>
    <t>73 1 00 С1402</t>
  </si>
  <si>
    <t>77 0 00 00000</t>
  </si>
  <si>
    <t>77 2 00 00000</t>
  </si>
  <si>
    <t>74 0 00 00000</t>
  </si>
  <si>
    <t>74 1 00 00000</t>
  </si>
  <si>
    <t>74 1 00 С1402</t>
  </si>
  <si>
    <t>78 0 00 00000</t>
  </si>
  <si>
    <t>78 1 00 00000</t>
  </si>
  <si>
    <t>78 1 00 С1403</t>
  </si>
  <si>
    <t>Основное мероприятие "Поддержка органами местного самоуправления социально ориентированных некоммерческих организаций"</t>
  </si>
  <si>
    <t>02 3 01 13200</t>
  </si>
  <si>
    <t>Оказание финансовой поддержки общественным организациям</t>
  </si>
  <si>
    <t>02 3 01 С1470</t>
  </si>
  <si>
    <t>77 2 00 С1401</t>
  </si>
  <si>
    <t>77 2 00 С1439</t>
  </si>
  <si>
    <t>Иные межбюджетные трансферты на содержание работника, осуществляющего выполнение переданных полномочий</t>
  </si>
  <si>
    <t>77 2 00 П1490</t>
  </si>
  <si>
    <t>84 0 00 00000</t>
  </si>
  <si>
    <t>84 1 00 00000</t>
  </si>
  <si>
    <t>84 1 00 10030</t>
  </si>
  <si>
    <t>02 1 00 00000</t>
  </si>
  <si>
    <t>Основное мероприятие "Предоставление выплат пенсий за выслугу лет, доплат к пенсиям  муниципальных служащих"</t>
  </si>
  <si>
    <t>02 1 01 00000</t>
  </si>
  <si>
    <t>02 1 03 00000</t>
  </si>
  <si>
    <t>02 1 01 11130</t>
  </si>
  <si>
    <t>03 0 00 00000</t>
  </si>
  <si>
    <t>03 1 00 00000</t>
  </si>
  <si>
    <t>14 1 01 С1465</t>
  </si>
  <si>
    <t>Основное мероприятие "Обеспечение преемлемых и экономически обоснованных объема и структуры муниципального долга Глушковского района Курской области и сокращение стоимости его обслуживания"</t>
  </si>
  <si>
    <t>Основное мероприятие "Выравнивание бюджетной обеспеченности муниципальных образований Глушковского района Курской области"</t>
  </si>
  <si>
    <t>14 2 01 00000</t>
  </si>
  <si>
    <t>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</si>
  <si>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14 2 00 00000</t>
  </si>
  <si>
    <t>Основное мероприятие "Сохранение и развитие кинообслуживания населения, традиционной народной культуры, нематериального культурного наследия Глушковского района Курской области"</t>
  </si>
  <si>
    <t>14 2 01 13450</t>
  </si>
  <si>
    <t>Основное мероприятие "Обеспечение государственной регистрации актов гражданского состояния по Глушковскому району Курской области в соответствии с законодательством Российской Федерации, реализация государственной политики в области семейного права"</t>
  </si>
  <si>
    <t>Основное мероприятие  "Реализация  установленных  полномочий (функций) муниципального архива"</t>
  </si>
  <si>
    <t>руб.</t>
  </si>
  <si>
    <t xml:space="preserve">Основное мероприятие "Обеспечение деятельности учреждения  МКУ "Глушковская ЦБ учреждений культуры" </t>
  </si>
  <si>
    <t>01 3  03 13350</t>
  </si>
  <si>
    <t>Основное мероприятие " Организация осуществления отдельных государственных полномочий по предоставлению работникам муниципальных учреждений культуры мер социальной поддержки</t>
  </si>
  <si>
    <t>01 3 02 00000</t>
  </si>
  <si>
    <t>01 3 02 13340</t>
  </si>
  <si>
    <t>11 3 00 00000</t>
  </si>
  <si>
    <t>11 3 01 00000</t>
  </si>
  <si>
    <t>Основное мероприятие "Реализация дошкольных образовательных программ и мероприятия по развитию системы дошкольного образования"</t>
  </si>
  <si>
    <t>Основное мероприятие "Реализация основных общеобразовательных программ и мероприятия по развитию системы общего образования"</t>
  </si>
  <si>
    <t>03 1 02 00000</t>
  </si>
  <si>
    <t>03 1 02 13040</t>
  </si>
  <si>
    <t>Реализация основных общеобразовательных  и дополнительных общеобразовательных программ в части финансирования  расходов на оплату труда  работников муниципальных общеобразовательных организаций, расходов на приобретение  учебников и учебных пособий, средств обучения, игр, игрушек (за исключением  расходов на содержание  зданий и оплату коммунальных услуг)</t>
  </si>
  <si>
    <t>03 1 02 13080</t>
  </si>
  <si>
    <t>Приобретение оборудования для школьных столовых</t>
  </si>
  <si>
    <t>03 1 02 S3080</t>
  </si>
  <si>
    <t>Обеспечение оборудованием  школьных столовых</t>
  </si>
  <si>
    <t>03 1 02 13090</t>
  </si>
  <si>
    <t>03 1 02 S3090</t>
  </si>
  <si>
    <t>03 1 01 C1401</t>
  </si>
  <si>
    <t>03 1 01 13590</t>
  </si>
  <si>
    <t>Предоставление мер социальной поддержки работникам муниципальных образовательных организаций</t>
  </si>
  <si>
    <t>03 1 02 S3060</t>
  </si>
  <si>
    <t>03 1 02 13110</t>
  </si>
  <si>
    <t>03 1 02 C1401</t>
  </si>
  <si>
    <t>03 1 02 C1447</t>
  </si>
  <si>
    <t>03 2 00 00000</t>
  </si>
  <si>
    <t>Основное мероприятие "Реализация  образовательных программ дополнительного образования и мероприятия по их развитию"</t>
  </si>
  <si>
    <t>03 2 01 00000</t>
  </si>
  <si>
    <t>03 2 01 С1401</t>
  </si>
  <si>
    <t xml:space="preserve">Подпрограмма «Обеспечение реализации муниципальной программы Глушковского района Курской области «Развитие образования в Глушковском районе Курской области и прочие мероприятия в области образования» </t>
  </si>
  <si>
    <t>03 4 00 00000</t>
  </si>
  <si>
    <t>Основное мероприятие  "Обеспечение деятельности (оказание услуг) муниципальных учреждений"</t>
  </si>
  <si>
    <t>03 4 01 00000</t>
  </si>
  <si>
    <t>03 4 01 С1401</t>
  </si>
  <si>
    <t>Мероприятия в области образования</t>
  </si>
  <si>
    <t>Основное мероприятие "Сопровождение реализации отдельных мероприятий  муниципальной программы"</t>
  </si>
  <si>
    <t>03 4 02 00000</t>
  </si>
  <si>
    <t>03 4 02 13120</t>
  </si>
  <si>
    <t>03 4 02 С1447</t>
  </si>
  <si>
    <t>Основное мероприятие "Социальная поддержка работников образовательных организаций дошкольного и общего образования"</t>
  </si>
  <si>
    <t>03 1 03 00000</t>
  </si>
  <si>
    <t>03 1 03 13070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</si>
  <si>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 освещения работникам муниципальных образовательных организаций</t>
  </si>
  <si>
    <t>03 2 05 00000</t>
  </si>
  <si>
    <t>77 2 00 12700</t>
  </si>
  <si>
    <t>77 2 00 12712</t>
  </si>
  <si>
    <t>77 2 00 53910</t>
  </si>
  <si>
    <t>03 1 01 13050</t>
  </si>
  <si>
    <t>Проведение капитального ремонта муниципальных образовательных организаций</t>
  </si>
  <si>
    <t>03 1 01 S3050</t>
  </si>
  <si>
    <t>Обеспечение проведения капитального ремонта муниципальных образовательных организаций</t>
  </si>
  <si>
    <t>03 1 02 13050</t>
  </si>
  <si>
    <t>03 1 02 S3050</t>
  </si>
  <si>
    <t>Содержание работников, осуществляющих отдельные государственные полномочия по организации проведения мероприятий по отлову и содержанию безнадзорных животных</t>
  </si>
  <si>
    <t>Проведение Всероссийской сельскохозяйственной переписи в 2016 году</t>
  </si>
  <si>
    <t xml:space="preserve">Иные межбюджетные трансферты на осуществление полномочий по устойчивому развитию сельских территорий </t>
  </si>
  <si>
    <t>03 1 03 13060</t>
  </si>
  <si>
    <t>03 1 03 S3060</t>
  </si>
  <si>
    <t xml:space="preserve"> 01 1 01 S3320</t>
  </si>
  <si>
    <t>Обеспечение проведения капитального ремонта учреждений культуры районов и поселений</t>
  </si>
  <si>
    <t>01 1 01 13320</t>
  </si>
  <si>
    <t>Проведение капитального ремонта учреждений культуры районов и поселений</t>
  </si>
  <si>
    <t xml:space="preserve"> 01 1 01 13320</t>
  </si>
  <si>
    <t>Судебная система</t>
  </si>
  <si>
    <t>77 2 00 51200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</si>
  <si>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</si>
  <si>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02 2 02 13603</t>
  </si>
  <si>
    <t xml:space="preserve">Приобретение муниципального программно-технического комплекса прикладного программного обеспечения автоматизированной информационной системы государственного банка данных о детях, оставшихся без попечения родителей,  для организации формирования, ведения и использования регионального банка данных о детях, оставшихся без попечения родителей  </t>
  </si>
  <si>
    <t>02 2  02 13603</t>
  </si>
  <si>
    <t>Приобретение муниципального программно-технического комплекса прикладного программного обеспечения автоматизированной информационной системы государственного банка данных о детях, оставшихся без попечения родителей, для организации формирования, ведения и использования регионального банка данных о детях, оставшихся без попечения родителей</t>
  </si>
  <si>
    <t>Основное мероприятие "Содействие повышению доступности пассажирских перевозок населения в границах Глушковского района Курской области"</t>
  </si>
  <si>
    <t>Здравоохранение</t>
  </si>
  <si>
    <t>Санитарно-эпидемиологическое благополучие</t>
  </si>
  <si>
    <t>Основное мероприятие "Строительство распределительных сетей газопровода "</t>
  </si>
  <si>
    <t>16 1 03 00000</t>
  </si>
  <si>
    <t>16 1 03 50181</t>
  </si>
  <si>
    <t>16 1 03 R0181</t>
  </si>
  <si>
    <t>16 1 03 L0181</t>
  </si>
  <si>
    <t>Дополнительное образование детей</t>
  </si>
  <si>
    <t xml:space="preserve">Капитальный ремонт, ремонт и содержание автомобильных дорог общего пользования местного значения </t>
  </si>
  <si>
    <t>11 1 01 С1424</t>
  </si>
  <si>
    <t>07 2 05 00000</t>
  </si>
  <si>
    <t>07 2 05 П1416</t>
  </si>
  <si>
    <t>Иные межбюджетные трансферты на осуществление мероприятий  по  разработке документов территориального планирования и градостроительного зонирования</t>
  </si>
  <si>
    <t>Муниципальная программа Глушковского района Курской области "Развитие информационного общества в  Глушковском районе Курской области на 2017-2020 г.г."</t>
  </si>
  <si>
    <t>20 0 00 00000</t>
  </si>
  <si>
    <t>Подпрограмма "Электронное правительство" муниципальной программы Глушковского района Курской области "Развитие информационного общества в  Глушковском районе Курской области на 2017-2020 г.г."</t>
  </si>
  <si>
    <t>20 1 00 00000</t>
  </si>
  <si>
    <t>Основное мероприятие " Популяризация муниципальных услуг в электронном виде"</t>
  </si>
  <si>
    <t>20 1 02 00000</t>
  </si>
  <si>
    <t>Подпрограмма "Развитие системы защиты информации в Администрации Глушковского района Курской области" муниципальной программы Глушковского района Курской области "Развитие информационного общества в  Глушковском районе Курской области на 2017-2020 г.г."</t>
  </si>
  <si>
    <t>20 2 00 00000</t>
  </si>
  <si>
    <t>Основное мероприятие " Безопасность в информационном обществе"</t>
  </si>
  <si>
    <t>20 2 01 00000</t>
  </si>
  <si>
    <t xml:space="preserve">Муниципальная программа Глушковского района Курской области «Защита населения и территорий от чрезвычайных ситуаций, обеспечении пожарной безопасности и безопасности людей на водных объектах в Глушковском районе Курской области на 2017-2020 г.г.» 
</t>
  </si>
  <si>
    <t xml:space="preserve">Подпрограмма "Снижение рисков и смягчение последствий чрезвычайных ситуаций природного и техногенного характера в Глушковском районе курской области на 2017-2020 г.г."муниципальной программы Глушковского района Курской области «Защита населения и территорий от чрезвычайных ситуаций, обеспечении пожарной безопасности и безопасности людей на водных объектах в Глушковском районе Курской области на 2017-2020 г.г.» 
</t>
  </si>
  <si>
    <t>Защита населения и территории от чрезвычайных ситуаций природного и техногенного характера, гражданская оборона</t>
  </si>
  <si>
    <t>13 0 00 00000</t>
  </si>
  <si>
    <t>13 1 00 00000</t>
  </si>
  <si>
    <t>Основное мероприятие "Контороль за оборудованием и содержанием мест организованного отдыха людей на водных объектах Глушковского района"</t>
  </si>
  <si>
    <t>13 1 01 00000</t>
  </si>
  <si>
    <t>13 1 02 00000</t>
  </si>
  <si>
    <t>Основное мероприятие "Проведение профилактических работ, приобретение учебных пособий, средств наглядной агитации, литературы и периодических изданий по тематике ГО и ЧС"</t>
  </si>
  <si>
    <t>13 1 03 00000</t>
  </si>
  <si>
    <t>Основное мероприятие "Развитие аппаратно-программного комплекса (АПК) "Безопасный город "</t>
  </si>
  <si>
    <t>13 1 04 00000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</si>
  <si>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</si>
  <si>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13 1 01 С1460</t>
  </si>
  <si>
    <t>13 1 02 С1460</t>
  </si>
  <si>
    <t>13 1 03 С1460</t>
  </si>
  <si>
    <t>Мероприятия по повышению качества и доступности муниципальных услуг, предоставляемых органами местного самоуправления</t>
  </si>
  <si>
    <t>20 1 02 С1492</t>
  </si>
  <si>
    <t>13 1 04 С1406</t>
  </si>
  <si>
    <t>Обеспечение условий для развития малого и среднего предпринимательства на территории муниципального образования</t>
  </si>
  <si>
    <t>Подпрограмма "Развитие субъектов малого и среднего предпринимательства в Глушковском районе Курской области" муниципальной  программы Глушковского района Курской области «Развитие экономики муниципального района «Глушковский район» Курской области  на 2015-2020 г.г.»."</t>
  </si>
  <si>
    <t>15 2 00 00000</t>
  </si>
  <si>
    <t>Основное мероприятие "Создание систем оповещения, приобретение средств связи, ЭВТ, программного и материального обеспечения для КЧС и ОПБ Администрации Глушковского района. Обеспечение функционирования региональной информационно-навигационной системы КО (РНИС)"</t>
  </si>
  <si>
    <t>Основное мероприятие "Участие в ежегодном Среднерусском экономическом форуме и Курской Коренской ярмарке на территории Курской области"</t>
  </si>
  <si>
    <t>Основное мероприятие "Изготовление выставочных экспозиций, буклетов, образцов продукции для участия в региональных и межрегиональных выставках, конкурсах, конференциях, форумах"</t>
  </si>
  <si>
    <t>Мероприятия в области земельных отношений</t>
  </si>
  <si>
    <t>20 2 01 С1404</t>
  </si>
  <si>
    <t>11 1 02 С1423</t>
  </si>
  <si>
    <t>11 1 02 С1425</t>
  </si>
  <si>
    <t xml:space="preserve">Строительство (реконструкция) автомобильных дорог общего пользования местного значения </t>
  </si>
  <si>
    <t>400</t>
  </si>
  <si>
    <t>Капитальные вложения в объекты государственной (муниципальной) собственности</t>
  </si>
  <si>
    <t>04 1 01 С1468</t>
  </si>
  <si>
    <t>Основное мероприятие "Корректировка ПЗЗ, гереральных планов, координирование границ муниципальных образований "</t>
  </si>
  <si>
    <t xml:space="preserve">Основное мероприятие Проведение муниципальной политики в области имущественных и земельных отношений на территории Глушковского района Курской области </t>
  </si>
  <si>
    <t>Национальная безопасность и правоохранительная деятельность</t>
  </si>
  <si>
    <t>00</t>
  </si>
  <si>
    <t>Основное мероприятие "Осуществление мер по  улучшению положения и качества жизни пожилых людей и инвалидов"</t>
  </si>
  <si>
    <t>Основное мероприятие "Мероприятия, направленные на сохранение здоровья и снижение смертности населения, укрепление института семьи"</t>
  </si>
  <si>
    <t>02 2 03 00000</t>
  </si>
  <si>
    <t>02 2 03 С1474</t>
  </si>
  <si>
    <t>Мероприятия в области улучшения демографической ситуации, совершенствования социальной поддержки семьи и детей</t>
  </si>
  <si>
    <t>КБК 207 113</t>
  </si>
  <si>
    <t>Бюджет 2018 год</t>
  </si>
  <si>
    <t xml:space="preserve">Молодежная политика  </t>
  </si>
  <si>
    <t xml:space="preserve">Муниципальная программа Глушковского района Курской области «Повышение эффективности управления финансами  Глушковского района Курской области (2015-2019 г.г.)» 
</t>
  </si>
  <si>
    <t>Подпрограмма "Управление муниципальным  долгом Глушковского района Курской области" муниципальной  программы Глушковского района Курской области "Повышение эффективности управления финансами Глушковского района Курской области (2015-2019 г.г.)"</t>
  </si>
  <si>
    <t>Подпрограмма «Эффективная система межбюджетных отношений Глушковского района Курской области» муниципальной программы Глушковского района Курской области "Повышение эффективности управления финансами Глушковского района Курской области (2015-2019 г.г.)"</t>
  </si>
  <si>
    <t>Подпрограмма "Повышение эффективности организации деятельности органов ЗАГС Глушковского района Курской области" муниципальной программы Глушковского района Курской области "Организация деятельности органов ЗАГС Глушковского района Курской области "</t>
  </si>
  <si>
    <t>Муниципальная программа Глушковского района Курской области "Организация деятельности органов ЗАГС Глушковского района Курской области"</t>
  </si>
  <si>
    <t>Муниципальная программа  Глушковского района Курской области «Развитие муниципальной службы в Глушковском районе Курской области на 2015-2020 г.г.»</t>
  </si>
  <si>
    <t>Подпрограмма «Реализация мероприятий, направленных на развитие муниципальной службы» муниципальной программы Глушковского района Курской области «Развитие муниципальной службы в Глушковском районе Курской области на 2015-2020 г.г.»</t>
  </si>
  <si>
    <t>Муниципальная программа Глушковского района Курской области «Социальная поддержка граждан в Глушковском   районе Курской области на 2015-2020 годы».</t>
  </si>
  <si>
    <t>Подпрограмма "Развитие мер социальной поддержки отдельных категорий граждан " муниципальной программы Глушковского района Курской области «Социальная поддержка граждан в Глушковском   районе Курской области на 2015-2020 годы»</t>
  </si>
  <si>
    <t>Подпрограмма  "Улучшение демографической ситуации, совершенствование социальной поддержки  семьи и детей" муниципальной программы  Глушковского района Курской области «Социальная поддержка граждан в Глушковском районе Курской области на 2015-2020 годы»</t>
  </si>
  <si>
    <t>Подпрограмма "Управление муниципальной программой и обеспечение условий реализации" муниципальной программы Глушковского района Курской области «Социальная поддержка граждан в Глушковском   районе Курской области на 2015-2020 годы»</t>
  </si>
  <si>
    <t>Муниципальная программа Глушковского района Курской области «Социальная поддержка граждан в Глушковском районе Курской области на 2015-2020 годы»</t>
  </si>
  <si>
    <t xml:space="preserve"> Подпрограмма «Управление муниципальной программой и обеспечение условий реализации» муниципальной программы Глушковского района Курской области «Социальная поддержка граждан в Глушковском районе Курской области на 2015-2020 годы»</t>
  </si>
  <si>
    <t>Муниципальная программа  Глушковского района Курской области «Социальная поддержка граждан в Глушковском   районе Курской области на 2015-2020 годы».</t>
  </si>
  <si>
    <t>Подпрограмма «Улучшение демографической ситуации, совершенствование социальной поддержки семьи и детей» муниципальной программы Глушковского района Курской области  «Социальная поддержка граждан в Глушковском районе Курской области на 2015-2020 годы»</t>
  </si>
  <si>
    <t>Подпрограмма «Развитие мер социальной поддержки отдельных категорий граждан» муниципальной программы Глушковского района Курской области «Социальная поддержка граждан в Глушковском районе Курской области на 2015-2020 годы»</t>
  </si>
  <si>
    <t>02 1 02 С1475</t>
  </si>
  <si>
    <t>Прочие мероприятия в области социальной политики</t>
  </si>
  <si>
    <t>Муниципальная программа Глушковского района Курской области «Сохранение и развитие архивного дела в Глушковском  районе Курской области на 2015-2020 г.г. ».</t>
  </si>
  <si>
    <t xml:space="preserve">Подпрограмма "Организация хранения, комплектования и использования документов Архивного фонда Курской области и иных архивных документов" муниципальной программы Глушковского района Курской области "Сохранение и развитие архивного дела в Глушковском районе Курской области на 2015-2020 г.г."
</t>
  </si>
  <si>
    <t>Муниципальная программа Глушковского района Курской области «Сохранение и развитие архивного дела в Глушковском  районе Курской области на 2015-2020 г.г.».</t>
  </si>
  <si>
    <t>Муниципальная программа Глушковского района Курской области «Развитие транспортной системы, обеспечение перевозки пассажиров в Глушковском районе Курской области  и безопасности дорожного движения на 2015-2020 годы»</t>
  </si>
  <si>
    <t>Подпрограмма «Развитие сети автомобильных дорог Глушковского района Курской области» муниципальной программы Глушковского района Курской области «Развитие транспортной системы, обеспечение перевозки пассажиров в Глушковском районе Курской области и безопасности дорожного движения на 2015-2020 годы»</t>
  </si>
  <si>
    <t>Подпрограмма "Развитие пассажирских перевозок в Глушковском районе Курской области" муниципальной программы Глушковского района Курской области «Развитие транспортной системы, обеспечение перевозки пассажиров в Глушковском районе Курской области и безопасности дорожного движения  на 2015-2020 годы»</t>
  </si>
  <si>
    <t>Подпрограмма «Повышение безопасности дорожного движения в Глушковском районе Курской области» муниципальной программы Глушковского района Курской области «Развитие транспортной системы, обеспечение перевозки пассажиров в Глушковском районе Курской области и безопасности дорожного движения на 2015-2020 годы»</t>
  </si>
  <si>
    <t>Подпрограмма «Развитие пассажирских перевозок в Глушковском районе Курской области» муниципальной программы Глушковского района Курской области «Развитие транспортной системы, обеспечение перевозки пассажиров в Глушковском районе Курской области и безопасности дорожного движения на 2015-2020 годы»</t>
  </si>
  <si>
    <t>Подпрограмма «Развитие сети автомобильных дорог  Глушковского района Курской области» муниципальной программы Глушковского района Курской области «Развитие транспортной системы, обеспечение перевозки пассажиров в Глушковском районе Курской области и безопасности дорожного движения на 2015-2020 годы»</t>
  </si>
  <si>
    <t>Муниципальная программа  Глушковского района Курской области «Содействие занятости населения  Глушковского района Курской области на 2017-2021 г.г.»</t>
  </si>
  <si>
    <t>Подпрограмма "Содействие временной занятости отдельных категорий граждан" муниципальной  программы Глушковского района Курской области  "Содействие занятости населения в Глушковском районе Курской области на 2017-2021г.г."</t>
  </si>
  <si>
    <t>Основное мероприятие "Реализация мероприятий активной политики занятости населения"</t>
  </si>
  <si>
    <t>17 1 01 00000</t>
  </si>
  <si>
    <t>17 1 01 С1436</t>
  </si>
  <si>
    <t>Муниципальная  программа  Глушковского района  Курской области «Содействие занятости населения Глушковского района Курской области  на 2017-2021г.г.»</t>
  </si>
  <si>
    <t>Подпрограмма "Содействие временной занятости населения" муниципальной  программы Глушковского района Курской области  "Содействие занятости населения Глушковского района Курской области на 2017-2021г.г."</t>
  </si>
  <si>
    <t>15 1 01 С1480</t>
  </si>
  <si>
    <t>15 1 01 00000</t>
  </si>
  <si>
    <t>15 2 01 00000</t>
  </si>
  <si>
    <t>15 2 01 С1405</t>
  </si>
  <si>
    <t>Осуществление отдельных государственных полномочий по созданию и  обеспечению деятельности комиссий по делам несовершеннолетних и защите их прав</t>
  </si>
  <si>
    <t>06 1 01 S3430</t>
  </si>
  <si>
    <t>07 2 02 S1500</t>
  </si>
  <si>
    <t>07 2 02 11500</t>
  </si>
  <si>
    <t>03 1 02 R0970</t>
  </si>
  <si>
    <t xml:space="preserve">Обеспечение создания в общеобразовательных организациях, расположенных в сельской местности, условий для занятий физической культурой и спортом </t>
  </si>
  <si>
    <t>03 1 02 L0970</t>
  </si>
  <si>
    <t>07 2 05 13600</t>
  </si>
  <si>
    <t>07 2 05 S3600</t>
  </si>
  <si>
    <t xml:space="preserve">Внесение в государственный кадастр недвижимости сведений о границах муниципальных образований и границах населенных пунктов
</t>
  </si>
  <si>
    <t>Мероприятия по внесению в государственный кадастр недвижимости сведений о границах муниципальных образований и границах населенных пунктов</t>
  </si>
  <si>
    <t>Развитие социальной и инженерной инфраструктуры муниципальных образований Курской области</t>
  </si>
  <si>
    <t xml:space="preserve">Мероприятия, направленные на  развитие социальной и инженерной инфраструктуры муниципальных образований Курской области </t>
  </si>
  <si>
    <t>Проведение текущего ремонта объектов водоснабжения муниципальной собственности</t>
  </si>
  <si>
    <t>06 1 01 13430</t>
  </si>
  <si>
    <t>Мероприятия, связанные с проведением текущего ремонта объектов водоснабжения муниципальной собственности</t>
  </si>
  <si>
    <t>Подпрограмма  «Обеспечение общественного порядка и противодействия преступности в Глушковском районе Курской области на 2015 - 2020 годы»муниципальной программы Глушковского района Курской области «Комплексная межведомственная программа по профилактике преступлений и иных правонарушений в  Глушковском районе Курской области на 2015-2020 годы»</t>
  </si>
  <si>
    <t>12 1 00 00000</t>
  </si>
  <si>
    <t>Основное мероприятие "Обеспечение общественной безопасности и безопасности граждан на территории Глушковского района Курской области"</t>
  </si>
  <si>
    <t>Реализация мероприятий направленных на обеспечение правопорядка на территории муниципального образования</t>
  </si>
  <si>
    <t>12 1 01 00000</t>
  </si>
  <si>
    <t>12 1 01 С1435</t>
  </si>
  <si>
    <t>Организация  проведения мероприятий  по отлову  и содержанию безнадзорных животных</t>
  </si>
  <si>
    <t>Дополнительное финансирование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  общеобразовательных организациях</t>
  </si>
  <si>
    <t>Осуществление переданных органам государственной власти субъектов Российской Федерации в соответствии с  пунктом 1 статьи 4 Федерального закона от 15 ноября 1997г. № 143-ФЗ "Об актах гражданского состояния" полномочий Российской Федерации на государственную регистрацию актов гражданского состояния и бюджету г. Байконура на осуществление полномочий на государственную регистрацию актов гражданского состояния</t>
  </si>
  <si>
    <t>Создание комплексной системы мер по профилактике потребления наркотиков</t>
  </si>
  <si>
    <t>12 1 01 С1486</t>
  </si>
  <si>
    <t>Реализация мероприятий по формированию и содержанию муниципального архива</t>
  </si>
  <si>
    <t>10 1 01 С1438</t>
  </si>
  <si>
    <t>02 3 02 С1404</t>
  </si>
  <si>
    <t>Мероприятия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  общеобразовательных организациях</t>
  </si>
  <si>
    <t>Основное мероприятие "Создание условий для вовлечения молодежи в активную общественную деятельность и социальную практику,поддержка талантливой молодежи. Гражданско-патриотическое воспитание молодежи"</t>
  </si>
  <si>
    <t>Мероприятия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</t>
  </si>
  <si>
    <t>Обеспечение проведения выборов и референдумов</t>
  </si>
  <si>
    <t>77 3 00С1441</t>
  </si>
  <si>
    <t>77 3 00 00000</t>
  </si>
  <si>
    <t>77 3 00 С1441</t>
  </si>
  <si>
    <t>03 1 01 L0270</t>
  </si>
  <si>
    <t>Реализация мероприятийгосударственной программы Российской Федерации "Доступная среда" на 2011-2020 годы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</si>
  <si>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</si>
  <si>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Жилищное хозяйство</t>
  </si>
  <si>
    <t>Основное мероприятие «Переселение граждан Глушковского района Курской области из непригодного для проживания жилищного фонда, не подпадающего под действие Федерального закона от 21 июля 2007 года № 185-ФЗ «О Фонде содействия реформированию жилищно-коммунального хозяйства»</t>
  </si>
  <si>
    <t>07 2 04 00000</t>
  </si>
  <si>
    <t>Переселение граждан в Курской области из непригодного для проживания жилищного фонда</t>
  </si>
  <si>
    <t>07 2 04 13260</t>
  </si>
  <si>
    <t>07 2 04 S3260</t>
  </si>
  <si>
    <t>Реализация мероприятий по переселению граждан Глушковского района Курской области из непригодного для проживания жилищного фонда</t>
  </si>
  <si>
    <t>16 1 01 00000</t>
  </si>
  <si>
    <t>16 1 01 П1417</t>
  </si>
  <si>
    <t>Реализация мероприятий государственной программы Российской Федерации "Доступная среда" на 2011-2020 годы</t>
  </si>
  <si>
    <t>Реализация мероприятий по устойчивому развитию сельских территорий за счет средств областного бюджета</t>
  </si>
  <si>
    <t>Осуществление  мероприятий  по  устойчивому  развитию сельских территорий за счет средств бюджета муниципального района</t>
  </si>
  <si>
    <t>16 1 01 R5671</t>
  </si>
  <si>
    <t>16 1 01  S5671</t>
  </si>
  <si>
    <t>79 0 00 00000</t>
  </si>
  <si>
    <t>79 1 00 00000</t>
  </si>
  <si>
    <t>Непрограммные расходы на обеспечение деятельности муниципальных казенных учреждений</t>
  </si>
  <si>
    <t>Непрограммные расходы на обеспечение деятельности муниципальных казенных учреждений, не вошедшие в программные мероприятия</t>
  </si>
  <si>
    <t>79 1 00 12420</t>
  </si>
  <si>
    <t>Прочие мероприятия в области образования</t>
  </si>
  <si>
    <t>78 1 00 12420</t>
  </si>
  <si>
    <t>Ведомственная структура расходов бюджета  муниципального района " Глушковский район" Курской области   за 2018 год</t>
  </si>
  <si>
    <t>Приложение № 5</t>
  </si>
  <si>
    <t>Распределение бюджетных ассигнований по целевым статьям (муниципальным программам  Глушковского района Курской области и непрограммным направлениям деятельности), группам видов расходов за 2018 год</t>
  </si>
  <si>
    <t>Исполнено за 2018 год</t>
  </si>
  <si>
    <t xml:space="preserve">к   решению Представительного  собрания </t>
  </si>
  <si>
    <t xml:space="preserve">                           от "     "                         2019 г.  № </t>
  </si>
  <si>
    <t>"Об утверждении отчета об исполнении  бюджета муниципального района "Глушковский район" Курской области за 2018 год "</t>
  </si>
  <si>
    <t>"Об утверждении отчета об исполнении  бюджета муниципального района  "Глушковский район" Курской области за 2018 год "</t>
  </si>
  <si>
    <t>Приложение № 2</t>
  </si>
  <si>
    <t>Приложение № 3</t>
  </si>
  <si>
    <t xml:space="preserve">к решению Представительного  собрания </t>
  </si>
  <si>
    <t>Сумма исполнения за 2018 год</t>
  </si>
  <si>
    <t>"Об утверждении отчета об исполнении  бюджета  муниципального района "Глушковский район" Курской области за  2018 год"</t>
  </si>
  <si>
    <t>Распределение расходов бюджета муниципального района "Глушковский район" Курской области за 2018 год по разделам и подразделам классификации расходов бюджета</t>
  </si>
  <si>
    <t xml:space="preserve">                                  Приложение №  1</t>
  </si>
  <si>
    <t xml:space="preserve"> к   Решению  Представительного собрания  Глушковского  района   Курской области </t>
  </si>
  <si>
    <t xml:space="preserve">                                                                          "Об утверждении  отчета об исполнении бюджета муниципального района  "Глушковский район" Курской области за 2018 год"</t>
  </si>
  <si>
    <t>Поступление доходов в бюджет муниципального района  "Глушковский район" Курской области  за 2018 год</t>
  </si>
  <si>
    <t>(по кодам  классификации  доходов бюджета)</t>
  </si>
  <si>
    <t xml:space="preserve">  рублей</t>
  </si>
  <si>
    <t>Код дохода</t>
  </si>
  <si>
    <t>Наименование доходов</t>
  </si>
  <si>
    <t>Исполнено  за   2018 год</t>
  </si>
  <si>
    <t xml:space="preserve">        ВСЕГО</t>
  </si>
  <si>
    <t>100 00000 00 0000 000</t>
  </si>
  <si>
    <t>НАЛОГОВЫЕ И НЕНАЛОГОВЫЕ 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</si>
  <si>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</si>
  <si>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</si>
  <si>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</si>
  <si>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</si>
  <si>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</si>
  <si>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</si>
  <si>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</si>
  <si>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</si>
  <si>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</si>
  <si>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</si>
  <si>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</si>
  <si>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</si>
  <si>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103 00000 00 0000 000</t>
  </si>
  <si>
    <t>НАЛОГИ НА ТОВАРЫ (РАБОТЫ, УСЛУГИ), РЕАЛИЗУЕМЫЕ НА ТЕРРИТОРИИ РОССИЙСКОЙ ФЕДЕРАЦИИ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</si>
  <si>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</si>
  <si>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</si>
  <si>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</si>
  <si>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</si>
  <si>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</si>
  <si>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</si>
  <si>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</si>
  <si>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</si>
  <si>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</si>
  <si>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</si>
  <si>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105 00000 00 0000 000</t>
  </si>
  <si>
    <t>НАЛОГИ НА СОВОКУПНЫЙ ДОХОД</t>
  </si>
  <si>
    <t>105 01000 00 0000 110</t>
  </si>
  <si>
    <t>Налог, взимаемый в связи с применением упрощенной системы налогообложения</t>
  </si>
  <si>
    <t>105 01010 01 0000 110</t>
  </si>
  <si>
    <t>Налог, взимаемый с налогоплательщиков, выбравших в качестве объекта налогообложения доходы</t>
  </si>
  <si>
    <t>105 01011 01 0000 110</t>
  </si>
  <si>
    <t>105 01020 01 0000 110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</si>
  <si>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</si>
  <si>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105 01021 01 0000 110</t>
  </si>
  <si>
    <t>105 01050 01 0000 110</t>
  </si>
  <si>
    <t>Минимальный налог, зачисляемый в бюджеты субъектов Российской Федерации</t>
  </si>
  <si>
    <t>105 02000 02 0000 110</t>
  </si>
  <si>
    <t>Единый налог на вмененный доход для отдельных видов деятельности</t>
  </si>
  <si>
    <t>105 02010 02 0000 110</t>
  </si>
  <si>
    <t>105 02020 02 0000 110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</si>
  <si>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</si>
  <si>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105 03000 01 0000 110</t>
  </si>
  <si>
    <t>Единый сельскохозяйственный налог</t>
  </si>
  <si>
    <t>105 03010 01 0000 110</t>
  </si>
  <si>
    <t>105 03020 01 0000 110</t>
  </si>
  <si>
    <t>Единый сельскохозяйственный налог (за налоговые периоды, истекшие до 1 января 2011 года)</t>
  </si>
  <si>
    <t>105 04000 02 0000 110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</si>
  <si>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</si>
  <si>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</si>
  <si>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</si>
  <si>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108 00000 00 0000 000</t>
  </si>
  <si>
    <t>ГОСУДАРСТВЕННАЯ ПОШЛИНА</t>
  </si>
  <si>
    <t>108 03000 01 0000 110</t>
  </si>
  <si>
    <t>Государственная пошлина по делам, рассматриваемым в судах общей юрисдикции, мировыми судьями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</si>
  <si>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</si>
  <si>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</si>
  <si>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108 07000 01 0000 110</t>
  </si>
  <si>
    <t>Государственная пошлина за государственную регистрацию, а также совершение прочих юридически значимых действий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</si>
  <si>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</si>
  <si>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</si>
  <si>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1 08 07150 01 0000 110</t>
  </si>
  <si>
    <t>Государственная пошлина за выдачу разрешения на установку рекламной конструкции</t>
  </si>
  <si>
    <t>109 00000 00 0000 000</t>
  </si>
  <si>
    <t>ЗАДОЛЖЕННОСТЬ И ПЕРЕРАСЧЕТЫ ПО ОТМЕНЕННЫМ НАЛОГАМ, СБОРАМ И ИНЫМ ОБЯЗАТЕЛЬНЫМ ПЛАТЕЖАМ</t>
  </si>
  <si>
    <t>109 07030 05 0000 110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</si>
  <si>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</si>
  <si>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</si>
  <si>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</si>
  <si>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</si>
  <si>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</si>
  <si>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</si>
  <si>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</si>
  <si>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1 11 02000 00 0000 120</t>
  </si>
  <si>
    <t>Доходы от размещения средств бюджетов</t>
  </si>
  <si>
    <t>1 11 02033 05 0000 120</t>
  </si>
  <si>
    <t>Доходы от размещения временно свободных средств бюджетов муниципальных районов</t>
  </si>
  <si>
    <t>111 03000 00 0000 120</t>
  </si>
  <si>
    <t>Проценты, полученные от предоставления бюджетных кредитов внутри страны</t>
  </si>
  <si>
    <t>111 03050 05 0000 120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</si>
  <si>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</si>
  <si>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111 05000 00 0000 120</t>
  </si>
  <si>
    <t>Доходы, получаемые в 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</si>
  <si>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</si>
  <si>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</si>
  <si>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</si>
  <si>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</si>
  <si>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</si>
  <si>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</si>
  <si>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</si>
  <si>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  также средства от продажи права    на заключение  договоров  аренды указанных земельных  участков (за исключением земельных участков автономных учреждений)</t>
  </si>
  <si>
    <t>1 11 05025 05 0000 120</t>
  </si>
  <si>
    <t>Доходы, получаемые в виде арендной платы, а   также средства от продажи права    на заключение  договоров  аренды за земли,  находящиеся в собственности муниципальных районов (за исключением земельных участков муниципальных автономных учреждений)</t>
  </si>
  <si>
    <t>111 05030 00 0000 120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</si>
  <si>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 созданных ими учреждений (за исключением имущества бюджетных и автономных учреждений)</t>
  </si>
  <si>
    <t>111 05035 05 0000 120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</si>
  <si>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</si>
  <si>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</si>
  <si>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</si>
  <si>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</si>
  <si>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</si>
  <si>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1 11 08000 00 0000 120</t>
  </si>
  <si>
    <t>Средства, получаемые  от передачи имущества, находящегося в государственной и 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 в залог, в доверительное управление</t>
  </si>
  <si>
    <t>1 11 08050 05 0000 120</t>
  </si>
  <si>
    <t>Средства, получаемые  от передачи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 в залог, в доверительное управление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</si>
  <si>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</si>
  <si>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</si>
  <si>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</si>
  <si>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 </t>
  </si>
  <si>
    <t>1 11 09045 05 0000 120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</si>
  <si>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  </t>
  </si>
  <si>
    <t>112 00000 00 0000 000</t>
  </si>
  <si>
    <t>ПЛАТЕЖИ ПРИ ПОЛЬЗОВАНИИ ПРИРОДНЫМИ РЕСУРСАМИ</t>
  </si>
  <si>
    <t>112 01000 01 0000 120</t>
  </si>
  <si>
    <t>Плата за негативное воздействие на окружающую среду</t>
  </si>
  <si>
    <t>112 01010 01 0000 120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</si>
  <si>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</si>
  <si>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</si>
  <si>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</si>
  <si>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112 01030 01 0000 120</t>
  </si>
  <si>
    <t>Плата за сбросы загрязняющих веществ в водные объекты</t>
  </si>
  <si>
    <t>112 01040 01 0000 120</t>
  </si>
  <si>
    <t>Плата за размещение отходов производства и потребления</t>
  </si>
  <si>
    <t>112 01041 01 0000 120</t>
  </si>
  <si>
    <t>Плата за размещение отходов производства</t>
  </si>
  <si>
    <t>112 01042 01 0000 120</t>
  </si>
  <si>
    <t>Плата за размещение твердых коммунальных отходов</t>
  </si>
  <si>
    <t>113 00000 00 0000 000</t>
  </si>
  <si>
    <t>ДОХОДЫ ОТ ОКАЗАНИЯ ПЛАТНЫХ УСЛУГ (РАБОТ) И КОМПЕНСАЦИИ ЗАТРАТ ГОСУДАРСТВА</t>
  </si>
  <si>
    <t>113 01000 00 0000 130</t>
  </si>
  <si>
    <t>Доходы от оказания платных услуг (работ)</t>
  </si>
  <si>
    <t>113 01995 05 0000 130</t>
  </si>
  <si>
    <t>Прочие доходы от оказания платных услуг (работ) получателями средств бюджетов муниципальных районов</t>
  </si>
  <si>
    <t>114 00000 00 0000 000</t>
  </si>
  <si>
    <t>ДОХОДЫ ОТ ПРОДАЖИ МАТЕРИАЛЬНЫХ И НЕМАТЕРИАЛЬНЫХ АКТИВОВ</t>
  </si>
  <si>
    <t>1 14 01000 00 0000 410</t>
  </si>
  <si>
    <t>Доходы от продажи квартир</t>
  </si>
  <si>
    <t>1 14 01050 05 0000 410</t>
  </si>
  <si>
    <t>Доходы от продажи квартир, находящихся в собственности муниципальных районов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</si>
  <si>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</si>
  <si>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</si>
  <si>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</si>
  <si>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</si>
  <si>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1 14 02032 05 0000 440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</si>
  <si>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материальных запасов по указанному имуществу</t>
  </si>
  <si>
    <t>1 14 02033 05 0000 410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</si>
  <si>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</si>
  <si>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</si>
  <si>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</si>
  <si>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1 14 03000 00 0000 410</t>
  </si>
  <si>
    <t>Средства от распоряжения и реализации конфискованного и иного имущества, обращенного в доход государства (в части реализации основных средств по указанному имуществу)</t>
  </si>
  <si>
    <t>1 14 03000 00 0000 440</t>
  </si>
  <si>
    <t>Средства от распоряжения и реализации конфискованного и иного имущества, обращенного в доход государства (в части реализации материальных запасов по указанному имуществу)</t>
  </si>
  <si>
    <t>1 14 03050 05 0000 410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</si>
  <si>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</si>
  <si>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</si>
  <si>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</si>
  <si>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1 14 04000 00 0000 420</t>
  </si>
  <si>
    <t>Доходы от продажи нематериальных активов</t>
  </si>
  <si>
    <t>1 14 04050 05 0000 420</t>
  </si>
  <si>
    <t xml:space="preserve">Доходы от продажи нематериальных активов, находящихся в собственности муниципальных районов </t>
  </si>
  <si>
    <t>114 06000 00 0000 430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</si>
  <si>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</si>
  <si>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114 06010 00 0000 430</t>
  </si>
  <si>
    <t>Доходы от продажи земельных участков, государственная собственность на которые не разграничена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</si>
  <si>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</si>
  <si>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</si>
  <si>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</si>
  <si>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</si>
  <si>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</si>
  <si>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</si>
  <si>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1 14 06025 05 0000 430</t>
  </si>
  <si>
    <t>Доходы  от продажи земельных участков, находящихся в собственности  муниципальных районов (за исключением земельных участков муниципальных  автономных учреждений)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</si>
  <si>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</si>
  <si>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</si>
  <si>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</si>
  <si>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</si>
  <si>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1 15 02050 05 0000 140</t>
  </si>
  <si>
    <t>Платежи, взимаемые организациями муниципальных районов за выполнение определенных функций</t>
  </si>
  <si>
    <t>116 00000 00 0000 000</t>
  </si>
  <si>
    <t>ШТРАФЫ, САНКЦИИ, ВОЗМЕЩЕНИЕ УЩЕРБА</t>
  </si>
  <si>
    <t>116 03000 00 0000 140</t>
  </si>
  <si>
    <t>Денежные взыскания (штрафы) за нарушение законодательства  о налогах и сборах</t>
  </si>
  <si>
    <t>116 03010 01 0000 140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</si>
  <si>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</si>
  <si>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</si>
  <si>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</si>
  <si>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</si>
  <si>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</si>
  <si>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</si>
  <si>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</si>
  <si>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1 16 18000 00 0000 140</t>
  </si>
  <si>
    <t>Денежные взыскания (штрафы) за нарушение бюджетного законодательства Российской Федерации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</si>
  <si>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</si>
  <si>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</si>
  <si>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</si>
  <si>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</si>
  <si>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</si>
  <si>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</si>
  <si>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116 23000 00 0000 140</t>
  </si>
  <si>
    <t xml:space="preserve">Доходы от возмещения ущерба при возникновении страховых случаев </t>
  </si>
  <si>
    <t>116 23050 05 0000 140</t>
  </si>
  <si>
    <t>Доходы от возмещения ущерба при возникновении страховых случаев, когда выгодоприобретателями по  договорам  страхования выступают получатели средств бюджетов муниципальных районов</t>
  </si>
  <si>
    <t>116 23052 05 0000 140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</si>
  <si>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</si>
  <si>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116 25000 01 0000 140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</si>
  <si>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</si>
  <si>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1 16 25010 01 0000 140</t>
  </si>
  <si>
    <t>Денежные взыскания (штрафы) за нарушение законодательства о недрах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</si>
  <si>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</si>
  <si>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</si>
  <si>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116 25030 01 0000 140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</si>
  <si>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</si>
  <si>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</si>
  <si>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</si>
  <si>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</si>
  <si>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</si>
  <si>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</si>
  <si>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земельного законодательства</t>
  </si>
  <si>
    <t>1 16 25070 01 0000 140</t>
  </si>
  <si>
    <t>Денежные взыскания (штрафы) за нарушение лесного законодательства</t>
  </si>
  <si>
    <t>1 16 25074 05 0000 140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</si>
  <si>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</si>
  <si>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1 16 25080 01 0000 140</t>
  </si>
  <si>
    <t>Денежные взыскания (штрафы) за нарушение водного законодательства</t>
  </si>
  <si>
    <t>1 16 25084 05 0000 140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</si>
  <si>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</si>
  <si>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116 28000 01 0000 140</t>
  </si>
  <si>
    <t>Денежные взыскания (штрафы) за нарушение законодательства в области обеспечения санитарно- эпидемиологического благополучия человека и законодательства в сфере защиты прав потребителей</t>
  </si>
  <si>
    <t>116 30000 01 0000 140</t>
  </si>
  <si>
    <t>Денежные взыскания (штрафы) за правонарушения в области дорожного движения</t>
  </si>
  <si>
    <t>116 30010 01 0000 140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</si>
  <si>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</si>
  <si>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</si>
  <si>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</si>
  <si>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116 30030 01 0000 140</t>
  </si>
  <si>
    <t>Прочие денежные взыскания (штрафы) за правонарушения в области дорожного движения</t>
  </si>
  <si>
    <t>116 33000 00 0000 140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</si>
  <si>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</si>
  <si>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</si>
  <si>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</si>
  <si>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116 35000 00 0000 140</t>
  </si>
  <si>
    <t>Суммы по искам о возмещении вреда, причиненного окружающей среде</t>
  </si>
  <si>
    <t>116 35030 05 0000 140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</si>
  <si>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</si>
  <si>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1 16 42000 00 0000 140</t>
  </si>
  <si>
    <t>Денежные взыскания (штрафы) за нарушение условий договоров (соглашений) о предоставлении бюджетных кредитов</t>
  </si>
  <si>
    <t>116 42050 01 0000 140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</si>
  <si>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</si>
  <si>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116 43000 01 0000 140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</si>
  <si>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</si>
  <si>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116 90000 00 0000 140</t>
  </si>
  <si>
    <t>Прочие поступления от денежных взысканий (штрафов) и иных сумм в возмещение ущерба</t>
  </si>
  <si>
    <t>116 90050 05 0000 140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</si>
  <si>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</si>
  <si>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1 17 00000 00 0000 000</t>
  </si>
  <si>
    <t>ПРОЧИЕ НЕНАЛОГОВЫЕ ДОХОДЫ</t>
  </si>
  <si>
    <t>1 17 01050 00 0000 180</t>
  </si>
  <si>
    <t>Невыясненные поступления</t>
  </si>
  <si>
    <t>1 17 01050 05 0000 180</t>
  </si>
  <si>
    <t>Невыясненные поступления, зачисляемые в бюджеты муниципальных районов</t>
  </si>
  <si>
    <t>200 00000 00 0000 000</t>
  </si>
  <si>
    <t xml:space="preserve">Безвозмездные поступления </t>
  </si>
  <si>
    <t>202 00000 00 0000 000</t>
  </si>
  <si>
    <t xml:space="preserve">Безвозмездные поступления от других бюджетов бюджетной системы Российской Федерации </t>
  </si>
  <si>
    <t>202 10000 00 0000 151</t>
  </si>
  <si>
    <t>Дотации бюджетам бюджетной системы Российской Федерации</t>
  </si>
  <si>
    <t>202 15001 00 0000 151</t>
  </si>
  <si>
    <t>Дотации на выравнивание  бюджетной обеспеченности</t>
  </si>
  <si>
    <t>202 15001 05 0000 151</t>
  </si>
  <si>
    <t>Дотации бюджетам муниципальных районов на выравнивание  бюджетной обеспеченности</t>
  </si>
  <si>
    <t>202 15002 00 0000 151</t>
  </si>
  <si>
    <t>Дотации бюджетам на поддержку мер по обеспечению сбалансированности бюджетов</t>
  </si>
  <si>
    <t>202 15002 05 0000 151</t>
  </si>
  <si>
    <t>Дотации бюджетам муниципальных районов на поддержку мер по обеспечению сбалансированности бюджетов</t>
  </si>
  <si>
    <t>202 20000 00 0000 151</t>
  </si>
  <si>
    <t>Субсидии бюджетам бюджетной системы Российской Федерации (межбюджетные субсидии)</t>
  </si>
  <si>
    <t>2 02 20051 00 0000 151</t>
  </si>
  <si>
    <t>Субсидии бюджетам на реализацию федеральных целевых программ</t>
  </si>
  <si>
    <t>2 02 20051 05 0000 151</t>
  </si>
  <si>
    <t>Субсидии бюджетам муниципальных районов на реализацию федеральных целевых программ</t>
  </si>
  <si>
    <t>2 02 20077 00 0000 151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</si>
  <si>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</si>
  <si>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</si>
  <si>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</si>
  <si>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202 25027 00 0000 151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</si>
  <si>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</si>
  <si>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202 25027 05 0000 151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</si>
  <si>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</si>
  <si>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202 25097 00 0000 151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</si>
  <si>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</si>
  <si>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202 25097 05 0000 151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</si>
  <si>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</si>
  <si>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202 29999 00 0000 151</t>
  </si>
  <si>
    <t>Прочие субсидии</t>
  </si>
  <si>
    <t>202 29999 05 0000 151</t>
  </si>
  <si>
    <t xml:space="preserve">Субсидии местным бюджетам на частичное возмещение расходов на предоставление мер социальной поддержки  работникам муниципальных учреждений культуры </t>
  </si>
  <si>
    <t>Субсидии бюджетам муниципальных образований в целях софинансирования расходных обязательств местных бюджетов по предоставлению мер социальной поддержки  работникам муниципальных учреждений образования</t>
  </si>
  <si>
    <t>Субсидии бюджетам муниципальных образований на приобретение оборудования для школьных столовых в рамках комплекса мер по модернизации  общего образования</t>
  </si>
  <si>
    <t>Субсидии бюджетам муниципальных образований на софинансирование расходов, связанных с реализацией мероприятий по обустройству сельских территорий объектами социальной и инженерной инфраструктуры</t>
  </si>
  <si>
    <t>Субсидии бюджетам муниципальных образований на мероприятия по внесению в государственный кадастр недвижимости сведений о границах  муниципальных образований и границах населенных пунктов</t>
  </si>
  <si>
    <t>Субсидии местным бюджетам  на проведение капитального ремонта  муниципальных образовательных организаций</t>
  </si>
  <si>
    <t>Субсидии, предоставляемые местным бюджетам на дополнительное финансирование мероприятий по организации питания обучающихся из малообеспеченных и многодетных семей в муниципальных образовательных организациях</t>
  </si>
  <si>
    <t>Субсидии бюджетам муниципальных районов на софинансирование расходных обязательств местных бюджетов на приобретение автобусов ГАЗ, соответствующих ГОСТ Р 51160-98, для муниципальных общеобразовательных учреждений, расположенных в сельской местности</t>
  </si>
  <si>
    <r>
      <t xml:space="preserve">Субсидии бюджетам муниципальных образований на софинансирование расходных обязательств муниципальных образований, связанных с организацией отдыха детей в </t>
    </r>
    <r>
      <rPr>
        <b/>
        <sz val="10"/>
        <rFont val="Times New Roman"/>
        <family val="1"/>
      </rPr>
      <t>каникулярное время</t>
    </r>
  </si>
  <si>
    <t>Субсидии бюджетам муниципальных образований на развитие  социальной и инженерной инфраструктуры муниципальных образований на 2017 год "Образование"</t>
  </si>
  <si>
    <t>Субсидии местным бюджетам  на выполнение  мероприятий по обеспечению населения экологически  чистой водой на 2017 год</t>
  </si>
  <si>
    <t>202 30000 00 0000 151</t>
  </si>
  <si>
    <t>Субвенции бюджетам бюджетной системы Российской Федерации</t>
  </si>
  <si>
    <t>202 30013 00 0000 151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</si>
  <si>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</si>
  <si>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202 30013 05 0000 151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</si>
  <si>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</si>
  <si>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202 30027 00 0000 151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</si>
  <si>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</si>
  <si>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>202 30027 05 0000 151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</si>
  <si>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</si>
  <si>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</si>
  <si>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</si>
  <si>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</si>
  <si>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</si>
  <si>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202 39998 00 0000 151</t>
  </si>
  <si>
    <t>Единая субвенция местным бюджетам</t>
  </si>
  <si>
    <t>202 39998 05 0000 151</t>
  </si>
  <si>
    <t>Единая субвенция бюджетам муниципальных районов</t>
  </si>
  <si>
    <t>202 03020 00 0000 151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</si>
  <si>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</si>
  <si>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</si>
  <si>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</si>
  <si>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202 03021 00 0000 151</t>
  </si>
  <si>
    <t>Субвенции бюджетам муниципальных образований на ежемесячное денежное вознаграждение за классное руководство</t>
  </si>
  <si>
    <t>202 03021 05 0000 151</t>
  </si>
  <si>
    <t>202 03029 00 0000 151</t>
  </si>
  <si>
    <t>202 03029 05 0000 151</t>
  </si>
  <si>
    <t>202 03046 00 0000 151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</si>
  <si>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</si>
  <si>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202 03046 05 0000 151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</si>
  <si>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 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 (из федерального бюджета)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</si>
  <si>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 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 (из областного бюджета)</t>
  </si>
  <si>
    <t>202 39999 00 0000 151</t>
  </si>
  <si>
    <t>Прочие субвенции</t>
  </si>
  <si>
    <t>202 39999 05 0000 151</t>
  </si>
  <si>
    <t>Прочие субвенции бюджетам муниципальных районов</t>
  </si>
  <si>
    <t xml:space="preserve">            в том числе:</t>
  </si>
  <si>
    <t xml:space="preserve">Субвенции местным бюджетам на содержание работников, осуществляющих переданные государственные полномочия по организации и осуществлению деятельности по опеке и попечительству </t>
  </si>
  <si>
    <t>Субвенции местным бюджетам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</si>
  <si>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r>
      <t xml:space="preserve">Субвенции местным бюджетам  на осуществление отдельных государственных полномочий  по финансовому обеспечению расходов по предоставлению мер социальной поддержки на бесплатное жилое помещение с отоплением и освещением  работникам муниципальных </t>
    </r>
    <r>
      <rPr>
        <b/>
        <sz val="10"/>
        <rFont val="Times New Roman"/>
        <family val="1"/>
      </rPr>
      <t>образовательных учреждений</t>
    </r>
    <r>
      <rPr>
        <sz val="10"/>
        <rFont val="Times New Roman"/>
        <family val="1"/>
      </rPr>
      <t xml:space="preserve"> </t>
    </r>
  </si>
  <si>
    <r>
      <t xml:space="preserve">Субвенции бюджетам муниципальных районов на  ежемесячное денежное вознаграждение за </t>
    </r>
    <r>
      <rPr>
        <b/>
        <sz val="10"/>
        <rFont val="Times New Roman"/>
        <family val="1"/>
      </rPr>
      <t>классное руководство</t>
    </r>
  </si>
  <si>
    <r>
      <t xml:space="preserve">Субвенции местным бюджетам на оплату труда работников общеобразовательных </t>
    </r>
    <r>
      <rPr>
        <b/>
        <sz val="10"/>
        <rFont val="Times New Roman"/>
        <family val="1"/>
      </rPr>
      <t>дошкольных учреждений,</t>
    </r>
    <r>
      <rPr>
        <sz val="10"/>
        <rFont val="Times New Roman"/>
        <family val="1"/>
      </rPr>
      <t xml:space="preserve"> расходов на учебные пособия, средства обучения, игр, игрушек  (за исключением расходов на содержание зданий и оплату коммунальных услуг, осуществляемых из местных бюджетов)</t>
    </r>
  </si>
  <si>
    <t>Субвенции бюджетам муниципальных районов на компенсацию части родительской платы за содержание ребенка в  муниципальных образовательных учреждениях, реализующих основную общеобразовательную программу дошкольного образования</t>
  </si>
  <si>
    <t>Субвенции местным бюджетам на содержание работников,  осуществляющих переданные государственные полномочия по выплате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</si>
  <si>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местным бюджетам на осуществление отдельных  государственных полномочий по предоставлению  работникам муниципальных учреждений культуры  мер социальной поддержки</t>
  </si>
  <si>
    <t>Субвенции местным бюджетам  на содержание работников, осуществляющих отдельные государственные полномочия по предоставлению  работникам муниципальных учреждений культуры  мер социальной поддержки</t>
  </si>
  <si>
    <t>Субвенции местным бюджетам на осуществление отдельных  государственных полномочий в сфере архивного дела</t>
  </si>
  <si>
    <t>Субвенции местным бюджетам  на осуществление отдельных государственных  полномочий  по организации  и обеспечению   деятельности административных  комиссий</t>
  </si>
  <si>
    <t>Субвенции местным бюджетам на осуществление  отдельных  государственных  полномочий   по  профилактике безнадзорности и правонарушений несовершеннолетних</t>
  </si>
  <si>
    <t>Субвенции местным бюджетам на осуществление отдельных государственных полномочий в сфере трудовых отношений</t>
  </si>
  <si>
    <r>
      <t xml:space="preserve">Субвенции местным бюджетам  на оказание финансовой </t>
    </r>
    <r>
      <rPr>
        <b/>
        <sz val="10"/>
        <rFont val="Times New Roman"/>
        <family val="1"/>
      </rPr>
      <t>поддержки общественным организациям ветеранов войны</t>
    </r>
    <r>
      <rPr>
        <sz val="10"/>
        <rFont val="Times New Roman"/>
        <family val="1"/>
      </rPr>
      <t>, труда, Вооруженных сил и правоохранительных органов</t>
    </r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</si>
  <si>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</si>
  <si>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 бюджетам  муниципальных   районов    на выплату ежемесячного пособия на ребенка</t>
  </si>
  <si>
    <t>Субвенции местным бюджетам для осуществления отдельных государственных полномочий, связанных с предоставлением социальной поддержки отдельным категориям граждан по обеспечению продовольственными товарами по сниженным ценам и выплатой ежемесячной денежной компенсации</t>
  </si>
  <si>
    <t xml:space="preserve">Субвенции местным бюджетам  на содержание работников, осуществляющих переданные  государственные полномочия  в сфере социальной защиты населения </t>
  </si>
  <si>
    <t>Субвенции  бюджетам  муниципальных   районов  на организацию проведения мероприятий по отлову и содержанию безнадзорных животных</t>
  </si>
  <si>
    <t>Субвенции  бюджетам  муниципальных   районов  на содержание работников, осуществляющих отдельные государственные полномочия по организации проведения мероприятий по отлову и содержанию безнадзорных животных</t>
  </si>
  <si>
    <t>Субвенции местным бюджетам на осуществление отдельных государственных полномочий по расчету и  предоставлению дотаций на выравнивание бюджетой обеспеченности поселений за счет средств областного бюджета</t>
  </si>
  <si>
    <t>202  40000  00  0000  151</t>
  </si>
  <si>
    <t>Иные межбюджетные трансферты</t>
  </si>
  <si>
    <t>202 45160 00 0000 151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</si>
  <si>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</si>
  <si>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202 45160 05 0000 151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</si>
  <si>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</si>
  <si>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202 49999 00 0000 151</t>
  </si>
  <si>
    <t>Прочие межбюджетные трансферты, передаваемые бюджетам</t>
  </si>
  <si>
    <t>202 49999 05 0000 151</t>
  </si>
  <si>
    <t>Прочие межбюджетные трансферты, передаваемые бюджетам муниципальных районов</t>
  </si>
  <si>
    <t>207 00000 00 0000 000</t>
  </si>
  <si>
    <t>ПРОЧИЕ БЕЗВОЗМЕЗДНЫЕ ПОСТУПЛЕНИЯ</t>
  </si>
  <si>
    <t>207 05000 05 0000 180</t>
  </si>
  <si>
    <t>Прочие безвозмездные поступления в бюджеты муниципальных районов</t>
  </si>
  <si>
    <t>207 05030 05 0000 180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</si>
  <si>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</si>
  <si>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</si>
  <si>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2 18 00000 00 0000 151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</si>
  <si>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</si>
  <si>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2 18 00000 05 0000 151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</si>
  <si>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</si>
  <si>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</si>
  <si>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</si>
  <si>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</si>
  <si>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</si>
  <si>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</si>
  <si>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</si>
  <si>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                      Приложение №4</t>
  </si>
  <si>
    <t xml:space="preserve">                                                     к   Решению  Представительного собрания  Глушковского  района   Курской области </t>
  </si>
  <si>
    <t xml:space="preserve"> Источники внутреннего финансирования дефицита бюджета муниципального района  "Глушковский район" Курской области  за 2018 год</t>
  </si>
  <si>
    <t>(по кодам  классикации  источников  финансирования дефицитов бюджетов )</t>
  </si>
  <si>
    <t>рублей</t>
  </si>
  <si>
    <t>Код источника финансирования  по бюджетной классификации</t>
  </si>
  <si>
    <t>Наименование показателя</t>
  </si>
  <si>
    <t>Исполнено</t>
  </si>
  <si>
    <t>1</t>
  </si>
  <si>
    <t>Источники финансирования дефицита бюджета - всего, в том числе:</t>
  </si>
  <si>
    <t>000 01 00 00 00 00 0000 000</t>
  </si>
  <si>
    <t>ИСТОЧНИКИ ВНУТРЕННЕГО ФИНАНСИРОВАНИЯ ДЕФИЦИТОВ  БЮДЖЕТОВ</t>
  </si>
  <si>
    <t>000 01 03 00 00 00 0000 000</t>
  </si>
  <si>
    <t>Бюджетные кредиты от других бюджетов бюджетной  системы Российской Федерации</t>
  </si>
  <si>
    <t>000 01 03 01 00 00 0000 000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</si>
  <si>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</si>
  <si>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</si>
  <si>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</si>
  <si>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</si>
  <si>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</si>
  <si>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</si>
  <si>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</si>
  <si>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</si>
  <si>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</si>
  <si>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000 01 06 00 00 00 0000 000</t>
  </si>
  <si>
    <t>Иные источники внутреннего финансирования  дефицитов бюджетов</t>
  </si>
  <si>
    <t>000 01 06 05 00 00 0000 000</t>
  </si>
  <si>
    <t>Бюджетные кредиты, предоставленные внутри  страны в валюте Российской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</si>
  <si>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</si>
  <si>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</si>
  <si>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</si>
  <si>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</si>
  <si>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000 01 06 05 02 05 0000 640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</si>
  <si>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</si>
  <si>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 xml:space="preserve">Изменение остатков средств </t>
  </si>
  <si>
    <t>000 01 00 00 00 00 0000 500</t>
  </si>
  <si>
    <t>Увеличение остатков средств, всего</t>
  </si>
  <si>
    <t>000 01 05 00 00 00 0000 500</t>
  </si>
  <si>
    <t>Увеличение остатков средств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</si>
  <si>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</si>
  <si>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</si>
  <si>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</si>
  <si>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 бюджетов</t>
  </si>
  <si>
    <t>000 01 05 02 01 05 0000 510</t>
  </si>
  <si>
    <t>Увеличение прочих остатков денежных средств  бюджетов муниципальных районов</t>
  </si>
  <si>
    <t>000 01 00 00 00 00 0000 600</t>
  </si>
  <si>
    <t>Уменьшение остатков средств, всего</t>
  </si>
  <si>
    <t>000 01 05 00 00 00 0000 600</t>
  </si>
  <si>
    <t>Уменьшение остатков средств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</si>
  <si>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</si>
  <si>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</si>
  <si>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</si>
  <si>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 бюджетов</t>
  </si>
  <si>
    <t>000 01 05 02 01 05 0000 610</t>
  </si>
  <si>
    <t>Уменьшение прочих остатков денежных средств  бюджетов муниципальных районов</t>
  </si>
  <si>
    <t xml:space="preserve">  от " 28 " мая  2019г. №  60</t>
  </si>
  <si>
    <t xml:space="preserve">                                                                                                      от " 28 " мая  2019г. №  60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</si>
</sst>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00"/>
    <numFmt numFmtId="166" formatCode="#,##0.000"/>
    <numFmt numFmtId="167" formatCode="0.0"/>
    <numFmt numFmtId="168" formatCode="0.000"/>
    <numFmt numFmtId="169" formatCode="0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000"/>
    <numFmt numFmtId="176" formatCode="[$-10419]###\ ###\ ###\ ###\ ##0.00"/>
  </numFmts>
  <fonts count="88">
    <font>
      <sz val="10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Arial Cir"/>
      <family val="0"/>
    </font>
    <font>
      <i/>
      <sz val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u val="single"/>
      <sz val="10"/>
      <color indexed="36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9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b/>
      <sz val="9"/>
      <color indexed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Arial"/>
      <family val="2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0" borderId="0">
      <alignment/>
      <protection/>
    </xf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2" fillId="0" borderId="0">
      <alignment/>
      <protection/>
    </xf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42">
    <xf numFmtId="0" fontId="0" fillId="0" borderId="0" xfId="0" applyAlignment="1">
      <alignment/>
    </xf>
    <xf numFmtId="0" fontId="1" fillId="32" borderId="0" xfId="0" applyFont="1" applyFill="1" applyAlignment="1">
      <alignment wrapText="1"/>
    </xf>
    <xf numFmtId="49" fontId="3" fillId="32" borderId="0" xfId="0" applyNumberFormat="1" applyFont="1" applyFill="1" applyAlignment="1">
      <alignment horizontal="center"/>
    </xf>
    <xf numFmtId="49" fontId="1" fillId="32" borderId="0" xfId="0" applyNumberFormat="1" applyFont="1" applyFill="1" applyAlignment="1">
      <alignment horizontal="right"/>
    </xf>
    <xf numFmtId="4" fontId="9" fillId="32" borderId="0" xfId="0" applyNumberFormat="1" applyFont="1" applyFill="1" applyAlignment="1">
      <alignment horizontal="right"/>
    </xf>
    <xf numFmtId="0" fontId="1" fillId="32" borderId="0" xfId="0" applyFont="1" applyFill="1" applyAlignment="1">
      <alignment/>
    </xf>
    <xf numFmtId="4" fontId="9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0" fontId="5" fillId="32" borderId="0" xfId="0" applyFont="1" applyFill="1" applyAlignment="1">
      <alignment wrapText="1"/>
    </xf>
    <xf numFmtId="0" fontId="6" fillId="32" borderId="0" xfId="0" applyFont="1" applyFill="1" applyAlignment="1">
      <alignment wrapText="1"/>
    </xf>
    <xf numFmtId="49" fontId="1" fillId="32" borderId="0" xfId="0" applyNumberFormat="1" applyFont="1" applyFill="1" applyAlignment="1">
      <alignment wrapText="1"/>
    </xf>
    <xf numFmtId="166" fontId="1" fillId="32" borderId="0" xfId="0" applyNumberFormat="1" applyFont="1" applyFill="1" applyAlignment="1">
      <alignment/>
    </xf>
    <xf numFmtId="49" fontId="1" fillId="32" borderId="0" xfId="0" applyNumberFormat="1" applyFont="1" applyFill="1" applyBorder="1" applyAlignment="1">
      <alignment horizontal="right"/>
    </xf>
    <xf numFmtId="4" fontId="9" fillId="32" borderId="0" xfId="0" applyNumberFormat="1" applyFont="1" applyFill="1" applyAlignment="1">
      <alignment horizontal="center"/>
    </xf>
    <xf numFmtId="4" fontId="4" fillId="32" borderId="0" xfId="0" applyNumberFormat="1" applyFont="1" applyFill="1" applyBorder="1" applyAlignment="1">
      <alignment horizontal="right"/>
    </xf>
    <xf numFmtId="49" fontId="7" fillId="32" borderId="10" xfId="0" applyNumberFormat="1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center" vertical="center"/>
    </xf>
    <xf numFmtId="4" fontId="14" fillId="32" borderId="11" xfId="0" applyNumberFormat="1" applyFont="1" applyFill="1" applyBorder="1" applyAlignment="1">
      <alignment horizontal="center" vertical="center" wrapText="1"/>
    </xf>
    <xf numFmtId="49" fontId="7" fillId="32" borderId="0" xfId="0" applyNumberFormat="1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12" xfId="0" applyFont="1" applyFill="1" applyBorder="1" applyAlignment="1">
      <alignment wrapText="1"/>
    </xf>
    <xf numFmtId="49" fontId="9" fillId="32" borderId="13" xfId="0" applyNumberFormat="1" applyFont="1" applyFill="1" applyBorder="1" applyAlignment="1">
      <alignment horizontal="center"/>
    </xf>
    <xf numFmtId="0" fontId="10" fillId="32" borderId="13" xfId="0" applyFont="1" applyFill="1" applyBorder="1" applyAlignment="1">
      <alignment horizontal="center" wrapText="1"/>
    </xf>
    <xf numFmtId="49" fontId="9" fillId="32" borderId="13" xfId="0" applyNumberFormat="1" applyFont="1" applyFill="1" applyBorder="1" applyAlignment="1">
      <alignment horizontal="right"/>
    </xf>
    <xf numFmtId="4" fontId="9" fillId="32" borderId="13" xfId="0" applyNumberFormat="1" applyFont="1" applyFill="1" applyBorder="1" applyAlignment="1">
      <alignment horizontal="center"/>
    </xf>
    <xf numFmtId="4" fontId="9" fillId="32" borderId="14" xfId="0" applyNumberFormat="1" applyFont="1" applyFill="1" applyBorder="1" applyAlignment="1">
      <alignment horizontal="right"/>
    </xf>
    <xf numFmtId="0" fontId="8" fillId="32" borderId="12" xfId="0" applyFont="1" applyFill="1" applyBorder="1" applyAlignment="1">
      <alignment wrapText="1"/>
    </xf>
    <xf numFmtId="0" fontId="8" fillId="32" borderId="12" xfId="0" applyFont="1" applyFill="1" applyBorder="1" applyAlignment="1">
      <alignment horizontal="left" wrapText="1"/>
    </xf>
    <xf numFmtId="49" fontId="9" fillId="32" borderId="13" xfId="60" applyNumberFormat="1" applyFont="1" applyFill="1" applyBorder="1" applyAlignment="1">
      <alignment horizontal="right" wrapText="1"/>
      <protection/>
    </xf>
    <xf numFmtId="0" fontId="1" fillId="32" borderId="12" xfId="0" applyFont="1" applyFill="1" applyBorder="1" applyAlignment="1">
      <alignment vertical="top" wrapText="1"/>
    </xf>
    <xf numFmtId="169" fontId="1" fillId="32" borderId="12" xfId="54" applyNumberFormat="1" applyFont="1" applyFill="1" applyBorder="1" applyAlignment="1" applyProtection="1">
      <alignment horizontal="left" wrapText="1"/>
      <protection hidden="1"/>
    </xf>
    <xf numFmtId="0" fontId="9" fillId="32" borderId="13" xfId="0" applyFont="1" applyFill="1" applyBorder="1" applyAlignment="1">
      <alignment horizontal="center" wrapText="1"/>
    </xf>
    <xf numFmtId="49" fontId="1" fillId="32" borderId="12" xfId="0" applyNumberFormat="1" applyFont="1" applyFill="1" applyBorder="1" applyAlignment="1">
      <alignment vertical="top" wrapText="1"/>
    </xf>
    <xf numFmtId="0" fontId="10" fillId="32" borderId="13" xfId="0" applyFont="1" applyFill="1" applyBorder="1" applyAlignment="1">
      <alignment horizontal="right" wrapText="1"/>
    </xf>
    <xf numFmtId="49" fontId="9" fillId="32" borderId="13" xfId="0" applyNumberFormat="1" applyFont="1" applyFill="1" applyBorder="1" applyAlignment="1">
      <alignment horizontal="right" wrapText="1"/>
    </xf>
    <xf numFmtId="49" fontId="9" fillId="32" borderId="13" xfId="0" applyNumberFormat="1" applyFont="1" applyFill="1" applyBorder="1" applyAlignment="1">
      <alignment horizontal="center" wrapText="1"/>
    </xf>
    <xf numFmtId="49" fontId="9" fillId="32" borderId="13" xfId="60" applyNumberFormat="1" applyFont="1" applyFill="1" applyBorder="1" applyAlignment="1">
      <alignment horizontal="center" wrapText="1"/>
      <protection/>
    </xf>
    <xf numFmtId="0" fontId="1" fillId="32" borderId="12" xfId="0" applyFont="1" applyFill="1" applyBorder="1" applyAlignment="1">
      <alignment/>
    </xf>
    <xf numFmtId="0" fontId="17" fillId="32" borderId="12" xfId="0" applyFont="1" applyFill="1" applyBorder="1" applyAlignment="1">
      <alignment wrapText="1"/>
    </xf>
    <xf numFmtId="0" fontId="1" fillId="32" borderId="12" xfId="0" applyFont="1" applyFill="1" applyBorder="1" applyAlignment="1">
      <alignment horizontal="justify"/>
    </xf>
    <xf numFmtId="0" fontId="1" fillId="32" borderId="12" xfId="0" applyFont="1" applyFill="1" applyBorder="1" applyAlignment="1">
      <alignment horizontal="left" wrapText="1"/>
    </xf>
    <xf numFmtId="169" fontId="1" fillId="32" borderId="12" xfId="55" applyNumberFormat="1" applyFont="1" applyFill="1" applyBorder="1" applyAlignment="1" applyProtection="1">
      <alignment horizontal="left" wrapText="1"/>
      <protection hidden="1"/>
    </xf>
    <xf numFmtId="49" fontId="14" fillId="32" borderId="13" xfId="0" applyNumberFormat="1" applyFont="1" applyFill="1" applyBorder="1" applyAlignment="1">
      <alignment horizontal="center"/>
    </xf>
    <xf numFmtId="49" fontId="14" fillId="32" borderId="13" xfId="0" applyNumberFormat="1" applyFont="1" applyFill="1" applyBorder="1" applyAlignment="1">
      <alignment horizontal="right"/>
    </xf>
    <xf numFmtId="4" fontId="14" fillId="32" borderId="13" xfId="0" applyNumberFormat="1" applyFont="1" applyFill="1" applyBorder="1" applyAlignment="1">
      <alignment horizontal="center"/>
    </xf>
    <xf numFmtId="4" fontId="14" fillId="32" borderId="14" xfId="0" applyNumberFormat="1" applyFont="1" applyFill="1" applyBorder="1" applyAlignment="1">
      <alignment horizontal="right"/>
    </xf>
    <xf numFmtId="0" fontId="13" fillId="32" borderId="0" xfId="0" applyFont="1" applyFill="1" applyAlignment="1">
      <alignment/>
    </xf>
    <xf numFmtId="0" fontId="4" fillId="32" borderId="13" xfId="0" applyFont="1" applyFill="1" applyBorder="1" applyAlignment="1">
      <alignment horizontal="center" wrapText="1"/>
    </xf>
    <xf numFmtId="0" fontId="1" fillId="32" borderId="12" xfId="67" applyFont="1" applyFill="1" applyBorder="1" applyAlignment="1">
      <alignment horizontal="left" wrapText="1"/>
      <protection/>
    </xf>
    <xf numFmtId="0" fontId="9" fillId="32" borderId="13" xfId="0" applyFont="1" applyFill="1" applyBorder="1" applyAlignment="1">
      <alignment horizontal="center"/>
    </xf>
    <xf numFmtId="49" fontId="9" fillId="32" borderId="0" xfId="0" applyNumberFormat="1" applyFont="1" applyFill="1" applyAlignment="1">
      <alignment horizontal="center"/>
    </xf>
    <xf numFmtId="49" fontId="9" fillId="32" borderId="0" xfId="0" applyNumberFormat="1" applyFont="1" applyFill="1" applyAlignment="1">
      <alignment horizontal="right"/>
    </xf>
    <xf numFmtId="49" fontId="3" fillId="32" borderId="0" xfId="0" applyNumberFormat="1" applyFont="1" applyFill="1" applyAlignment="1">
      <alignment horizontal="right"/>
    </xf>
    <xf numFmtId="0" fontId="4" fillId="32" borderId="0" xfId="0" applyFont="1" applyFill="1" applyAlignment="1">
      <alignment/>
    </xf>
    <xf numFmtId="0" fontId="19" fillId="32" borderId="12" xfId="0" applyFont="1" applyFill="1" applyBorder="1" applyAlignment="1">
      <alignment horizontal="left" wrapText="1"/>
    </xf>
    <xf numFmtId="0" fontId="20" fillId="32" borderId="13" xfId="0" applyFont="1" applyFill="1" applyBorder="1" applyAlignment="1">
      <alignment horizontal="center" wrapText="1"/>
    </xf>
    <xf numFmtId="49" fontId="14" fillId="32" borderId="13" xfId="60" applyNumberFormat="1" applyFont="1" applyFill="1" applyBorder="1" applyAlignment="1">
      <alignment horizontal="right" wrapText="1"/>
      <protection/>
    </xf>
    <xf numFmtId="0" fontId="19" fillId="32" borderId="12" xfId="0" applyFont="1" applyFill="1" applyBorder="1" applyAlignment="1">
      <alignment wrapText="1"/>
    </xf>
    <xf numFmtId="0" fontId="13" fillId="32" borderId="12" xfId="0" applyFont="1" applyFill="1" applyBorder="1" applyAlignment="1">
      <alignment wrapText="1"/>
    </xf>
    <xf numFmtId="2" fontId="19" fillId="32" borderId="12" xfId="74" applyNumberFormat="1" applyFont="1" applyFill="1" applyBorder="1" applyAlignment="1">
      <alignment horizontal="left" vertical="center" wrapText="1"/>
      <protection/>
    </xf>
    <xf numFmtId="49" fontId="14" fillId="32" borderId="13" xfId="0" applyNumberFormat="1" applyFont="1" applyFill="1" applyBorder="1" applyAlignment="1">
      <alignment horizontal="center" wrapText="1"/>
    </xf>
    <xf numFmtId="49" fontId="14" fillId="32" borderId="13" xfId="0" applyNumberFormat="1" applyFont="1" applyFill="1" applyBorder="1" applyAlignment="1">
      <alignment horizontal="right" wrapText="1"/>
    </xf>
    <xf numFmtId="49" fontId="14" fillId="32" borderId="13" xfId="60" applyNumberFormat="1" applyFont="1" applyFill="1" applyBorder="1" applyAlignment="1">
      <alignment horizontal="center" wrapText="1"/>
      <protection/>
    </xf>
    <xf numFmtId="0" fontId="13" fillId="32" borderId="12" xfId="43" applyFont="1" applyFill="1" applyBorder="1" applyAlignment="1" applyProtection="1">
      <alignment horizontal="left" wrapText="1"/>
      <protection/>
    </xf>
    <xf numFmtId="0" fontId="13" fillId="32" borderId="15" xfId="0" applyFont="1" applyFill="1" applyBorder="1" applyAlignment="1">
      <alignment horizontal="justify"/>
    </xf>
    <xf numFmtId="0" fontId="13" fillId="32" borderId="12" xfId="43" applyFont="1" applyFill="1" applyBorder="1" applyAlignment="1" applyProtection="1">
      <alignment horizontal="justify"/>
      <protection/>
    </xf>
    <xf numFmtId="0" fontId="13" fillId="32" borderId="12" xfId="67" applyFont="1" applyFill="1" applyBorder="1" applyAlignment="1">
      <alignment horizontal="left" wrapText="1"/>
      <protection/>
    </xf>
    <xf numFmtId="2" fontId="19" fillId="32" borderId="12" xfId="74" applyNumberFormat="1" applyFont="1" applyFill="1" applyBorder="1" applyAlignment="1">
      <alignment vertical="center" wrapText="1"/>
      <protection/>
    </xf>
    <xf numFmtId="166" fontId="13" fillId="32" borderId="0" xfId="0" applyNumberFormat="1" applyFont="1" applyFill="1" applyAlignment="1">
      <alignment/>
    </xf>
    <xf numFmtId="0" fontId="19" fillId="32" borderId="12" xfId="0" applyFont="1" applyFill="1" applyBorder="1" applyAlignment="1">
      <alignment vertical="top" wrapText="1"/>
    </xf>
    <xf numFmtId="0" fontId="9" fillId="32" borderId="0" xfId="0" applyFont="1" applyFill="1" applyAlignment="1">
      <alignment horizontal="left" wrapText="1"/>
    </xf>
    <xf numFmtId="0" fontId="1" fillId="32" borderId="0" xfId="0" applyFont="1" applyFill="1" applyBorder="1" applyAlignment="1">
      <alignment horizontal="right"/>
    </xf>
    <xf numFmtId="4" fontId="7" fillId="32" borderId="0" xfId="0" applyNumberFormat="1" applyFont="1" applyFill="1" applyAlignment="1">
      <alignment/>
    </xf>
    <xf numFmtId="0" fontId="14" fillId="32" borderId="13" xfId="0" applyFont="1" applyFill="1" applyBorder="1" applyAlignment="1">
      <alignment horizontal="center" wrapText="1"/>
    </xf>
    <xf numFmtId="0" fontId="19" fillId="32" borderId="16" xfId="0" applyFont="1" applyFill="1" applyBorder="1" applyAlignment="1">
      <alignment horizontal="left" wrapText="1"/>
    </xf>
    <xf numFmtId="0" fontId="20" fillId="32" borderId="13" xfId="0" applyFont="1" applyFill="1" applyBorder="1" applyAlignment="1">
      <alignment horizontal="right" wrapText="1"/>
    </xf>
    <xf numFmtId="0" fontId="9" fillId="32" borderId="0" xfId="0" applyFont="1" applyFill="1" applyAlignment="1">
      <alignment/>
    </xf>
    <xf numFmtId="4" fontId="9" fillId="32" borderId="17" xfId="0" applyNumberFormat="1" applyFont="1" applyFill="1" applyBorder="1" applyAlignment="1">
      <alignment horizontal="center"/>
    </xf>
    <xf numFmtId="49" fontId="21" fillId="32" borderId="10" xfId="0" applyNumberFormat="1" applyFont="1" applyFill="1" applyBorder="1" applyAlignment="1">
      <alignment horizontal="center" vertical="center" wrapText="1"/>
    </xf>
    <xf numFmtId="49" fontId="21" fillId="32" borderId="11" xfId="0" applyNumberFormat="1" applyFont="1" applyFill="1" applyBorder="1" applyAlignment="1">
      <alignment horizontal="center" vertical="center"/>
    </xf>
    <xf numFmtId="4" fontId="4" fillId="32" borderId="0" xfId="0" applyNumberFormat="1" applyFont="1" applyFill="1" applyAlignment="1">
      <alignment/>
    </xf>
    <xf numFmtId="4" fontId="4" fillId="32" borderId="0" xfId="0" applyNumberFormat="1" applyFont="1" applyFill="1" applyAlignment="1">
      <alignment wrapText="1"/>
    </xf>
    <xf numFmtId="4" fontId="15" fillId="32" borderId="14" xfId="0" applyNumberFormat="1" applyFont="1" applyFill="1" applyBorder="1" applyAlignment="1">
      <alignment/>
    </xf>
    <xf numFmtId="4" fontId="4" fillId="32" borderId="14" xfId="0" applyNumberFormat="1" applyFont="1" applyFill="1" applyBorder="1" applyAlignment="1">
      <alignment/>
    </xf>
    <xf numFmtId="4" fontId="9" fillId="32" borderId="13" xfId="0" applyNumberFormat="1" applyFont="1" applyFill="1" applyBorder="1" applyAlignment="1">
      <alignment/>
    </xf>
    <xf numFmtId="4" fontId="9" fillId="32" borderId="14" xfId="0" applyNumberFormat="1" applyFont="1" applyFill="1" applyBorder="1" applyAlignment="1">
      <alignment/>
    </xf>
    <xf numFmtId="4" fontId="14" fillId="32" borderId="14" xfId="0" applyNumberFormat="1" applyFont="1" applyFill="1" applyBorder="1" applyAlignment="1">
      <alignment/>
    </xf>
    <xf numFmtId="4" fontId="4" fillId="32" borderId="18" xfId="0" applyNumberFormat="1" applyFont="1" applyFill="1" applyBorder="1" applyAlignment="1">
      <alignment/>
    </xf>
    <xf numFmtId="0" fontId="22" fillId="32" borderId="0" xfId="0" applyFont="1" applyFill="1" applyAlignment="1">
      <alignment/>
    </xf>
    <xf numFmtId="4" fontId="9" fillId="32" borderId="13" xfId="0" applyNumberFormat="1" applyFont="1" applyFill="1" applyBorder="1" applyAlignment="1">
      <alignment horizontal="right"/>
    </xf>
    <xf numFmtId="4" fontId="9" fillId="32" borderId="0" xfId="0" applyNumberFormat="1" applyFont="1" applyFill="1" applyBorder="1" applyAlignment="1">
      <alignment horizontal="right"/>
    </xf>
    <xf numFmtId="4" fontId="14" fillId="32" borderId="11" xfId="0" applyNumberFormat="1" applyFont="1" applyFill="1" applyBorder="1" applyAlignment="1">
      <alignment horizontal="right" vertical="center" wrapText="1"/>
    </xf>
    <xf numFmtId="4" fontId="1" fillId="32" borderId="0" xfId="0" applyNumberFormat="1" applyFont="1" applyFill="1" applyAlignment="1">
      <alignment horizontal="right" wrapText="1"/>
    </xf>
    <xf numFmtId="4" fontId="14" fillId="32" borderId="13" xfId="0" applyNumberFormat="1" applyFont="1" applyFill="1" applyBorder="1" applyAlignment="1">
      <alignment horizontal="right"/>
    </xf>
    <xf numFmtId="4" fontId="1" fillId="32" borderId="0" xfId="0" applyNumberFormat="1" applyFont="1" applyFill="1" applyAlignment="1">
      <alignment wrapText="1"/>
    </xf>
    <xf numFmtId="49" fontId="9" fillId="32" borderId="11" xfId="0" applyNumberFormat="1" applyFont="1" applyFill="1" applyBorder="1" applyAlignment="1">
      <alignment horizontal="center"/>
    </xf>
    <xf numFmtId="49" fontId="9" fillId="32" borderId="11" xfId="0" applyNumberFormat="1" applyFont="1" applyFill="1" applyBorder="1" applyAlignment="1">
      <alignment horizontal="right"/>
    </xf>
    <xf numFmtId="0" fontId="13" fillId="32" borderId="12" xfId="0" applyFont="1" applyFill="1" applyBorder="1" applyAlignment="1">
      <alignment horizontal="left" vertical="top" wrapText="1"/>
    </xf>
    <xf numFmtId="49" fontId="9" fillId="32" borderId="19" xfId="0" applyNumberFormat="1" applyFont="1" applyFill="1" applyBorder="1" applyAlignment="1">
      <alignment horizontal="center"/>
    </xf>
    <xf numFmtId="4" fontId="4" fillId="32" borderId="14" xfId="0" applyNumberFormat="1" applyFont="1" applyFill="1" applyBorder="1" applyAlignment="1">
      <alignment horizontal="right"/>
    </xf>
    <xf numFmtId="0" fontId="8" fillId="32" borderId="12" xfId="0" applyFont="1" applyFill="1" applyBorder="1" applyAlignment="1">
      <alignment vertical="top" wrapText="1"/>
    </xf>
    <xf numFmtId="2" fontId="13" fillId="32" borderId="12" xfId="74" applyNumberFormat="1" applyFont="1" applyFill="1" applyBorder="1" applyAlignment="1">
      <alignment horizontal="left" vertical="center" wrapText="1"/>
      <protection/>
    </xf>
    <xf numFmtId="0" fontId="9" fillId="32" borderId="15" xfId="0" applyFont="1" applyFill="1" applyBorder="1" applyAlignment="1">
      <alignment wrapText="1"/>
    </xf>
    <xf numFmtId="2" fontId="19" fillId="32" borderId="12" xfId="74" applyNumberFormat="1" applyFont="1" applyFill="1" applyBorder="1" applyAlignment="1">
      <alignment horizontal="left" vertical="top" wrapText="1"/>
      <protection/>
    </xf>
    <xf numFmtId="0" fontId="13" fillId="32" borderId="12" xfId="0" applyFont="1" applyFill="1" applyBorder="1" applyAlignment="1">
      <alignment horizontal="left" wrapText="1"/>
    </xf>
    <xf numFmtId="2" fontId="20" fillId="32" borderId="12" xfId="74" applyNumberFormat="1" applyFont="1" applyFill="1" applyBorder="1" applyAlignment="1">
      <alignment horizontal="left" vertical="center" wrapText="1"/>
      <protection/>
    </xf>
    <xf numFmtId="169" fontId="9" fillId="32" borderId="12" xfId="55" applyNumberFormat="1" applyFont="1" applyFill="1" applyBorder="1" applyAlignment="1" applyProtection="1">
      <alignment horizontal="left" vertical="top" wrapText="1"/>
      <protection hidden="1"/>
    </xf>
    <xf numFmtId="0" fontId="9" fillId="32" borderId="12" xfId="0" applyFont="1" applyFill="1" applyBorder="1" applyAlignment="1">
      <alignment horizontal="justify"/>
    </xf>
    <xf numFmtId="0" fontId="1" fillId="32" borderId="12" xfId="0" applyFont="1" applyFill="1" applyBorder="1" applyAlignment="1">
      <alignment horizontal="left" vertical="top" wrapText="1"/>
    </xf>
    <xf numFmtId="169" fontId="1" fillId="32" borderId="12" xfId="54" applyNumberFormat="1" applyFont="1" applyFill="1" applyBorder="1" applyAlignment="1" applyProtection="1">
      <alignment horizontal="left" vertical="top" wrapText="1"/>
      <protection hidden="1"/>
    </xf>
    <xf numFmtId="169" fontId="13" fillId="32" borderId="12" xfId="55" applyNumberFormat="1" applyFont="1" applyFill="1" applyBorder="1" applyAlignment="1" applyProtection="1">
      <alignment horizontal="left" vertical="top" wrapText="1"/>
      <protection hidden="1"/>
    </xf>
    <xf numFmtId="169" fontId="1" fillId="32" borderId="12" xfId="55" applyNumberFormat="1" applyFont="1" applyFill="1" applyBorder="1" applyAlignment="1" applyProtection="1">
      <alignment horizontal="left" vertical="top" wrapText="1"/>
      <protection hidden="1"/>
    </xf>
    <xf numFmtId="4" fontId="9" fillId="32" borderId="14" xfId="60" applyNumberFormat="1" applyFont="1" applyFill="1" applyBorder="1" applyAlignment="1">
      <alignment horizontal="right" wrapText="1"/>
      <protection/>
    </xf>
    <xf numFmtId="49" fontId="10" fillId="32" borderId="13" xfId="0" applyNumberFormat="1" applyFont="1" applyFill="1" applyBorder="1" applyAlignment="1">
      <alignment horizontal="center"/>
    </xf>
    <xf numFmtId="49" fontId="13" fillId="32" borderId="13" xfId="0" applyNumberFormat="1" applyFont="1" applyFill="1" applyBorder="1" applyAlignment="1">
      <alignment horizontal="center" wrapText="1"/>
    </xf>
    <xf numFmtId="0" fontId="13" fillId="32" borderId="12" xfId="0" applyFont="1" applyFill="1" applyBorder="1" applyAlignment="1">
      <alignment vertical="top" wrapText="1"/>
    </xf>
    <xf numFmtId="2" fontId="19" fillId="32" borderId="20" xfId="74" applyNumberFormat="1" applyFont="1" applyFill="1" applyBorder="1" applyAlignment="1">
      <alignment horizontal="left" vertical="center" wrapText="1"/>
      <protection/>
    </xf>
    <xf numFmtId="4" fontId="9" fillId="32" borderId="21" xfId="0" applyNumberFormat="1" applyFont="1" applyFill="1" applyBorder="1" applyAlignment="1">
      <alignment horizontal="right"/>
    </xf>
    <xf numFmtId="4" fontId="9" fillId="32" borderId="13" xfId="60" applyNumberFormat="1" applyFont="1" applyFill="1" applyBorder="1" applyAlignment="1">
      <alignment horizontal="right" wrapText="1"/>
      <protection/>
    </xf>
    <xf numFmtId="169" fontId="18" fillId="32" borderId="12" xfId="55" applyNumberFormat="1" applyFont="1" applyFill="1" applyBorder="1" applyAlignment="1" applyProtection="1">
      <alignment horizontal="left" wrapText="1"/>
      <protection hidden="1"/>
    </xf>
    <xf numFmtId="4" fontId="9" fillId="32" borderId="22" xfId="0" applyNumberFormat="1" applyFont="1" applyFill="1" applyBorder="1" applyAlignment="1">
      <alignment horizontal="right"/>
    </xf>
    <xf numFmtId="4" fontId="9" fillId="32" borderId="13" xfId="0" applyNumberFormat="1" applyFont="1" applyFill="1" applyBorder="1" applyAlignment="1">
      <alignment/>
    </xf>
    <xf numFmtId="49" fontId="1" fillId="32" borderId="23" xfId="0" applyNumberFormat="1" applyFont="1" applyFill="1" applyBorder="1" applyAlignment="1">
      <alignment vertical="top" wrapText="1"/>
    </xf>
    <xf numFmtId="49" fontId="9" fillId="32" borderId="19" xfId="0" applyNumberFormat="1" applyFont="1" applyFill="1" applyBorder="1" applyAlignment="1">
      <alignment horizontal="right"/>
    </xf>
    <xf numFmtId="4" fontId="9" fillId="32" borderId="19" xfId="0" applyNumberFormat="1" applyFont="1" applyFill="1" applyBorder="1" applyAlignment="1">
      <alignment horizontal="right"/>
    </xf>
    <xf numFmtId="4" fontId="9" fillId="32" borderId="19" xfId="0" applyNumberFormat="1" applyFont="1" applyFill="1" applyBorder="1" applyAlignment="1">
      <alignment horizontal="center"/>
    </xf>
    <xf numFmtId="4" fontId="7" fillId="32" borderId="18" xfId="0" applyNumberFormat="1" applyFont="1" applyFill="1" applyBorder="1" applyAlignment="1">
      <alignment horizontal="right" vertical="center" wrapText="1"/>
    </xf>
    <xf numFmtId="0" fontId="9" fillId="32" borderId="12" xfId="0" applyFont="1" applyFill="1" applyBorder="1" applyAlignment="1">
      <alignment wrapText="1"/>
    </xf>
    <xf numFmtId="4" fontId="21" fillId="32" borderId="18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/>
    </xf>
    <xf numFmtId="0" fontId="4" fillId="32" borderId="12" xfId="0" applyFont="1" applyFill="1" applyBorder="1" applyAlignment="1">
      <alignment horizontal="left" wrapText="1"/>
    </xf>
    <xf numFmtId="49" fontId="1" fillId="32" borderId="12" xfId="0" applyNumberFormat="1" applyFont="1" applyFill="1" applyBorder="1" applyAlignment="1">
      <alignment horizontal="left" vertical="top" wrapText="1"/>
    </xf>
    <xf numFmtId="0" fontId="1" fillId="32" borderId="12" xfId="60" applyFont="1" applyFill="1" applyBorder="1" applyAlignment="1">
      <alignment horizontal="justify" vertical="top" wrapText="1"/>
      <protection/>
    </xf>
    <xf numFmtId="2" fontId="8" fillId="32" borderId="12" xfId="74" applyNumberFormat="1" applyFont="1" applyFill="1" applyBorder="1" applyAlignment="1">
      <alignment vertical="center" wrapText="1"/>
      <protection/>
    </xf>
    <xf numFmtId="2" fontId="8" fillId="32" borderId="12" xfId="74" applyNumberFormat="1" applyFont="1" applyFill="1" applyBorder="1" applyAlignment="1">
      <alignment horizontal="left" vertical="center" wrapText="1"/>
      <protection/>
    </xf>
    <xf numFmtId="2" fontId="1" fillId="32" borderId="12" xfId="74" applyNumberFormat="1" applyFont="1" applyFill="1" applyBorder="1" applyAlignment="1">
      <alignment horizontal="left" vertical="top" wrapText="1"/>
      <protection/>
    </xf>
    <xf numFmtId="0" fontId="8" fillId="32" borderId="12" xfId="0" applyFont="1" applyFill="1" applyBorder="1" applyAlignment="1">
      <alignment horizontal="left" vertical="top" wrapText="1"/>
    </xf>
    <xf numFmtId="2" fontId="1" fillId="32" borderId="12" xfId="74" applyNumberFormat="1" applyFont="1" applyFill="1" applyBorder="1" applyAlignment="1">
      <alignment horizontal="left" vertical="center" wrapText="1"/>
      <protection/>
    </xf>
    <xf numFmtId="0" fontId="1" fillId="32" borderId="12" xfId="43" applyFont="1" applyFill="1" applyBorder="1" applyAlignment="1" applyProtection="1">
      <alignment horizontal="left" wrapText="1"/>
      <protection/>
    </xf>
    <xf numFmtId="0" fontId="17" fillId="32" borderId="12" xfId="0" applyFont="1" applyFill="1" applyBorder="1" applyAlignment="1">
      <alignment horizontal="left" wrapText="1"/>
    </xf>
    <xf numFmtId="2" fontId="8" fillId="32" borderId="12" xfId="74" applyNumberFormat="1" applyFont="1" applyFill="1" applyBorder="1" applyAlignment="1">
      <alignment horizontal="left" wrapText="1"/>
      <protection/>
    </xf>
    <xf numFmtId="2" fontId="8" fillId="32" borderId="12" xfId="74" applyNumberFormat="1" applyFont="1" applyFill="1" applyBorder="1" applyAlignment="1">
      <alignment wrapText="1"/>
      <protection/>
    </xf>
    <xf numFmtId="0" fontId="8" fillId="32" borderId="12" xfId="0" applyFont="1" applyFill="1" applyBorder="1" applyAlignment="1">
      <alignment vertical="center" wrapText="1"/>
    </xf>
    <xf numFmtId="0" fontId="10" fillId="32" borderId="12" xfId="0" applyFont="1" applyFill="1" applyBorder="1" applyAlignment="1">
      <alignment horizontal="left" wrapText="1"/>
    </xf>
    <xf numFmtId="49" fontId="8" fillId="32" borderId="12" xfId="0" applyNumberFormat="1" applyFont="1" applyFill="1" applyBorder="1" applyAlignment="1">
      <alignment horizontal="left" vertical="top" wrapText="1"/>
    </xf>
    <xf numFmtId="49" fontId="1" fillId="32" borderId="12" xfId="0" applyNumberFormat="1" applyFont="1" applyFill="1" applyBorder="1" applyAlignment="1">
      <alignment wrapText="1"/>
    </xf>
    <xf numFmtId="0" fontId="8" fillId="32" borderId="16" xfId="0" applyFont="1" applyFill="1" applyBorder="1" applyAlignment="1">
      <alignment horizontal="left" wrapText="1"/>
    </xf>
    <xf numFmtId="0" fontId="1" fillId="32" borderId="20" xfId="0" applyFont="1" applyFill="1" applyBorder="1" applyAlignment="1">
      <alignment vertical="center" wrapText="1"/>
    </xf>
    <xf numFmtId="2" fontId="8" fillId="32" borderId="12" xfId="74" applyNumberFormat="1" applyFont="1" applyFill="1" applyBorder="1" applyAlignment="1">
      <alignment vertical="top" wrapText="1"/>
      <protection/>
    </xf>
    <xf numFmtId="0" fontId="8" fillId="32" borderId="24" xfId="0" applyFont="1" applyFill="1" applyBorder="1" applyAlignment="1">
      <alignment wrapText="1"/>
    </xf>
    <xf numFmtId="0" fontId="1" fillId="32" borderId="15" xfId="0" applyFont="1" applyFill="1" applyBorder="1" applyAlignment="1">
      <alignment vertical="top" wrapText="1"/>
    </xf>
    <xf numFmtId="2" fontId="8" fillId="32" borderId="20" xfId="74" applyNumberFormat="1" applyFont="1" applyFill="1" applyBorder="1" applyAlignment="1">
      <alignment horizontal="left" vertical="center" wrapText="1"/>
      <protection/>
    </xf>
    <xf numFmtId="0" fontId="8" fillId="32" borderId="16" xfId="0" applyFont="1" applyFill="1" applyBorder="1" applyAlignment="1">
      <alignment vertical="top" wrapText="1"/>
    </xf>
    <xf numFmtId="0" fontId="8" fillId="32" borderId="16" xfId="0" applyFont="1" applyFill="1" applyBorder="1" applyAlignment="1">
      <alignment wrapText="1"/>
    </xf>
    <xf numFmtId="0" fontId="10" fillId="32" borderId="16" xfId="0" applyFont="1" applyFill="1" applyBorder="1" applyAlignment="1">
      <alignment wrapText="1"/>
    </xf>
    <xf numFmtId="0" fontId="1" fillId="32" borderId="10" xfId="0" applyFont="1" applyFill="1" applyBorder="1" applyAlignment="1">
      <alignment vertical="top" wrapText="1"/>
    </xf>
    <xf numFmtId="4" fontId="9" fillId="32" borderId="18" xfId="0" applyNumberFormat="1" applyFont="1" applyFill="1" applyBorder="1" applyAlignment="1">
      <alignment horizontal="right"/>
    </xf>
    <xf numFmtId="49" fontId="4" fillId="32" borderId="13" xfId="0" applyNumberFormat="1" applyFont="1" applyFill="1" applyBorder="1" applyAlignment="1">
      <alignment horizontal="right"/>
    </xf>
    <xf numFmtId="166" fontId="9" fillId="32" borderId="0" xfId="0" applyNumberFormat="1" applyFont="1" applyFill="1" applyAlignment="1">
      <alignment/>
    </xf>
    <xf numFmtId="2" fontId="8" fillId="32" borderId="12" xfId="0" applyNumberFormat="1" applyFont="1" applyFill="1" applyBorder="1" applyAlignment="1">
      <alignment vertical="center" wrapText="1"/>
    </xf>
    <xf numFmtId="0" fontId="1" fillId="32" borderId="10" xfId="0" applyFont="1" applyFill="1" applyBorder="1" applyAlignment="1">
      <alignment wrapText="1"/>
    </xf>
    <xf numFmtId="0" fontId="9" fillId="32" borderId="11" xfId="0" applyFont="1" applyFill="1" applyBorder="1" applyAlignment="1">
      <alignment horizontal="center" wrapText="1"/>
    </xf>
    <xf numFmtId="49" fontId="9" fillId="32" borderId="11" xfId="60" applyNumberFormat="1" applyFont="1" applyFill="1" applyBorder="1" applyAlignment="1">
      <alignment horizontal="right" wrapText="1"/>
      <protection/>
    </xf>
    <xf numFmtId="4" fontId="9" fillId="32" borderId="17" xfId="0" applyNumberFormat="1" applyFont="1" applyFill="1" applyBorder="1" applyAlignment="1">
      <alignment horizontal="right"/>
    </xf>
    <xf numFmtId="4" fontId="14" fillId="32" borderId="17" xfId="0" applyNumberFormat="1" applyFont="1" applyFill="1" applyBorder="1" applyAlignment="1">
      <alignment horizontal="right"/>
    </xf>
    <xf numFmtId="0" fontId="1" fillId="32" borderId="13" xfId="0" applyFont="1" applyFill="1" applyBorder="1" applyAlignment="1">
      <alignment vertical="top" wrapText="1"/>
    </xf>
    <xf numFmtId="2" fontId="22" fillId="32" borderId="0" xfId="0" applyNumberFormat="1" applyFont="1" applyFill="1" applyAlignment="1">
      <alignment/>
    </xf>
    <xf numFmtId="4" fontId="9" fillId="32" borderId="17" xfId="0" applyNumberFormat="1" applyFont="1" applyFill="1" applyBorder="1" applyAlignment="1">
      <alignment/>
    </xf>
    <xf numFmtId="4" fontId="9" fillId="32" borderId="11" xfId="0" applyNumberFormat="1" applyFont="1" applyFill="1" applyBorder="1" applyAlignment="1">
      <alignment horizontal="right"/>
    </xf>
    <xf numFmtId="4" fontId="9" fillId="32" borderId="18" xfId="0" applyNumberFormat="1" applyFont="1" applyFill="1" applyBorder="1" applyAlignment="1">
      <alignment/>
    </xf>
    <xf numFmtId="169" fontId="18" fillId="32" borderId="12" xfId="55" applyNumberFormat="1" applyFont="1" applyFill="1" applyBorder="1" applyAlignment="1" applyProtection="1">
      <alignment horizontal="left" vertical="top" wrapText="1"/>
      <protection hidden="1"/>
    </xf>
    <xf numFmtId="0" fontId="19" fillId="32" borderId="12" xfId="0" applyFont="1" applyFill="1" applyBorder="1" applyAlignment="1">
      <alignment horizontal="justify" vertical="top" wrapText="1"/>
    </xf>
    <xf numFmtId="4" fontId="9" fillId="32" borderId="14" xfId="0" applyNumberFormat="1" applyFont="1" applyFill="1" applyBorder="1" applyAlignment="1">
      <alignment/>
    </xf>
    <xf numFmtId="49" fontId="13" fillId="32" borderId="10" xfId="0" applyNumberFormat="1" applyFont="1" applyFill="1" applyBorder="1" applyAlignment="1">
      <alignment vertical="top" wrapText="1"/>
    </xf>
    <xf numFmtId="49" fontId="14" fillId="32" borderId="11" xfId="0" applyNumberFormat="1" applyFont="1" applyFill="1" applyBorder="1" applyAlignment="1">
      <alignment horizontal="center"/>
    </xf>
    <xf numFmtId="49" fontId="14" fillId="32" borderId="11" xfId="0" applyNumberFormat="1" applyFont="1" applyFill="1" applyBorder="1" applyAlignment="1">
      <alignment horizontal="right"/>
    </xf>
    <xf numFmtId="4" fontId="15" fillId="32" borderId="18" xfId="0" applyNumberFormat="1" applyFont="1" applyFill="1" applyBorder="1" applyAlignment="1">
      <alignment/>
    </xf>
    <xf numFmtId="0" fontId="1" fillId="32" borderId="25" xfId="0" applyFont="1" applyFill="1" applyBorder="1" applyAlignment="1">
      <alignment/>
    </xf>
    <xf numFmtId="0" fontId="9" fillId="32" borderId="26" xfId="0" applyFont="1" applyFill="1" applyBorder="1" applyAlignment="1">
      <alignment horizontal="center" wrapText="1"/>
    </xf>
    <xf numFmtId="49" fontId="9" fillId="32" borderId="26" xfId="60" applyNumberFormat="1" applyFont="1" applyFill="1" applyBorder="1" applyAlignment="1">
      <alignment horizontal="right" wrapText="1"/>
      <protection/>
    </xf>
    <xf numFmtId="4" fontId="4" fillId="32" borderId="27" xfId="0" applyNumberFormat="1" applyFont="1" applyFill="1" applyBorder="1" applyAlignment="1">
      <alignment/>
    </xf>
    <xf numFmtId="0" fontId="10" fillId="32" borderId="13" xfId="0" applyFont="1" applyFill="1" applyBorder="1" applyAlignment="1">
      <alignment horizontal="center" vertical="top" wrapText="1"/>
    </xf>
    <xf numFmtId="0" fontId="10" fillId="32" borderId="11" xfId="0" applyFont="1" applyFill="1" applyBorder="1" applyAlignment="1">
      <alignment horizontal="right" wrapText="1"/>
    </xf>
    <xf numFmtId="0" fontId="1" fillId="32" borderId="0" xfId="0" applyFont="1" applyFill="1" applyAlignment="1">
      <alignment horizontal="left" wrapText="1"/>
    </xf>
    <xf numFmtId="0" fontId="1" fillId="32" borderId="0" xfId="0" applyFont="1" applyFill="1" applyAlignment="1">
      <alignment horizontal="left" wrapText="1"/>
    </xf>
    <xf numFmtId="0" fontId="9" fillId="32" borderId="15" xfId="0" applyFont="1" applyFill="1" applyBorder="1" applyAlignment="1">
      <alignment/>
    </xf>
    <xf numFmtId="49" fontId="4" fillId="32" borderId="0" xfId="0" applyNumberFormat="1" applyFont="1" applyFill="1" applyAlignment="1">
      <alignment/>
    </xf>
    <xf numFmtId="9" fontId="4" fillId="32" borderId="0" xfId="72" applyFont="1" applyFill="1" applyAlignment="1">
      <alignment/>
    </xf>
    <xf numFmtId="49" fontId="4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  <xf numFmtId="49" fontId="4" fillId="32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49" fontId="1" fillId="32" borderId="0" xfId="0" applyNumberFormat="1" applyFont="1" applyFill="1" applyAlignment="1">
      <alignment/>
    </xf>
    <xf numFmtId="166" fontId="4" fillId="32" borderId="0" xfId="0" applyNumberFormat="1" applyFont="1" applyFill="1" applyAlignment="1">
      <alignment horizontal="right"/>
    </xf>
    <xf numFmtId="49" fontId="26" fillId="32" borderId="13" xfId="0" applyNumberFormat="1" applyFont="1" applyFill="1" applyBorder="1" applyAlignment="1">
      <alignment horizontal="center"/>
    </xf>
    <xf numFmtId="0" fontId="27" fillId="32" borderId="0" xfId="0" applyFont="1" applyFill="1" applyAlignment="1">
      <alignment/>
    </xf>
    <xf numFmtId="0" fontId="28" fillId="32" borderId="0" xfId="0" applyFont="1" applyFill="1" applyAlignment="1">
      <alignment/>
    </xf>
    <xf numFmtId="0" fontId="0" fillId="0" borderId="0" xfId="0" applyAlignment="1">
      <alignment/>
    </xf>
    <xf numFmtId="49" fontId="1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 horizontal="right" vertical="center"/>
    </xf>
    <xf numFmtId="166" fontId="1" fillId="0" borderId="28" xfId="0" applyNumberFormat="1" applyFont="1" applyBorder="1" applyAlignment="1">
      <alignment horizontal="center"/>
    </xf>
    <xf numFmtId="0" fontId="17" fillId="0" borderId="2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166" fontId="8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vertical="center" wrapText="1"/>
    </xf>
    <xf numFmtId="4" fontId="28" fillId="0" borderId="13" xfId="0" applyNumberFormat="1" applyFont="1" applyBorder="1" applyAlignment="1">
      <alignment horizontal="right" vertical="center" wrapText="1"/>
    </xf>
    <xf numFmtId="0" fontId="30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horizontal="center" wrapText="1"/>
    </xf>
    <xf numFmtId="0" fontId="28" fillId="0" borderId="13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4" fontId="1" fillId="0" borderId="13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vertical="top" wrapText="1"/>
    </xf>
    <xf numFmtId="4" fontId="31" fillId="0" borderId="13" xfId="0" applyNumberFormat="1" applyFont="1" applyBorder="1" applyAlignment="1">
      <alignment horizontal="right" vertical="center" wrapText="1"/>
    </xf>
    <xf numFmtId="0" fontId="32" fillId="0" borderId="0" xfId="0" applyFont="1" applyAlignment="1">
      <alignment/>
    </xf>
    <xf numFmtId="49" fontId="1" fillId="0" borderId="13" xfId="0" applyNumberFormat="1" applyFont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wrapText="1"/>
    </xf>
    <xf numFmtId="4" fontId="28" fillId="0" borderId="13" xfId="0" applyNumberFormat="1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wrapText="1"/>
    </xf>
    <xf numFmtId="0" fontId="34" fillId="0" borderId="0" xfId="0" applyFont="1" applyAlignment="1">
      <alignment/>
    </xf>
    <xf numFmtId="0" fontId="1" fillId="0" borderId="13" xfId="0" applyFont="1" applyBorder="1" applyAlignment="1">
      <alignment vertical="center" wrapText="1"/>
    </xf>
    <xf numFmtId="0" fontId="8" fillId="0" borderId="13" xfId="33" applyNumberFormat="1" applyFont="1" applyFill="1" applyBorder="1" applyAlignment="1">
      <alignment horizontal="left" vertical="top" wrapText="1" readingOrder="1"/>
      <protection/>
    </xf>
    <xf numFmtId="0" fontId="28" fillId="33" borderId="13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vertical="top" wrapText="1"/>
    </xf>
    <xf numFmtId="4" fontId="28" fillId="33" borderId="13" xfId="0" applyNumberFormat="1" applyFont="1" applyFill="1" applyBorder="1" applyAlignment="1">
      <alignment horizontal="right" vertical="center" wrapText="1"/>
    </xf>
    <xf numFmtId="4" fontId="1" fillId="33" borderId="13" xfId="0" applyNumberFormat="1" applyFont="1" applyFill="1" applyBorder="1" applyAlignment="1">
      <alignment horizontal="right" vertical="center" wrapText="1"/>
    </xf>
    <xf numFmtId="49" fontId="28" fillId="0" borderId="13" xfId="57" applyNumberFormat="1" applyFont="1" applyBorder="1" applyAlignment="1">
      <alignment horizontal="center" vertical="center" wrapText="1"/>
      <protection/>
    </xf>
    <xf numFmtId="0" fontId="28" fillId="0" borderId="13" xfId="57" applyFont="1" applyBorder="1" applyAlignment="1">
      <alignment vertical="top" wrapText="1"/>
      <protection/>
    </xf>
    <xf numFmtId="49" fontId="1" fillId="0" borderId="13" xfId="57" applyNumberFormat="1" applyFont="1" applyBorder="1" applyAlignment="1">
      <alignment horizontal="center" vertical="center" wrapText="1"/>
      <protection/>
    </xf>
    <xf numFmtId="0" fontId="1" fillId="0" borderId="13" xfId="57" applyFont="1" applyBorder="1" applyAlignment="1">
      <alignment vertical="top" wrapText="1"/>
      <protection/>
    </xf>
    <xf numFmtId="0" fontId="30" fillId="0" borderId="13" xfId="0" applyFont="1" applyBorder="1" applyAlignment="1">
      <alignment vertical="center" wrapText="1"/>
    </xf>
    <xf numFmtId="0" fontId="3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76" fillId="0" borderId="30" xfId="0" applyFont="1" applyBorder="1" applyAlignment="1">
      <alignment vertical="top" wrapText="1"/>
    </xf>
    <xf numFmtId="4" fontId="8" fillId="0" borderId="13" xfId="0" applyNumberFormat="1" applyFont="1" applyBorder="1" applyAlignment="1">
      <alignment/>
    </xf>
    <xf numFmtId="0" fontId="28" fillId="0" borderId="13" xfId="0" applyFont="1" applyBorder="1" applyAlignment="1">
      <alignment horizontal="center" vertical="center" wrapText="1"/>
    </xf>
    <xf numFmtId="0" fontId="8" fillId="0" borderId="13" xfId="33" applyNumberFormat="1" applyFont="1" applyFill="1" applyBorder="1" applyAlignment="1">
      <alignment horizontal="left" vertical="center" wrapText="1" readingOrder="1"/>
      <protection/>
    </xf>
    <xf numFmtId="0" fontId="77" fillId="0" borderId="31" xfId="33" applyNumberFormat="1" applyFont="1" applyFill="1" applyBorder="1" applyAlignment="1">
      <alignment horizontal="left" readingOrder="1"/>
      <protection/>
    </xf>
    <xf numFmtId="0" fontId="78" fillId="0" borderId="31" xfId="33" applyNumberFormat="1" applyFont="1" applyFill="1" applyBorder="1" applyAlignment="1">
      <alignment horizontal="left" readingOrder="1"/>
      <protection/>
    </xf>
    <xf numFmtId="0" fontId="8" fillId="0" borderId="13" xfId="0" applyFont="1" applyBorder="1" applyAlignment="1">
      <alignment vertical="center"/>
    </xf>
    <xf numFmtId="0" fontId="78" fillId="0" borderId="30" xfId="33" applyNumberFormat="1" applyFont="1" applyFill="1" applyBorder="1" applyAlignment="1">
      <alignment horizontal="left" vertical="center" wrapText="1" readingOrder="1"/>
      <protection/>
    </xf>
    <xf numFmtId="0" fontId="29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vertical="top" wrapText="1"/>
    </xf>
    <xf numFmtId="0" fontId="76" fillId="0" borderId="30" xfId="0" applyFont="1" applyBorder="1" applyAlignment="1">
      <alignment horizontal="center" vertical="center"/>
    </xf>
    <xf numFmtId="0" fontId="76" fillId="0" borderId="30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9" fillId="0" borderId="13" xfId="0" applyFont="1" applyBorder="1" applyAlignment="1">
      <alignment horizontal="center"/>
    </xf>
    <xf numFmtId="49" fontId="29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0" fontId="79" fillId="0" borderId="30" xfId="33" applyNumberFormat="1" applyFont="1" applyFill="1" applyBorder="1" applyAlignment="1">
      <alignment horizontal="center" vertical="center" wrapText="1" readingOrder="1"/>
      <protection/>
    </xf>
    <xf numFmtId="0" fontId="77" fillId="0" borderId="31" xfId="33" applyNumberFormat="1" applyFont="1" applyFill="1" applyBorder="1" applyAlignment="1">
      <alignment horizontal="left" vertical="top" wrapText="1" readingOrder="1"/>
      <protection/>
    </xf>
    <xf numFmtId="0" fontId="78" fillId="0" borderId="30" xfId="33" applyNumberFormat="1" applyFont="1" applyFill="1" applyBorder="1" applyAlignment="1">
      <alignment horizontal="center" vertical="center" wrapText="1" readingOrder="1"/>
      <protection/>
    </xf>
    <xf numFmtId="0" fontId="78" fillId="0" borderId="31" xfId="33" applyNumberFormat="1" applyFont="1" applyFill="1" applyBorder="1" applyAlignment="1">
      <alignment horizontal="left" vertical="top" wrapText="1" readingOrder="1"/>
      <protection/>
    </xf>
    <xf numFmtId="49" fontId="30" fillId="0" borderId="13" xfId="65" applyNumberFormat="1" applyFont="1" applyBorder="1" applyAlignment="1">
      <alignment horizontal="center" vertical="center"/>
      <protection/>
    </xf>
    <xf numFmtId="0" fontId="28" fillId="0" borderId="13" xfId="65" applyFont="1" applyBorder="1" applyAlignment="1">
      <alignment vertical="center" wrapText="1"/>
      <protection/>
    </xf>
    <xf numFmtId="49" fontId="1" fillId="0" borderId="13" xfId="65" applyNumberFormat="1" applyFont="1" applyBorder="1" applyAlignment="1">
      <alignment horizontal="center" vertical="center"/>
      <protection/>
    </xf>
    <xf numFmtId="0" fontId="1" fillId="0" borderId="13" xfId="65" applyFont="1" applyBorder="1" applyAlignment="1">
      <alignment vertical="top" wrapText="1"/>
      <protection/>
    </xf>
    <xf numFmtId="0" fontId="8" fillId="34" borderId="13" xfId="33" applyNumberFormat="1" applyFont="1" applyFill="1" applyBorder="1" applyAlignment="1">
      <alignment horizontal="center" vertical="center" wrapText="1" readingOrder="1"/>
      <protection/>
    </xf>
    <xf numFmtId="0" fontId="8" fillId="34" borderId="13" xfId="33" applyNumberFormat="1" applyFont="1" applyFill="1" applyBorder="1" applyAlignment="1">
      <alignment horizontal="left" vertical="center" wrapText="1" readingOrder="1"/>
      <protection/>
    </xf>
    <xf numFmtId="4" fontId="28" fillId="34" borderId="13" xfId="0" applyNumberFormat="1" applyFont="1" applyFill="1" applyBorder="1" applyAlignment="1">
      <alignment horizontal="right" vertical="center" wrapText="1"/>
    </xf>
    <xf numFmtId="0" fontId="0" fillId="34" borderId="0" xfId="0" applyFill="1" applyAlignment="1">
      <alignment/>
    </xf>
    <xf numFmtId="49" fontId="1" fillId="0" borderId="13" xfId="0" applyNumberFormat="1" applyFont="1" applyFill="1" applyBorder="1" applyAlignment="1">
      <alignment horizontal="center" vertical="center"/>
    </xf>
    <xf numFmtId="0" fontId="80" fillId="0" borderId="31" xfId="33" applyNumberFormat="1" applyFont="1" applyFill="1" applyBorder="1" applyAlignment="1">
      <alignment horizontal="left" wrapText="1" readingOrder="1"/>
      <protection/>
    </xf>
    <xf numFmtId="4" fontId="29" fillId="0" borderId="13" xfId="0" applyNumberFormat="1" applyFont="1" applyBorder="1" applyAlignment="1">
      <alignment horizontal="right" vertical="center" wrapText="1"/>
    </xf>
    <xf numFmtId="0" fontId="81" fillId="0" borderId="31" xfId="33" applyNumberFormat="1" applyFont="1" applyFill="1" applyBorder="1" applyAlignment="1">
      <alignment horizontal="left" wrapText="1" readingOrder="1"/>
      <protection/>
    </xf>
    <xf numFmtId="4" fontId="8" fillId="0" borderId="13" xfId="0" applyNumberFormat="1" applyFont="1" applyBorder="1" applyAlignment="1">
      <alignment horizontal="right" vertical="center" wrapText="1"/>
    </xf>
    <xf numFmtId="0" fontId="30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4" fontId="28" fillId="0" borderId="13" xfId="0" applyNumberFormat="1" applyFont="1" applyFill="1" applyBorder="1" applyAlignment="1">
      <alignment horizontal="right" wrapText="1"/>
    </xf>
    <xf numFmtId="0" fontId="28" fillId="0" borderId="13" xfId="0" applyFont="1" applyFill="1" applyBorder="1" applyAlignment="1">
      <alignment horizontal="left" vertical="top" wrapText="1"/>
    </xf>
    <xf numFmtId="4" fontId="28" fillId="0" borderId="13" xfId="0" applyNumberFormat="1" applyFont="1" applyFill="1" applyBorder="1" applyAlignment="1">
      <alignment wrapText="1"/>
    </xf>
    <xf numFmtId="49" fontId="30" fillId="0" borderId="13" xfId="63" applyNumberFormat="1" applyFont="1" applyBorder="1" applyAlignment="1">
      <alignment horizontal="center" vertical="center"/>
      <protection/>
    </xf>
    <xf numFmtId="0" fontId="29" fillId="0" borderId="13" xfId="0" applyFont="1" applyBorder="1" applyAlignment="1">
      <alignment horizontal="left" vertical="center" wrapText="1"/>
    </xf>
    <xf numFmtId="4" fontId="28" fillId="0" borderId="13" xfId="0" applyNumberFormat="1" applyFont="1" applyBorder="1" applyAlignment="1">
      <alignment wrapText="1"/>
    </xf>
    <xf numFmtId="0" fontId="28" fillId="0" borderId="13" xfId="64" applyFont="1" applyBorder="1" applyAlignment="1">
      <alignment vertical="top" wrapText="1"/>
      <protection/>
    </xf>
    <xf numFmtId="49" fontId="1" fillId="0" borderId="13" xfId="63" applyNumberFormat="1" applyFont="1" applyFill="1" applyBorder="1" applyAlignment="1">
      <alignment horizontal="center" vertical="center"/>
      <protection/>
    </xf>
    <xf numFmtId="0" fontId="1" fillId="0" borderId="13" xfId="63" applyFont="1" applyFill="1" applyBorder="1" applyAlignment="1">
      <alignment wrapText="1"/>
      <protection/>
    </xf>
    <xf numFmtId="4" fontId="1" fillId="0" borderId="13" xfId="0" applyNumberFormat="1" applyFont="1" applyFill="1" applyBorder="1" applyAlignment="1">
      <alignment wrapText="1"/>
    </xf>
    <xf numFmtId="0" fontId="28" fillId="0" borderId="13" xfId="58" applyFont="1" applyBorder="1" applyAlignment="1">
      <alignment vertical="center" wrapText="1"/>
      <protection/>
    </xf>
    <xf numFmtId="49" fontId="1" fillId="0" borderId="13" xfId="63" applyNumberFormat="1" applyFont="1" applyBorder="1" applyAlignment="1">
      <alignment horizontal="center" vertical="center"/>
      <protection/>
    </xf>
    <xf numFmtId="0" fontId="1" fillId="0" borderId="13" xfId="58" applyFont="1" applyBorder="1" applyAlignment="1">
      <alignment vertical="top" wrapText="1"/>
      <protection/>
    </xf>
    <xf numFmtId="0" fontId="82" fillId="0" borderId="30" xfId="0" applyFont="1" applyBorder="1" applyAlignment="1">
      <alignment/>
    </xf>
    <xf numFmtId="0" fontId="83" fillId="0" borderId="30" xfId="0" applyFont="1" applyBorder="1" applyAlignment="1">
      <alignment wrapText="1"/>
    </xf>
    <xf numFmtId="0" fontId="84" fillId="0" borderId="30" xfId="0" applyFont="1" applyBorder="1" applyAlignment="1">
      <alignment vertical="center"/>
    </xf>
    <xf numFmtId="0" fontId="82" fillId="0" borderId="30" xfId="0" applyFont="1" applyBorder="1" applyAlignment="1">
      <alignment horizontal="center" vertical="center"/>
    </xf>
    <xf numFmtId="0" fontId="79" fillId="0" borderId="30" xfId="33" applyNumberFormat="1" applyFont="1" applyFill="1" applyBorder="1" applyAlignment="1">
      <alignment horizontal="center" wrapText="1" readingOrder="1"/>
      <protection/>
    </xf>
    <xf numFmtId="0" fontId="79" fillId="0" borderId="31" xfId="33" applyNumberFormat="1" applyFont="1" applyFill="1" applyBorder="1" applyAlignment="1">
      <alignment horizontal="left" vertical="top" wrapText="1" readingOrder="1"/>
      <protection/>
    </xf>
    <xf numFmtId="0" fontId="78" fillId="0" borderId="30" xfId="33" applyNumberFormat="1" applyFont="1" applyFill="1" applyBorder="1" applyAlignment="1">
      <alignment horizontal="center" wrapText="1" readingOrder="1"/>
      <protection/>
    </xf>
    <xf numFmtId="0" fontId="84" fillId="0" borderId="30" xfId="0" applyFont="1" applyBorder="1" applyAlignment="1">
      <alignment horizontal="center" vertical="center"/>
    </xf>
    <xf numFmtId="49" fontId="30" fillId="0" borderId="13" xfId="64" applyNumberFormat="1" applyFont="1" applyBorder="1" applyAlignment="1">
      <alignment horizontal="center" vertical="center"/>
      <protection/>
    </xf>
    <xf numFmtId="0" fontId="28" fillId="0" borderId="13" xfId="64" applyFont="1" applyBorder="1" applyAlignment="1">
      <alignment wrapText="1"/>
      <protection/>
    </xf>
    <xf numFmtId="49" fontId="1" fillId="0" borderId="13" xfId="64" applyNumberFormat="1" applyFont="1" applyBorder="1" applyAlignment="1">
      <alignment horizontal="center" vertical="center"/>
      <protection/>
    </xf>
    <xf numFmtId="0" fontId="1" fillId="0" borderId="13" xfId="63" applyFont="1" applyBorder="1" applyAlignment="1">
      <alignment vertical="top" wrapText="1"/>
      <protection/>
    </xf>
    <xf numFmtId="4" fontId="1" fillId="0" borderId="13" xfId="0" applyNumberFormat="1" applyFont="1" applyFill="1" applyBorder="1" applyAlignment="1">
      <alignment horizontal="right"/>
    </xf>
    <xf numFmtId="0" fontId="1" fillId="0" borderId="13" xfId="63" applyFont="1" applyFill="1" applyBorder="1" applyAlignment="1">
      <alignment vertical="top" wrapText="1"/>
      <protection/>
    </xf>
    <xf numFmtId="4" fontId="1" fillId="0" borderId="13" xfId="0" applyNumberFormat="1" applyFont="1" applyFill="1" applyBorder="1" applyAlignment="1">
      <alignment/>
    </xf>
    <xf numFmtId="0" fontId="33" fillId="0" borderId="13" xfId="0" applyFont="1" applyBorder="1" applyAlignment="1">
      <alignment/>
    </xf>
    <xf numFmtId="0" fontId="28" fillId="0" borderId="13" xfId="0" applyFont="1" applyBorder="1" applyAlignment="1">
      <alignment horizontal="justify" vertical="top" wrapText="1"/>
    </xf>
    <xf numFmtId="0" fontId="1" fillId="0" borderId="13" xfId="0" applyFont="1" applyFill="1" applyBorder="1" applyAlignment="1">
      <alignment horizontal="justify" vertical="top" wrapText="1"/>
    </xf>
    <xf numFmtId="0" fontId="28" fillId="0" borderId="13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49" fontId="30" fillId="0" borderId="13" xfId="60" applyNumberFormat="1" applyFont="1" applyFill="1" applyBorder="1" applyAlignment="1">
      <alignment horizontal="center" vertical="center" wrapText="1"/>
      <protection/>
    </xf>
    <xf numFmtId="49" fontId="1" fillId="0" borderId="13" xfId="60" applyNumberFormat="1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justify" vertical="top" wrapText="1"/>
    </xf>
    <xf numFmtId="49" fontId="1" fillId="34" borderId="13" xfId="63" applyNumberFormat="1" applyFont="1" applyFill="1" applyBorder="1" applyAlignment="1">
      <alignment horizontal="center" vertical="center"/>
      <protection/>
    </xf>
    <xf numFmtId="0" fontId="1" fillId="34" borderId="13" xfId="0" applyFont="1" applyFill="1" applyBorder="1" applyAlignment="1">
      <alignment vertical="top" wrapText="1"/>
    </xf>
    <xf numFmtId="4" fontId="1" fillId="34" borderId="13" xfId="0" applyNumberFormat="1" applyFont="1" applyFill="1" applyBorder="1" applyAlignment="1">
      <alignment wrapText="1"/>
    </xf>
    <xf numFmtId="0" fontId="28" fillId="0" borderId="13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left" wrapText="1"/>
    </xf>
    <xf numFmtId="0" fontId="10" fillId="0" borderId="13" xfId="0" applyFont="1" applyBorder="1" applyAlignment="1">
      <alignment/>
    </xf>
    <xf numFmtId="0" fontId="0" fillId="0" borderId="13" xfId="0" applyBorder="1" applyAlignment="1">
      <alignment/>
    </xf>
    <xf numFmtId="3" fontId="1" fillId="0" borderId="13" xfId="0" applyNumberFormat="1" applyFont="1" applyBorder="1" applyAlignment="1">
      <alignment horizontal="center" vertical="center" wrapText="1"/>
    </xf>
    <xf numFmtId="3" fontId="1" fillId="34" borderId="13" xfId="0" applyNumberFormat="1" applyFont="1" applyFill="1" applyBorder="1" applyAlignment="1">
      <alignment horizontal="center" vertical="center" wrapText="1"/>
    </xf>
    <xf numFmtId="0" fontId="1" fillId="34" borderId="13" xfId="64" applyFont="1" applyFill="1" applyBorder="1" applyAlignment="1">
      <alignment vertical="top" wrapText="1"/>
      <protection/>
    </xf>
    <xf numFmtId="49" fontId="1" fillId="0" borderId="13" xfId="61" applyNumberFormat="1" applyFont="1" applyBorder="1" applyAlignment="1">
      <alignment horizontal="center" vertical="center"/>
      <protection/>
    </xf>
    <xf numFmtId="0" fontId="1" fillId="0" borderId="13" xfId="56" applyFont="1" applyBorder="1" applyAlignment="1">
      <alignment vertical="top" wrapText="1"/>
      <protection/>
    </xf>
    <xf numFmtId="0" fontId="1" fillId="0" borderId="13" xfId="61" applyFont="1" applyBorder="1" applyAlignment="1">
      <alignment vertical="top" wrapText="1"/>
      <protection/>
    </xf>
    <xf numFmtId="0" fontId="1" fillId="0" borderId="13" xfId="66" applyFont="1" applyBorder="1" applyAlignment="1">
      <alignment vertical="top" wrapText="1"/>
      <protection/>
    </xf>
    <xf numFmtId="0" fontId="30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justify" wrapText="1"/>
    </xf>
    <xf numFmtId="0" fontId="34" fillId="0" borderId="0" xfId="0" applyFont="1" applyFill="1" applyAlignment="1">
      <alignment/>
    </xf>
    <xf numFmtId="4" fontId="28" fillId="0" borderId="13" xfId="0" applyNumberFormat="1" applyFont="1" applyFill="1" applyBorder="1" applyAlignment="1">
      <alignment vertical="center" wrapText="1"/>
    </xf>
    <xf numFmtId="0" fontId="1" fillId="0" borderId="13" xfId="63" applyFont="1" applyBorder="1" applyAlignment="1">
      <alignment horizontal="left" wrapText="1"/>
      <protection/>
    </xf>
    <xf numFmtId="4" fontId="1" fillId="35" borderId="13" xfId="0" applyNumberFormat="1" applyFont="1" applyFill="1" applyBorder="1" applyAlignment="1">
      <alignment wrapText="1"/>
    </xf>
    <xf numFmtId="0" fontId="1" fillId="0" borderId="13" xfId="64" applyFont="1" applyFill="1" applyBorder="1" applyAlignment="1">
      <alignment horizontal="left" vertical="top" wrapText="1"/>
      <protection/>
    </xf>
    <xf numFmtId="49" fontId="31" fillId="0" borderId="13" xfId="59" applyNumberFormat="1" applyFont="1" applyBorder="1" applyAlignment="1">
      <alignment horizontal="center"/>
      <protection/>
    </xf>
    <xf numFmtId="0" fontId="28" fillId="0" borderId="13" xfId="59" applyFont="1" applyBorder="1" applyAlignment="1">
      <alignment/>
      <protection/>
    </xf>
    <xf numFmtId="0" fontId="84" fillId="0" borderId="30" xfId="0" applyFont="1" applyBorder="1" applyAlignment="1">
      <alignment vertical="top" wrapText="1"/>
    </xf>
    <xf numFmtId="49" fontId="1" fillId="0" borderId="13" xfId="62" applyNumberFormat="1" applyFont="1" applyBorder="1" applyAlignment="1">
      <alignment horizontal="center" vertical="center" wrapText="1"/>
      <protection/>
    </xf>
    <xf numFmtId="0" fontId="1" fillId="0" borderId="13" xfId="62" applyFont="1" applyBorder="1" applyAlignment="1">
      <alignment vertical="top" wrapText="1"/>
      <protection/>
    </xf>
    <xf numFmtId="4" fontId="28" fillId="35" borderId="13" xfId="0" applyNumberFormat="1" applyFont="1" applyFill="1" applyBorder="1" applyAlignment="1">
      <alignment wrapText="1"/>
    </xf>
    <xf numFmtId="0" fontId="1" fillId="0" borderId="13" xfId="59" applyFont="1" applyBorder="1" applyAlignment="1">
      <alignment vertical="top" wrapText="1"/>
      <protection/>
    </xf>
    <xf numFmtId="49" fontId="33" fillId="0" borderId="13" xfId="0" applyNumberFormat="1" applyFont="1" applyFill="1" applyBorder="1" applyAlignment="1">
      <alignment horizontal="center" vertical="center"/>
    </xf>
    <xf numFmtId="49" fontId="33" fillId="0" borderId="13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vertical="center" wrapText="1"/>
    </xf>
    <xf numFmtId="49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82" fillId="0" borderId="30" xfId="0" applyFont="1" applyBorder="1" applyAlignment="1">
      <alignment vertical="top" wrapText="1"/>
    </xf>
    <xf numFmtId="4" fontId="30" fillId="0" borderId="13" xfId="0" applyNumberFormat="1" applyFont="1" applyFill="1" applyBorder="1" applyAlignment="1">
      <alignment vertical="center" wrapText="1"/>
    </xf>
    <xf numFmtId="0" fontId="79" fillId="0" borderId="32" xfId="0" applyNumberFormat="1" applyFont="1" applyFill="1" applyBorder="1" applyAlignment="1">
      <alignment horizontal="center" vertical="center" wrapText="1"/>
    </xf>
    <xf numFmtId="0" fontId="77" fillId="0" borderId="13" xfId="0" applyNumberFormat="1" applyFont="1" applyFill="1" applyBorder="1" applyAlignment="1">
      <alignment vertical="top" wrapText="1"/>
    </xf>
    <xf numFmtId="4" fontId="77" fillId="0" borderId="13" xfId="0" applyNumberFormat="1" applyFont="1" applyFill="1" applyBorder="1" applyAlignment="1">
      <alignment vertical="center" wrapText="1"/>
    </xf>
    <xf numFmtId="4" fontId="78" fillId="0" borderId="13" xfId="0" applyNumberFormat="1" applyFont="1" applyFill="1" applyBorder="1" applyAlignment="1">
      <alignment vertical="center" wrapText="1"/>
    </xf>
    <xf numFmtId="166" fontId="0" fillId="0" borderId="0" xfId="0" applyNumberFormat="1" applyAlignment="1">
      <alignment horizontal="right" vertical="center"/>
    </xf>
    <xf numFmtId="0" fontId="85" fillId="0" borderId="0" xfId="33" applyNumberFormat="1" applyFont="1" applyFill="1" applyBorder="1" applyAlignment="1">
      <alignment horizontal="center" wrapText="1" readingOrder="1"/>
      <protection/>
    </xf>
    <xf numFmtId="0" fontId="36" fillId="0" borderId="0" xfId="0" applyFont="1" applyFill="1" applyBorder="1" applyAlignment="1">
      <alignment/>
    </xf>
    <xf numFmtId="49" fontId="18" fillId="0" borderId="0" xfId="0" applyNumberFormat="1" applyFont="1" applyAlignment="1">
      <alignment/>
    </xf>
    <xf numFmtId="0" fontId="86" fillId="0" borderId="0" xfId="33" applyNumberFormat="1" applyFont="1" applyFill="1" applyBorder="1" applyAlignment="1">
      <alignment horizontal="center" vertical="center" wrapText="1" readingOrder="1"/>
      <protection/>
    </xf>
    <xf numFmtId="0" fontId="3" fillId="0" borderId="28" xfId="0" applyFont="1" applyFill="1" applyBorder="1" applyAlignment="1">
      <alignment horizontal="center"/>
    </xf>
    <xf numFmtId="0" fontId="78" fillId="0" borderId="13" xfId="33" applyNumberFormat="1" applyFont="1" applyFill="1" applyBorder="1" applyAlignment="1">
      <alignment horizontal="center" vertical="center" wrapText="1" readingOrder="1"/>
      <protection/>
    </xf>
    <xf numFmtId="0" fontId="77" fillId="0" borderId="33" xfId="33" applyNumberFormat="1" applyFont="1" applyFill="1" applyBorder="1" applyAlignment="1">
      <alignment horizontal="left" wrapText="1" readingOrder="1"/>
      <protection/>
    </xf>
    <xf numFmtId="0" fontId="79" fillId="0" borderId="33" xfId="33" applyNumberFormat="1" applyFont="1" applyFill="1" applyBorder="1" applyAlignment="1">
      <alignment horizontal="left" wrapText="1" readingOrder="1"/>
      <protection/>
    </xf>
    <xf numFmtId="4" fontId="79" fillId="0" borderId="33" xfId="33" applyNumberFormat="1" applyFont="1" applyFill="1" applyBorder="1" applyAlignment="1">
      <alignment horizontal="right" wrapText="1" readingOrder="1"/>
      <protection/>
    </xf>
    <xf numFmtId="0" fontId="85" fillId="0" borderId="30" xfId="33" applyNumberFormat="1" applyFont="1" applyFill="1" applyBorder="1" applyAlignment="1">
      <alignment horizontal="center" wrapText="1" readingOrder="1"/>
      <protection/>
    </xf>
    <xf numFmtId="0" fontId="85" fillId="0" borderId="31" xfId="33" applyNumberFormat="1" applyFont="1" applyFill="1" applyBorder="1" applyAlignment="1">
      <alignment horizontal="left" wrapText="1" readingOrder="1"/>
      <protection/>
    </xf>
    <xf numFmtId="4" fontId="85" fillId="0" borderId="30" xfId="33" applyNumberFormat="1" applyFont="1" applyFill="1" applyBorder="1" applyAlignment="1">
      <alignment horizontal="right" wrapText="1" readingOrder="1"/>
      <protection/>
    </xf>
    <xf numFmtId="0" fontId="85" fillId="0" borderId="31" xfId="33" applyNumberFormat="1" applyFont="1" applyFill="1" applyBorder="1" applyAlignment="1">
      <alignment horizontal="left" vertical="top" wrapText="1" readingOrder="1"/>
      <protection/>
    </xf>
    <xf numFmtId="0" fontId="85" fillId="0" borderId="30" xfId="33" applyNumberFormat="1" applyFont="1" applyFill="1" applyBorder="1" applyAlignment="1">
      <alignment horizontal="left" vertical="top" wrapText="1" readingOrder="1"/>
      <protection/>
    </xf>
    <xf numFmtId="0" fontId="1" fillId="0" borderId="0" xfId="0" applyFont="1" applyFill="1" applyAlignment="1">
      <alignment/>
    </xf>
    <xf numFmtId="0" fontId="1" fillId="32" borderId="13" xfId="0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7" fillId="32" borderId="13" xfId="0" applyNumberFormat="1" applyFont="1" applyFill="1" applyBorder="1" applyAlignment="1">
      <alignment horizontal="center" vertical="center" wrapText="1"/>
    </xf>
    <xf numFmtId="3" fontId="7" fillId="32" borderId="13" xfId="0" applyNumberFormat="1" applyFont="1" applyFill="1" applyBorder="1" applyAlignment="1">
      <alignment horizontal="center" vertical="center" wrapText="1"/>
    </xf>
    <xf numFmtId="0" fontId="25" fillId="32" borderId="13" xfId="0" applyFont="1" applyFill="1" applyBorder="1" applyAlignment="1">
      <alignment horizontal="left" wrapText="1"/>
    </xf>
    <xf numFmtId="4" fontId="26" fillId="32" borderId="13" xfId="0" applyNumberFormat="1" applyFont="1" applyFill="1" applyBorder="1" applyAlignment="1">
      <alignment horizontal="right"/>
    </xf>
    <xf numFmtId="0" fontId="28" fillId="32" borderId="13" xfId="0" applyFont="1" applyFill="1" applyBorder="1" applyAlignment="1">
      <alignment wrapText="1"/>
    </xf>
    <xf numFmtId="0" fontId="8" fillId="32" borderId="13" xfId="0" applyFont="1" applyFill="1" applyBorder="1" applyAlignment="1">
      <alignment wrapText="1"/>
    </xf>
    <xf numFmtId="0" fontId="1" fillId="32" borderId="13" xfId="0" applyFont="1" applyFill="1" applyBorder="1" applyAlignment="1">
      <alignment wrapText="1"/>
    </xf>
    <xf numFmtId="0" fontId="26" fillId="32" borderId="13" xfId="0" applyFont="1" applyFill="1" applyBorder="1" applyAlignment="1">
      <alignment wrapText="1"/>
    </xf>
    <xf numFmtId="0" fontId="29" fillId="32" borderId="13" xfId="0" applyFont="1" applyFill="1" applyBorder="1" applyAlignment="1">
      <alignment horizontal="left" wrapText="1"/>
    </xf>
    <xf numFmtId="0" fontId="8" fillId="32" borderId="13" xfId="0" applyFont="1" applyFill="1" applyBorder="1" applyAlignment="1">
      <alignment horizontal="left" wrapText="1"/>
    </xf>
    <xf numFmtId="0" fontId="10" fillId="32" borderId="13" xfId="0" applyFont="1" applyFill="1" applyBorder="1" applyAlignment="1">
      <alignment horizontal="left" wrapText="1"/>
    </xf>
    <xf numFmtId="0" fontId="25" fillId="32" borderId="13" xfId="0" applyFont="1" applyFill="1" applyBorder="1" applyAlignment="1">
      <alignment wrapText="1"/>
    </xf>
    <xf numFmtId="0" fontId="4" fillId="32" borderId="13" xfId="0" applyFont="1" applyFill="1" applyBorder="1" applyAlignment="1">
      <alignment wrapText="1"/>
    </xf>
    <xf numFmtId="0" fontId="28" fillId="32" borderId="13" xfId="0" applyFont="1" applyFill="1" applyBorder="1" applyAlignment="1">
      <alignment vertical="top" wrapText="1"/>
    </xf>
    <xf numFmtId="0" fontId="8" fillId="32" borderId="13" xfId="0" applyFont="1" applyFill="1" applyBorder="1" applyAlignment="1">
      <alignment vertical="top" wrapText="1"/>
    </xf>
    <xf numFmtId="4" fontId="1" fillId="32" borderId="13" xfId="0" applyNumberFormat="1" applyFont="1" applyFill="1" applyBorder="1" applyAlignment="1">
      <alignment horizontal="center" vertical="center" wrapText="1"/>
    </xf>
    <xf numFmtId="0" fontId="26" fillId="32" borderId="13" xfId="0" applyFont="1" applyFill="1" applyBorder="1" applyAlignment="1">
      <alignment vertical="center" wrapText="1"/>
    </xf>
    <xf numFmtId="0" fontId="25" fillId="0" borderId="0" xfId="0" applyFont="1" applyAlignment="1">
      <alignment horizontal="center"/>
    </xf>
    <xf numFmtId="0" fontId="29" fillId="0" borderId="13" xfId="0" applyFont="1" applyFill="1" applyBorder="1" applyAlignment="1">
      <alignment horizontal="center" vertical="center" wrapText="1"/>
    </xf>
    <xf numFmtId="0" fontId="3" fillId="0" borderId="0" xfId="54" applyFont="1" applyAlignment="1">
      <alignment horizontal="right"/>
      <protection/>
    </xf>
    <xf numFmtId="49" fontId="18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 wrapText="1"/>
    </xf>
    <xf numFmtId="0" fontId="87" fillId="0" borderId="0" xfId="33" applyNumberFormat="1" applyFont="1" applyFill="1" applyBorder="1" applyAlignment="1">
      <alignment horizontal="center" wrapText="1" readingOrder="1"/>
      <protection/>
    </xf>
    <xf numFmtId="0" fontId="85" fillId="0" borderId="0" xfId="33" applyNumberFormat="1" applyFont="1" applyFill="1" applyBorder="1" applyAlignment="1">
      <alignment horizontal="center" wrapText="1" readingOrder="1"/>
      <protection/>
    </xf>
    <xf numFmtId="0" fontId="1" fillId="32" borderId="0" xfId="0" applyFont="1" applyFill="1" applyAlignment="1">
      <alignment horizontal="center"/>
    </xf>
    <xf numFmtId="49" fontId="3" fillId="32" borderId="34" xfId="0" applyNumberFormat="1" applyFont="1" applyFill="1" applyBorder="1" applyAlignment="1">
      <alignment horizontal="center" vertical="center" wrapText="1"/>
    </xf>
    <xf numFmtId="49" fontId="3" fillId="32" borderId="19" xfId="0" applyNumberFormat="1" applyFont="1" applyFill="1" applyBorder="1" applyAlignment="1">
      <alignment horizontal="center" vertical="center" wrapText="1"/>
    </xf>
    <xf numFmtId="49" fontId="3" fillId="32" borderId="34" xfId="0" applyNumberFormat="1" applyFont="1" applyFill="1" applyBorder="1" applyAlignment="1">
      <alignment horizontal="center" vertical="center"/>
    </xf>
    <xf numFmtId="49" fontId="3" fillId="32" borderId="19" xfId="0" applyNumberFormat="1" applyFont="1" applyFill="1" applyBorder="1" applyAlignment="1">
      <alignment horizontal="center" vertical="center"/>
    </xf>
    <xf numFmtId="4" fontId="9" fillId="32" borderId="34" xfId="0" applyNumberFormat="1" applyFont="1" applyFill="1" applyBorder="1" applyAlignment="1">
      <alignment horizontal="right" vertical="center" wrapText="1"/>
    </xf>
    <xf numFmtId="4" fontId="9" fillId="32" borderId="19" xfId="0" applyNumberFormat="1" applyFont="1" applyFill="1" applyBorder="1" applyAlignment="1">
      <alignment horizontal="right" vertical="center" wrapText="1"/>
    </xf>
    <xf numFmtId="4" fontId="9" fillId="32" borderId="34" xfId="0" applyNumberFormat="1" applyFont="1" applyFill="1" applyBorder="1" applyAlignment="1">
      <alignment horizontal="center" vertical="center" wrapText="1"/>
    </xf>
    <xf numFmtId="4" fontId="9" fillId="32" borderId="19" xfId="0" applyNumberFormat="1" applyFont="1" applyFill="1" applyBorder="1" applyAlignment="1">
      <alignment horizontal="center" vertical="center" wrapText="1"/>
    </xf>
    <xf numFmtId="4" fontId="9" fillId="32" borderId="35" xfId="0" applyNumberFormat="1" applyFont="1" applyFill="1" applyBorder="1" applyAlignment="1">
      <alignment horizontal="center" vertical="center" wrapText="1"/>
    </xf>
    <xf numFmtId="4" fontId="9" fillId="32" borderId="27" xfId="0" applyNumberFormat="1" applyFont="1" applyFill="1" applyBorder="1" applyAlignment="1">
      <alignment horizontal="center" vertical="center" wrapText="1"/>
    </xf>
    <xf numFmtId="44" fontId="23" fillId="32" borderId="0" xfId="44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49" fontId="1" fillId="32" borderId="0" xfId="0" applyNumberFormat="1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left" wrapText="1"/>
    </xf>
    <xf numFmtId="0" fontId="1" fillId="32" borderId="0" xfId="0" applyFont="1" applyFill="1" applyAlignment="1">
      <alignment horizontal="left" wrapText="1"/>
    </xf>
    <xf numFmtId="0" fontId="1" fillId="32" borderId="36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44" fontId="4" fillId="32" borderId="0" xfId="44" applyFont="1" applyFill="1" applyAlignment="1">
      <alignment horizontal="center" vertical="center" wrapText="1"/>
    </xf>
    <xf numFmtId="0" fontId="87" fillId="0" borderId="0" xfId="33" applyNumberFormat="1" applyFont="1" applyFill="1" applyBorder="1" applyAlignment="1">
      <alignment horizontal="center" vertical="top" wrapText="1" readingOrder="1"/>
      <protection/>
    </xf>
    <xf numFmtId="49" fontId="3" fillId="0" borderId="0" xfId="0" applyNumberFormat="1" applyFont="1" applyAlignment="1">
      <alignment horizontal="right"/>
    </xf>
    <xf numFmtId="0" fontId="3" fillId="0" borderId="0" xfId="54" applyFont="1" applyAlignment="1">
      <alignment horizontal="right" vertical="top"/>
      <protection/>
    </xf>
    <xf numFmtId="49" fontId="3" fillId="0" borderId="0" xfId="0" applyNumberFormat="1" applyFont="1" applyAlignment="1">
      <alignment horizontal="right" vertical="top" wrapText="1"/>
    </xf>
    <xf numFmtId="0" fontId="1" fillId="32" borderId="37" xfId="0" applyFont="1" applyFill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 wrapText="1"/>
    </xf>
    <xf numFmtId="49" fontId="9" fillId="32" borderId="38" xfId="0" applyNumberFormat="1" applyFont="1" applyFill="1" applyBorder="1" applyAlignment="1">
      <alignment horizontal="center" vertical="center"/>
    </xf>
    <xf numFmtId="49" fontId="9" fillId="32" borderId="26" xfId="0" applyNumberFormat="1" applyFont="1" applyFill="1" applyBorder="1" applyAlignment="1">
      <alignment horizontal="center" vertical="center"/>
    </xf>
    <xf numFmtId="49" fontId="3" fillId="32" borderId="38" xfId="0" applyNumberFormat="1" applyFont="1" applyFill="1" applyBorder="1" applyAlignment="1">
      <alignment horizontal="right" vertical="center"/>
    </xf>
    <xf numFmtId="49" fontId="3" fillId="32" borderId="26" xfId="0" applyNumberFormat="1" applyFont="1" applyFill="1" applyBorder="1" applyAlignment="1">
      <alignment horizontal="right" vertical="center"/>
    </xf>
    <xf numFmtId="4" fontId="4" fillId="32" borderId="35" xfId="0" applyNumberFormat="1" applyFont="1" applyFill="1" applyBorder="1" applyAlignment="1">
      <alignment horizontal="center" vertical="center" wrapText="1"/>
    </xf>
    <xf numFmtId="4" fontId="4" fillId="32" borderId="27" xfId="0" applyNumberFormat="1" applyFont="1" applyFill="1" applyBorder="1" applyAlignment="1">
      <alignment horizontal="center" vertical="center" wrapText="1"/>
    </xf>
    <xf numFmtId="4" fontId="1" fillId="32" borderId="35" xfId="0" applyNumberFormat="1" applyFont="1" applyFill="1" applyBorder="1" applyAlignment="1">
      <alignment horizontal="center" vertical="center" wrapText="1"/>
    </xf>
    <xf numFmtId="4" fontId="1" fillId="32" borderId="27" xfId="0" applyNumberFormat="1" applyFont="1" applyFill="1" applyBorder="1" applyAlignment="1">
      <alignment horizontal="center" vertical="center" wrapText="1"/>
    </xf>
    <xf numFmtId="0" fontId="24" fillId="32" borderId="0" xfId="0" applyFont="1" applyFill="1" applyAlignment="1">
      <alignment horizontal="center" vertical="center" wrapText="1"/>
    </xf>
    <xf numFmtId="0" fontId="1" fillId="32" borderId="0" xfId="0" applyFont="1" applyFill="1" applyAlignment="1">
      <alignment horizontal="left"/>
    </xf>
    <xf numFmtId="49" fontId="1" fillId="32" borderId="0" xfId="0" applyNumberFormat="1" applyFont="1" applyFill="1" applyAlignment="1">
      <alignment horizontal="left" wrapText="1"/>
    </xf>
    <xf numFmtId="49" fontId="18" fillId="0" borderId="0" xfId="0" applyNumberFormat="1" applyFont="1" applyAlignment="1">
      <alignment horizont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01.04.09г." xfId="56"/>
    <cellStyle name="Обычный_01.04.10г." xfId="57"/>
    <cellStyle name="Обычный_27.07.09" xfId="58"/>
    <cellStyle name="Обычный_30.04.10г." xfId="59"/>
    <cellStyle name="Обычный_Лист1" xfId="60"/>
    <cellStyle name="Обычный_Пр.4 30.05.08г." xfId="61"/>
    <cellStyle name="Обычный_Прил.3." xfId="62"/>
    <cellStyle name="Обычный_Прил.4" xfId="63"/>
    <cellStyle name="Обычный_Прил.4." xfId="64"/>
    <cellStyle name="Обычный_сент." xfId="65"/>
    <cellStyle name="Обычный_Ут. на остатки" xfId="66"/>
    <cellStyle name="Обычный_уточненное прилож№1 б-та2002г.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68B05322DA1BBA42282C9440EEF08E6CC43410E37U6VAM" TargetMode="External" /><Relationship Id="rId2" Type="http://schemas.openxmlformats.org/officeDocument/2006/relationships/hyperlink" Target="consultantplus://offline/ref=C6EF3AE28B6C46D1117CBBA251A07B11C6C7C5768D606C8B0E322DA1BBA42282C9440EEF08E6CC43400230U6VFM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0"/>
  <sheetViews>
    <sheetView zoomScalePageLayoutView="0" workbookViewId="0" topLeftCell="A1">
      <selection activeCell="B3" sqref="B3:C3"/>
    </sheetView>
  </sheetViews>
  <sheetFormatPr defaultColWidth="9.00390625" defaultRowHeight="12.75"/>
  <cols>
    <col min="1" max="1" width="18.375" style="0" customWidth="1"/>
    <col min="2" max="2" width="60.25390625" style="0" customWidth="1"/>
    <col min="3" max="3" width="13.625" style="363" customWidth="1"/>
  </cols>
  <sheetData>
    <row r="1" spans="1:3" ht="12.75">
      <c r="A1" s="199"/>
      <c r="B1" s="400" t="s">
        <v>657</v>
      </c>
      <c r="C1" s="400"/>
    </row>
    <row r="2" spans="1:3" ht="12.75">
      <c r="A2" s="199"/>
      <c r="B2" s="400" t="s">
        <v>658</v>
      </c>
      <c r="C2" s="400"/>
    </row>
    <row r="3" spans="1:3" ht="12.75">
      <c r="A3" s="199"/>
      <c r="B3" s="401" t="s">
        <v>1115</v>
      </c>
      <c r="C3" s="401"/>
    </row>
    <row r="4" spans="1:3" ht="22.5" customHeight="1">
      <c r="A4" s="199"/>
      <c r="B4" s="402" t="s">
        <v>659</v>
      </c>
      <c r="C4" s="402"/>
    </row>
    <row r="5" spans="1:3" ht="15.75" customHeight="1">
      <c r="A5" s="199"/>
      <c r="C5"/>
    </row>
    <row r="6" spans="2:3" ht="12.75" hidden="1">
      <c r="B6" s="201"/>
      <c r="C6" s="201"/>
    </row>
    <row r="7" spans="1:3" ht="30.75" customHeight="1">
      <c r="A7" s="403" t="s">
        <v>660</v>
      </c>
      <c r="B7" s="403"/>
      <c r="C7" s="403"/>
    </row>
    <row r="8" spans="1:3" ht="14.25" customHeight="1">
      <c r="A8" s="404" t="s">
        <v>661</v>
      </c>
      <c r="B8" s="404"/>
      <c r="C8" s="404"/>
    </row>
    <row r="9" spans="1:3" ht="12.75" customHeight="1">
      <c r="A9" s="398"/>
      <c r="B9" s="398"/>
      <c r="C9" s="398"/>
    </row>
    <row r="10" spans="1:3" ht="12.75" hidden="1">
      <c r="A10" s="202"/>
      <c r="B10" s="203"/>
      <c r="C10" s="204"/>
    </row>
    <row r="11" spans="1:3" ht="15" customHeight="1">
      <c r="A11" s="202"/>
      <c r="B11" s="203"/>
      <c r="C11" s="205" t="s">
        <v>662</v>
      </c>
    </row>
    <row r="12" spans="1:3" ht="41.25" customHeight="1">
      <c r="A12" s="206" t="s">
        <v>663</v>
      </c>
      <c r="B12" s="207" t="s">
        <v>664</v>
      </c>
      <c r="C12" s="208" t="s">
        <v>665</v>
      </c>
    </row>
    <row r="13" spans="1:3" ht="14.25" customHeight="1">
      <c r="A13" s="209">
        <v>1</v>
      </c>
      <c r="B13" s="209">
        <v>2</v>
      </c>
      <c r="C13" s="210">
        <v>3</v>
      </c>
    </row>
    <row r="14" spans="1:3" ht="16.5" customHeight="1">
      <c r="A14" s="399" t="s">
        <v>666</v>
      </c>
      <c r="B14" s="399"/>
      <c r="C14" s="211">
        <f>C15+C148</f>
        <v>516152262.90999997</v>
      </c>
    </row>
    <row r="15" spans="1:3" ht="18" customHeight="1">
      <c r="A15" s="212" t="s">
        <v>667</v>
      </c>
      <c r="B15" s="213" t="s">
        <v>668</v>
      </c>
      <c r="C15" s="211">
        <f>C16+C28+C43+C51+C73+C81+C84+C104+C107+C145+C49+C22</f>
        <v>176952289.32999998</v>
      </c>
    </row>
    <row r="16" spans="1:3" ht="17.25" customHeight="1">
      <c r="A16" s="214" t="s">
        <v>669</v>
      </c>
      <c r="B16" s="215" t="s">
        <v>670</v>
      </c>
      <c r="C16" s="211">
        <f>C17</f>
        <v>120070313.66</v>
      </c>
    </row>
    <row r="17" spans="1:3" ht="16.5" customHeight="1">
      <c r="A17" s="214" t="s">
        <v>671</v>
      </c>
      <c r="B17" s="216" t="s">
        <v>672</v>
      </c>
      <c r="C17" s="211">
        <f>C18+C19+C20+C21</f>
        <v>120070313.66</v>
      </c>
    </row>
    <row r="18" spans="1:3" ht="52.5" customHeight="1">
      <c r="A18" s="217" t="s">
        <v>673</v>
      </c>
      <c r="B18" s="218" t="s">
        <v>674</v>
      </c>
      <c r="C18" s="219">
        <v>118011378.83</v>
      </c>
    </row>
    <row r="19" spans="1:3" ht="78.75" customHeight="1">
      <c r="A19" s="217" t="s">
        <v>675</v>
      </c>
      <c r="B19" s="218" t="s">
        <v>676</v>
      </c>
      <c r="C19" s="220">
        <v>774822.76</v>
      </c>
    </row>
    <row r="20" spans="1:3" ht="38.25">
      <c r="A20" s="221" t="s">
        <v>677</v>
      </c>
      <c r="B20" s="218" t="s">
        <v>678</v>
      </c>
      <c r="C20" s="219">
        <v>1284112.07</v>
      </c>
    </row>
    <row r="21" spans="1:3" ht="63.75" hidden="1">
      <c r="A21" s="217" t="s">
        <v>679</v>
      </c>
      <c r="B21" s="218" t="s">
        <v>680</v>
      </c>
      <c r="C21" s="220"/>
    </row>
    <row r="22" spans="1:3" s="225" customFormat="1" ht="26.25" customHeight="1">
      <c r="A22" s="222" t="s">
        <v>681</v>
      </c>
      <c r="B22" s="223" t="s">
        <v>682</v>
      </c>
      <c r="C22" s="224">
        <f>C23</f>
        <v>5037685.76</v>
      </c>
    </row>
    <row r="23" spans="1:3" s="225" customFormat="1" ht="27" customHeight="1">
      <c r="A23" s="222" t="s">
        <v>683</v>
      </c>
      <c r="B23" s="218" t="s">
        <v>684</v>
      </c>
      <c r="C23" s="224">
        <f>C24+C25+C26+C27</f>
        <v>5037685.76</v>
      </c>
    </row>
    <row r="24" spans="1:3" ht="50.25" customHeight="1">
      <c r="A24" s="226" t="s">
        <v>685</v>
      </c>
      <c r="B24" s="218" t="s">
        <v>686</v>
      </c>
      <c r="C24" s="220">
        <v>2244618.15</v>
      </c>
    </row>
    <row r="25" spans="1:3" ht="63" customHeight="1">
      <c r="A25" s="226" t="s">
        <v>687</v>
      </c>
      <c r="B25" s="218" t="s">
        <v>688</v>
      </c>
      <c r="C25" s="220">
        <v>21617.17</v>
      </c>
    </row>
    <row r="26" spans="1:3" ht="51.75" customHeight="1">
      <c r="A26" s="226" t="s">
        <v>689</v>
      </c>
      <c r="B26" s="218" t="s">
        <v>690</v>
      </c>
      <c r="C26" s="220">
        <v>3274372.43</v>
      </c>
    </row>
    <row r="27" spans="1:3" ht="51.75" customHeight="1">
      <c r="A27" s="226" t="s">
        <v>691</v>
      </c>
      <c r="B27" s="218" t="s">
        <v>692</v>
      </c>
      <c r="C27" s="220">
        <v>-502921.99</v>
      </c>
    </row>
    <row r="28" spans="1:3" ht="18" customHeight="1">
      <c r="A28" s="212" t="s">
        <v>693</v>
      </c>
      <c r="B28" s="213" t="s">
        <v>694</v>
      </c>
      <c r="C28" s="211">
        <f>C35+C38+C41+C29</f>
        <v>5015972.71</v>
      </c>
    </row>
    <row r="29" spans="1:3" ht="29.25" customHeight="1">
      <c r="A29" s="227" t="s">
        <v>695</v>
      </c>
      <c r="B29" s="228" t="s">
        <v>696</v>
      </c>
      <c r="C29" s="229">
        <f>C30+C32+C34</f>
        <v>438025.05</v>
      </c>
    </row>
    <row r="30" spans="1:3" ht="26.25" customHeight="1">
      <c r="A30" s="227" t="s">
        <v>697</v>
      </c>
      <c r="B30" s="228" t="s">
        <v>698</v>
      </c>
      <c r="C30" s="229">
        <f>C31</f>
        <v>256089.58</v>
      </c>
    </row>
    <row r="31" spans="1:3" ht="25.5" customHeight="1">
      <c r="A31" s="230" t="s">
        <v>699</v>
      </c>
      <c r="B31" s="231" t="s">
        <v>698</v>
      </c>
      <c r="C31" s="219">
        <v>256089.58</v>
      </c>
    </row>
    <row r="32" spans="1:3" ht="24" customHeight="1">
      <c r="A32" s="230" t="s">
        <v>700</v>
      </c>
      <c r="B32" s="231" t="s">
        <v>701</v>
      </c>
      <c r="C32" s="229">
        <f>C33</f>
        <v>181932.56</v>
      </c>
    </row>
    <row r="33" spans="1:3" ht="27" customHeight="1">
      <c r="A33" s="232" t="s">
        <v>702</v>
      </c>
      <c r="B33" s="233" t="s">
        <v>701</v>
      </c>
      <c r="C33" s="220">
        <v>181932.56</v>
      </c>
    </row>
    <row r="34" spans="1:3" ht="24.75" customHeight="1">
      <c r="A34" s="232" t="s">
        <v>703</v>
      </c>
      <c r="B34" s="233" t="s">
        <v>704</v>
      </c>
      <c r="C34" s="220">
        <v>2.91</v>
      </c>
    </row>
    <row r="35" spans="1:3" s="234" customFormat="1" ht="17.25" customHeight="1">
      <c r="A35" s="212" t="s">
        <v>705</v>
      </c>
      <c r="B35" s="213" t="s">
        <v>706</v>
      </c>
      <c r="C35" s="211">
        <f>C36+C37</f>
        <v>4505556.350000001</v>
      </c>
    </row>
    <row r="36" spans="1:3" ht="18.75" customHeight="1">
      <c r="A36" s="217" t="s">
        <v>707</v>
      </c>
      <c r="B36" s="235" t="s">
        <v>706</v>
      </c>
      <c r="C36" s="220">
        <v>4504988.16</v>
      </c>
    </row>
    <row r="37" spans="1:3" ht="25.5">
      <c r="A37" s="217" t="s">
        <v>708</v>
      </c>
      <c r="B37" s="218" t="s">
        <v>709</v>
      </c>
      <c r="C37" s="220">
        <v>568.19</v>
      </c>
    </row>
    <row r="38" spans="1:3" s="234" customFormat="1" ht="17.25" customHeight="1">
      <c r="A38" s="212" t="s">
        <v>710</v>
      </c>
      <c r="B38" s="213" t="s">
        <v>711</v>
      </c>
      <c r="C38" s="211">
        <f>C39+C40</f>
        <v>21216.31</v>
      </c>
    </row>
    <row r="39" spans="1:3" ht="18" customHeight="1">
      <c r="A39" s="217" t="s">
        <v>712</v>
      </c>
      <c r="B39" s="235" t="s">
        <v>711</v>
      </c>
      <c r="C39" s="220">
        <v>20245.63</v>
      </c>
    </row>
    <row r="40" spans="1:3" ht="27" customHeight="1">
      <c r="A40" s="217" t="s">
        <v>713</v>
      </c>
      <c r="B40" s="218" t="s">
        <v>714</v>
      </c>
      <c r="C40" s="220">
        <v>970.68</v>
      </c>
    </row>
    <row r="41" spans="1:3" s="234" customFormat="1" ht="25.5">
      <c r="A41" s="212" t="s">
        <v>715</v>
      </c>
      <c r="B41" s="236" t="s">
        <v>716</v>
      </c>
      <c r="C41" s="211">
        <f>C42</f>
        <v>51175</v>
      </c>
    </row>
    <row r="42" spans="1:3" ht="25.5">
      <c r="A42" s="217" t="s">
        <v>717</v>
      </c>
      <c r="B42" s="236" t="s">
        <v>718</v>
      </c>
      <c r="C42" s="220">
        <v>51175</v>
      </c>
    </row>
    <row r="43" spans="1:3" ht="15.75" customHeight="1">
      <c r="A43" s="212" t="s">
        <v>719</v>
      </c>
      <c r="B43" s="213" t="s">
        <v>720</v>
      </c>
      <c r="C43" s="211">
        <f>C44+C46</f>
        <v>1132789.56</v>
      </c>
    </row>
    <row r="44" spans="1:3" ht="26.25" customHeight="1">
      <c r="A44" s="212" t="s">
        <v>721</v>
      </c>
      <c r="B44" s="223" t="s">
        <v>722</v>
      </c>
      <c r="C44" s="211">
        <f>C45</f>
        <v>1132789.56</v>
      </c>
    </row>
    <row r="45" spans="1:3" ht="39.75" customHeight="1">
      <c r="A45" s="217" t="s">
        <v>723</v>
      </c>
      <c r="B45" s="218" t="s">
        <v>724</v>
      </c>
      <c r="C45" s="220">
        <v>1132789.56</v>
      </c>
    </row>
    <row r="46" spans="1:3" ht="25.5" customHeight="1" hidden="1">
      <c r="A46" s="237" t="s">
        <v>725</v>
      </c>
      <c r="B46" s="238" t="s">
        <v>726</v>
      </c>
      <c r="C46" s="239">
        <f>C47+C48</f>
        <v>0</v>
      </c>
    </row>
    <row r="47" spans="1:3" ht="51" hidden="1">
      <c r="A47" s="217" t="s">
        <v>727</v>
      </c>
      <c r="B47" s="218" t="s">
        <v>728</v>
      </c>
      <c r="C47" s="240"/>
    </row>
    <row r="48" spans="1:3" ht="25.5" hidden="1">
      <c r="A48" s="217" t="s">
        <v>729</v>
      </c>
      <c r="B48" s="218" t="s">
        <v>730</v>
      </c>
      <c r="C48" s="220"/>
    </row>
    <row r="49" spans="1:3" ht="25.5" hidden="1">
      <c r="A49" s="241" t="s">
        <v>731</v>
      </c>
      <c r="B49" s="242" t="s">
        <v>732</v>
      </c>
      <c r="C49" s="211">
        <f>C50</f>
        <v>0</v>
      </c>
    </row>
    <row r="50" spans="1:3" s="203" customFormat="1" ht="51" hidden="1">
      <c r="A50" s="243" t="s">
        <v>733</v>
      </c>
      <c r="B50" s="244" t="s">
        <v>734</v>
      </c>
      <c r="C50" s="220"/>
    </row>
    <row r="51" spans="1:3" ht="28.5" customHeight="1">
      <c r="A51" s="212" t="s">
        <v>735</v>
      </c>
      <c r="B51" s="245" t="s">
        <v>736</v>
      </c>
      <c r="C51" s="211">
        <f>C52+C54+C56+C58+C66+C68+C70</f>
        <v>15725594.69</v>
      </c>
    </row>
    <row r="52" spans="1:3" ht="51" hidden="1">
      <c r="A52" s="246" t="s">
        <v>737</v>
      </c>
      <c r="B52" s="223" t="s">
        <v>738</v>
      </c>
      <c r="C52" s="211">
        <f>C53</f>
        <v>0</v>
      </c>
    </row>
    <row r="53" spans="1:3" ht="38.25" hidden="1">
      <c r="A53" s="247" t="s">
        <v>739</v>
      </c>
      <c r="B53" s="248" t="s">
        <v>740</v>
      </c>
      <c r="C53" s="220"/>
    </row>
    <row r="54" spans="1:3" ht="12.75" hidden="1">
      <c r="A54" s="246" t="s">
        <v>741</v>
      </c>
      <c r="B54" s="223" t="s">
        <v>742</v>
      </c>
      <c r="C54" s="211">
        <f>C55</f>
        <v>0</v>
      </c>
    </row>
    <row r="55" spans="1:3" ht="0.75" customHeight="1" hidden="1">
      <c r="A55" s="247" t="s">
        <v>743</v>
      </c>
      <c r="B55" s="218" t="s">
        <v>744</v>
      </c>
      <c r="C55" s="220"/>
    </row>
    <row r="56" spans="1:3" ht="25.5">
      <c r="A56" s="212" t="s">
        <v>745</v>
      </c>
      <c r="B56" s="223" t="s">
        <v>746</v>
      </c>
      <c r="C56" s="211">
        <f>C57</f>
        <v>97.69</v>
      </c>
    </row>
    <row r="57" spans="1:3" ht="25.5">
      <c r="A57" s="217" t="s">
        <v>747</v>
      </c>
      <c r="B57" s="218" t="s">
        <v>748</v>
      </c>
      <c r="C57" s="219">
        <v>97.69</v>
      </c>
    </row>
    <row r="58" spans="1:3" ht="64.5" customHeight="1">
      <c r="A58" s="212" t="s">
        <v>749</v>
      </c>
      <c r="B58" s="223" t="s">
        <v>750</v>
      </c>
      <c r="C58" s="211">
        <f>C59+C62+C64</f>
        <v>15725497</v>
      </c>
    </row>
    <row r="59" spans="1:3" ht="51" customHeight="1">
      <c r="A59" s="212" t="s">
        <v>751</v>
      </c>
      <c r="B59" s="223" t="s">
        <v>752</v>
      </c>
      <c r="C59" s="211">
        <f>C60+C61</f>
        <v>14578091.91</v>
      </c>
    </row>
    <row r="60" spans="1:3" ht="63" customHeight="1">
      <c r="A60" s="217" t="s">
        <v>753</v>
      </c>
      <c r="B60" s="249" t="s">
        <v>754</v>
      </c>
      <c r="C60" s="250">
        <v>13539990.32</v>
      </c>
    </row>
    <row r="61" spans="1:3" ht="61.5" customHeight="1">
      <c r="A61" s="217" t="s">
        <v>755</v>
      </c>
      <c r="B61" s="218" t="s">
        <v>756</v>
      </c>
      <c r="C61" s="250">
        <v>1038101.59</v>
      </c>
    </row>
    <row r="62" spans="1:3" ht="15.75" customHeight="1" hidden="1">
      <c r="A62" s="251" t="s">
        <v>757</v>
      </c>
      <c r="B62" s="223" t="s">
        <v>758</v>
      </c>
      <c r="C62" s="220">
        <f>C63</f>
        <v>0</v>
      </c>
    </row>
    <row r="63" spans="1:3" ht="15.75" customHeight="1" hidden="1">
      <c r="A63" s="217" t="s">
        <v>759</v>
      </c>
      <c r="B63" s="218" t="s">
        <v>760</v>
      </c>
      <c r="C63" s="220"/>
    </row>
    <row r="64" spans="1:3" ht="65.25" customHeight="1">
      <c r="A64" s="212" t="s">
        <v>761</v>
      </c>
      <c r="B64" s="223" t="s">
        <v>762</v>
      </c>
      <c r="C64" s="211">
        <f>C65</f>
        <v>1147405.09</v>
      </c>
    </row>
    <row r="65" spans="1:3" ht="53.25" customHeight="1">
      <c r="A65" s="217" t="s">
        <v>763</v>
      </c>
      <c r="B65" s="218" t="s">
        <v>764</v>
      </c>
      <c r="C65" s="220">
        <v>1147405.09</v>
      </c>
    </row>
    <row r="66" spans="1:3" ht="25.5" hidden="1">
      <c r="A66" s="251" t="s">
        <v>765</v>
      </c>
      <c r="B66" s="223" t="s">
        <v>766</v>
      </c>
      <c r="C66" s="211">
        <f>C67</f>
        <v>0</v>
      </c>
    </row>
    <row r="67" spans="1:3" ht="38.25" hidden="1">
      <c r="A67" s="217" t="s">
        <v>767</v>
      </c>
      <c r="B67" s="218" t="s">
        <v>768</v>
      </c>
      <c r="C67" s="220"/>
    </row>
    <row r="68" spans="1:3" ht="63.75" hidden="1">
      <c r="A68" s="251" t="s">
        <v>769</v>
      </c>
      <c r="B68" s="223" t="s">
        <v>770</v>
      </c>
      <c r="C68" s="211">
        <f>C69</f>
        <v>0</v>
      </c>
    </row>
    <row r="69" spans="1:3" ht="63.75" hidden="1">
      <c r="A69" s="217" t="s">
        <v>771</v>
      </c>
      <c r="B69" s="218" t="s">
        <v>772</v>
      </c>
      <c r="C69" s="220"/>
    </row>
    <row r="70" spans="1:3" ht="3.75" customHeight="1" hidden="1">
      <c r="A70" s="251" t="s">
        <v>773</v>
      </c>
      <c r="B70" s="223" t="s">
        <v>774</v>
      </c>
      <c r="C70" s="211">
        <f>C71</f>
        <v>0</v>
      </c>
    </row>
    <row r="71" spans="1:3" ht="63.75" hidden="1">
      <c r="A71" s="217" t="s">
        <v>775</v>
      </c>
      <c r="B71" s="218" t="s">
        <v>776</v>
      </c>
      <c r="C71" s="220">
        <f>C72</f>
        <v>0</v>
      </c>
    </row>
    <row r="72" spans="1:3" ht="51" hidden="1">
      <c r="A72" s="217" t="s">
        <v>777</v>
      </c>
      <c r="B72" s="218" t="s">
        <v>778</v>
      </c>
      <c r="C72" s="220"/>
    </row>
    <row r="73" spans="1:3" ht="16.5" customHeight="1">
      <c r="A73" s="212" t="s">
        <v>779</v>
      </c>
      <c r="B73" s="213" t="s">
        <v>780</v>
      </c>
      <c r="C73" s="211">
        <f>C74</f>
        <v>170292.81</v>
      </c>
    </row>
    <row r="74" spans="1:3" ht="15.75" customHeight="1">
      <c r="A74" s="217" t="s">
        <v>781</v>
      </c>
      <c r="B74" s="235" t="s">
        <v>782</v>
      </c>
      <c r="C74" s="211">
        <f>SUM(C75:C78)</f>
        <v>170292.81</v>
      </c>
    </row>
    <row r="75" spans="1:3" ht="25.5" customHeight="1">
      <c r="A75" s="217" t="s">
        <v>783</v>
      </c>
      <c r="B75" s="252" t="s">
        <v>784</v>
      </c>
      <c r="C75" s="220">
        <v>157434.2</v>
      </c>
    </row>
    <row r="76" spans="1:3" ht="15" customHeight="1" hidden="1">
      <c r="A76" s="217" t="s">
        <v>785</v>
      </c>
      <c r="B76" s="252" t="s">
        <v>786</v>
      </c>
      <c r="C76" s="220"/>
    </row>
    <row r="77" spans="1:3" ht="12.75">
      <c r="A77" s="217" t="s">
        <v>787</v>
      </c>
      <c r="B77" s="252" t="s">
        <v>788</v>
      </c>
      <c r="C77" s="220">
        <v>6961.61</v>
      </c>
    </row>
    <row r="78" spans="1:3" ht="17.25" customHeight="1">
      <c r="A78" s="212" t="s">
        <v>789</v>
      </c>
      <c r="B78" s="253" t="s">
        <v>790</v>
      </c>
      <c r="C78" s="211">
        <f>C79+C80</f>
        <v>5897</v>
      </c>
    </row>
    <row r="79" spans="1:3" ht="17.25" customHeight="1">
      <c r="A79" s="217" t="s">
        <v>791</v>
      </c>
      <c r="B79" s="254" t="s">
        <v>792</v>
      </c>
      <c r="C79" s="220">
        <v>3708.14</v>
      </c>
    </row>
    <row r="80" spans="1:3" ht="17.25" customHeight="1">
      <c r="A80" s="217" t="s">
        <v>793</v>
      </c>
      <c r="B80" s="254" t="s">
        <v>794</v>
      </c>
      <c r="C80" s="220">
        <v>2188.86</v>
      </c>
    </row>
    <row r="81" spans="1:3" ht="27.75" customHeight="1">
      <c r="A81" s="212" t="s">
        <v>795</v>
      </c>
      <c r="B81" s="213" t="s">
        <v>796</v>
      </c>
      <c r="C81" s="211">
        <f>C82</f>
        <v>14322358.72</v>
      </c>
    </row>
    <row r="82" spans="1:3" ht="15.75" customHeight="1">
      <c r="A82" s="212" t="s">
        <v>797</v>
      </c>
      <c r="B82" s="255" t="s">
        <v>798</v>
      </c>
      <c r="C82" s="211">
        <f>C83</f>
        <v>14322358.72</v>
      </c>
    </row>
    <row r="83" spans="1:3" ht="24" customHeight="1">
      <c r="A83" s="217" t="s">
        <v>799</v>
      </c>
      <c r="B83" s="233" t="s">
        <v>800</v>
      </c>
      <c r="C83" s="219">
        <v>14322358.72</v>
      </c>
    </row>
    <row r="84" spans="1:3" ht="25.5" customHeight="1">
      <c r="A84" s="212" t="s">
        <v>801</v>
      </c>
      <c r="B84" s="213" t="s">
        <v>802</v>
      </c>
      <c r="C84" s="211">
        <f>C85+C87+C92+C93+C96+C98</f>
        <v>15408427.29</v>
      </c>
    </row>
    <row r="85" spans="1:3" ht="12.75" hidden="1">
      <c r="A85" s="246" t="s">
        <v>803</v>
      </c>
      <c r="B85" s="223" t="s">
        <v>804</v>
      </c>
      <c r="C85" s="211">
        <f>C86</f>
        <v>0</v>
      </c>
    </row>
    <row r="86" spans="1:3" ht="25.5" hidden="1">
      <c r="A86" s="247" t="s">
        <v>805</v>
      </c>
      <c r="B86" s="218" t="s">
        <v>806</v>
      </c>
      <c r="C86" s="220"/>
    </row>
    <row r="87" spans="1:3" ht="51" hidden="1">
      <c r="A87" s="246" t="s">
        <v>807</v>
      </c>
      <c r="B87" s="223" t="s">
        <v>808</v>
      </c>
      <c r="C87" s="211">
        <f>C88+C89+C90+C91</f>
        <v>0</v>
      </c>
    </row>
    <row r="88" spans="1:3" ht="66.75" customHeight="1" hidden="1">
      <c r="A88" s="247" t="s">
        <v>809</v>
      </c>
      <c r="B88" s="256" t="s">
        <v>810</v>
      </c>
      <c r="C88" s="220"/>
    </row>
    <row r="89" spans="1:3" ht="63.75" hidden="1">
      <c r="A89" s="247" t="s">
        <v>811</v>
      </c>
      <c r="B89" s="218" t="s">
        <v>812</v>
      </c>
      <c r="C89" s="220"/>
    </row>
    <row r="90" spans="1:3" ht="63.75" hidden="1">
      <c r="A90" s="247" t="s">
        <v>813</v>
      </c>
      <c r="B90" s="218" t="s">
        <v>814</v>
      </c>
      <c r="C90" s="220"/>
    </row>
    <row r="91" spans="1:3" ht="63.75" hidden="1">
      <c r="A91" s="247" t="s">
        <v>815</v>
      </c>
      <c r="B91" s="218" t="s">
        <v>816</v>
      </c>
      <c r="C91" s="220"/>
    </row>
    <row r="92" spans="1:3" ht="38.25" hidden="1">
      <c r="A92" s="246" t="s">
        <v>817</v>
      </c>
      <c r="B92" s="223" t="s">
        <v>818</v>
      </c>
      <c r="C92" s="211">
        <f>C94</f>
        <v>0</v>
      </c>
    </row>
    <row r="93" spans="1:3" ht="38.25" hidden="1">
      <c r="A93" s="246" t="s">
        <v>819</v>
      </c>
      <c r="B93" s="223" t="s">
        <v>820</v>
      </c>
      <c r="C93" s="211">
        <f>C95</f>
        <v>0</v>
      </c>
    </row>
    <row r="94" spans="1:3" ht="38.25" hidden="1">
      <c r="A94" s="247" t="s">
        <v>821</v>
      </c>
      <c r="B94" s="218" t="s">
        <v>822</v>
      </c>
      <c r="C94" s="220"/>
    </row>
    <row r="95" spans="1:3" ht="38.25" hidden="1">
      <c r="A95" s="247" t="s">
        <v>823</v>
      </c>
      <c r="B95" s="218" t="s">
        <v>824</v>
      </c>
      <c r="C95" s="220"/>
    </row>
    <row r="96" spans="1:3" ht="12.75" hidden="1">
      <c r="A96" s="246" t="s">
        <v>825</v>
      </c>
      <c r="B96" s="223" t="s">
        <v>826</v>
      </c>
      <c r="C96" s="220">
        <f>C97</f>
        <v>0</v>
      </c>
    </row>
    <row r="97" spans="1:3" ht="25.5" hidden="1">
      <c r="A97" s="247" t="s">
        <v>827</v>
      </c>
      <c r="B97" s="218" t="s">
        <v>828</v>
      </c>
      <c r="C97" s="220"/>
    </row>
    <row r="98" spans="1:3" ht="26.25" customHeight="1">
      <c r="A98" s="212" t="s">
        <v>829</v>
      </c>
      <c r="B98" s="223" t="s">
        <v>830</v>
      </c>
      <c r="C98" s="211">
        <f>C99+C102</f>
        <v>15408427.29</v>
      </c>
    </row>
    <row r="99" spans="1:3" ht="26.25" customHeight="1">
      <c r="A99" s="212" t="s">
        <v>831</v>
      </c>
      <c r="B99" s="223" t="s">
        <v>832</v>
      </c>
      <c r="C99" s="211">
        <f>C100+C101</f>
        <v>15408427.29</v>
      </c>
    </row>
    <row r="100" spans="1:3" ht="38.25" customHeight="1">
      <c r="A100" s="217" t="s">
        <v>833</v>
      </c>
      <c r="B100" s="249" t="s">
        <v>834</v>
      </c>
      <c r="C100" s="220">
        <v>15273157.84</v>
      </c>
    </row>
    <row r="101" spans="1:3" ht="39" customHeight="1">
      <c r="A101" s="217" t="s">
        <v>835</v>
      </c>
      <c r="B101" s="218" t="s">
        <v>836</v>
      </c>
      <c r="C101" s="220">
        <v>135269.45</v>
      </c>
    </row>
    <row r="102" spans="1:3" ht="38.25" hidden="1">
      <c r="A102" s="257" t="s">
        <v>837</v>
      </c>
      <c r="B102" s="258" t="s">
        <v>838</v>
      </c>
      <c r="C102" s="220">
        <f>C103</f>
        <v>0</v>
      </c>
    </row>
    <row r="103" spans="1:3" ht="38.25" hidden="1">
      <c r="A103" s="259" t="s">
        <v>839</v>
      </c>
      <c r="B103" s="248" t="s">
        <v>840</v>
      </c>
      <c r="C103" s="220"/>
    </row>
    <row r="104" spans="1:3" ht="12.75" hidden="1">
      <c r="A104" s="212" t="s">
        <v>841</v>
      </c>
      <c r="B104" s="213" t="s">
        <v>842</v>
      </c>
      <c r="C104" s="211">
        <f>C105</f>
        <v>0</v>
      </c>
    </row>
    <row r="105" spans="1:3" ht="25.5" hidden="1">
      <c r="A105" s="212" t="s">
        <v>843</v>
      </c>
      <c r="B105" s="223" t="s">
        <v>844</v>
      </c>
      <c r="C105" s="211">
        <f>C106</f>
        <v>0</v>
      </c>
    </row>
    <row r="106" spans="1:3" ht="25.5" hidden="1">
      <c r="A106" s="217" t="s">
        <v>845</v>
      </c>
      <c r="B106" s="218" t="s">
        <v>846</v>
      </c>
      <c r="C106" s="220"/>
    </row>
    <row r="107" spans="1:3" ht="18" customHeight="1">
      <c r="A107" s="212" t="s">
        <v>847</v>
      </c>
      <c r="B107" s="213" t="s">
        <v>848</v>
      </c>
      <c r="C107" s="211">
        <f>C108+C111+C113+C115+C117+C120+C131+C135+C136+C138+C143+C142+C134+C140</f>
        <v>1036566.4700000001</v>
      </c>
    </row>
    <row r="108" spans="1:3" ht="25.5">
      <c r="A108" s="212" t="s">
        <v>849</v>
      </c>
      <c r="B108" s="223" t="s">
        <v>850</v>
      </c>
      <c r="C108" s="211">
        <f>C109+C110</f>
        <v>23299.9</v>
      </c>
    </row>
    <row r="109" spans="1:3" ht="51">
      <c r="A109" s="217" t="s">
        <v>851</v>
      </c>
      <c r="B109" s="218" t="s">
        <v>852</v>
      </c>
      <c r="C109" s="220">
        <v>-550</v>
      </c>
    </row>
    <row r="110" spans="1:3" ht="37.5" customHeight="1">
      <c r="A110" s="217" t="s">
        <v>853</v>
      </c>
      <c r="B110" s="218" t="s">
        <v>854</v>
      </c>
      <c r="C110" s="220">
        <v>23849.9</v>
      </c>
    </row>
    <row r="111" spans="1:3" ht="48">
      <c r="A111" s="212" t="s">
        <v>855</v>
      </c>
      <c r="B111" s="260" t="s">
        <v>856</v>
      </c>
      <c r="C111" s="211">
        <f>C112</f>
        <v>30000</v>
      </c>
    </row>
    <row r="112" spans="1:3" ht="37.5" customHeight="1">
      <c r="A112" s="217" t="s">
        <v>857</v>
      </c>
      <c r="B112" s="248" t="s">
        <v>858</v>
      </c>
      <c r="C112" s="219">
        <v>30000</v>
      </c>
    </row>
    <row r="113" spans="1:3" ht="25.5" hidden="1">
      <c r="A113" s="212" t="s">
        <v>859</v>
      </c>
      <c r="B113" s="223" t="s">
        <v>860</v>
      </c>
      <c r="C113" s="211">
        <f>C114</f>
        <v>0</v>
      </c>
    </row>
    <row r="114" spans="1:3" ht="25.5" hidden="1">
      <c r="A114" s="217" t="s">
        <v>861</v>
      </c>
      <c r="B114" s="218" t="s">
        <v>862</v>
      </c>
      <c r="C114" s="220"/>
    </row>
    <row r="115" spans="1:3" ht="38.25">
      <c r="A115" s="212" t="s">
        <v>863</v>
      </c>
      <c r="B115" s="223" t="s">
        <v>864</v>
      </c>
      <c r="C115" s="211">
        <f>C116</f>
        <v>189983.84</v>
      </c>
    </row>
    <row r="116" spans="1:3" ht="38.25" customHeight="1">
      <c r="A116" s="217" t="s">
        <v>865</v>
      </c>
      <c r="B116" s="218" t="s">
        <v>866</v>
      </c>
      <c r="C116" s="220">
        <v>189983.84</v>
      </c>
    </row>
    <row r="117" spans="1:3" s="234" customFormat="1" ht="17.25" customHeight="1" hidden="1">
      <c r="A117" s="212" t="s">
        <v>867</v>
      </c>
      <c r="B117" s="223" t="s">
        <v>868</v>
      </c>
      <c r="C117" s="211">
        <f>C118</f>
        <v>0</v>
      </c>
    </row>
    <row r="118" spans="1:3" ht="38.25" hidden="1">
      <c r="A118" s="217" t="s">
        <v>869</v>
      </c>
      <c r="B118" s="218" t="s">
        <v>870</v>
      </c>
      <c r="C118" s="220">
        <f>C119</f>
        <v>0</v>
      </c>
    </row>
    <row r="119" spans="1:3" ht="38.25" hidden="1">
      <c r="A119" s="261" t="s">
        <v>871</v>
      </c>
      <c r="B119" s="262" t="s">
        <v>872</v>
      </c>
      <c r="C119" s="219"/>
    </row>
    <row r="120" spans="1:3" ht="72" customHeight="1">
      <c r="A120" s="212" t="s">
        <v>873</v>
      </c>
      <c r="B120" s="260" t="s">
        <v>874</v>
      </c>
      <c r="C120" s="229">
        <f>C121+C122+C123+C124+C125+C126+C127+C129</f>
        <v>130560.9</v>
      </c>
    </row>
    <row r="121" spans="1:3" ht="25.5" hidden="1">
      <c r="A121" s="217" t="s">
        <v>875</v>
      </c>
      <c r="B121" s="218" t="s">
        <v>876</v>
      </c>
      <c r="C121" s="220"/>
    </row>
    <row r="122" spans="1:3" ht="25.5" hidden="1">
      <c r="A122" s="217" t="s">
        <v>877</v>
      </c>
      <c r="B122" s="218" t="s">
        <v>878</v>
      </c>
      <c r="C122" s="220"/>
    </row>
    <row r="123" spans="1:3" ht="24.75" customHeight="1" hidden="1">
      <c r="A123" s="217" t="s">
        <v>879</v>
      </c>
      <c r="B123" s="218" t="s">
        <v>880</v>
      </c>
      <c r="C123" s="220"/>
    </row>
    <row r="124" spans="1:3" ht="25.5" hidden="1">
      <c r="A124" s="217" t="s">
        <v>881</v>
      </c>
      <c r="B124" s="218" t="s">
        <v>882</v>
      </c>
      <c r="C124" s="220"/>
    </row>
    <row r="125" spans="1:3" ht="25.5" hidden="1">
      <c r="A125" s="217" t="s">
        <v>883</v>
      </c>
      <c r="B125" s="218" t="s">
        <v>884</v>
      </c>
      <c r="C125" s="220"/>
    </row>
    <row r="126" spans="1:3" s="264" customFormat="1" ht="25.5" customHeight="1">
      <c r="A126" s="221" t="s">
        <v>885</v>
      </c>
      <c r="B126" s="263" t="s">
        <v>886</v>
      </c>
      <c r="C126" s="219">
        <v>130560.9</v>
      </c>
    </row>
    <row r="127" spans="1:3" ht="0.75" customHeight="1" hidden="1">
      <c r="A127" s="251" t="s">
        <v>887</v>
      </c>
      <c r="B127" s="223" t="s">
        <v>888</v>
      </c>
      <c r="C127" s="220">
        <f>C128</f>
        <v>0</v>
      </c>
    </row>
    <row r="128" spans="1:3" ht="38.25" hidden="1">
      <c r="A128" s="217" t="s">
        <v>889</v>
      </c>
      <c r="B128" s="218" t="s">
        <v>890</v>
      </c>
      <c r="C128" s="220"/>
    </row>
    <row r="129" spans="1:3" ht="25.5" hidden="1">
      <c r="A129" s="251" t="s">
        <v>891</v>
      </c>
      <c r="B129" s="223" t="s">
        <v>892</v>
      </c>
      <c r="C129" s="220">
        <f>C130</f>
        <v>0</v>
      </c>
    </row>
    <row r="130" spans="1:3" ht="38.25" hidden="1">
      <c r="A130" s="217" t="s">
        <v>893</v>
      </c>
      <c r="B130" s="218" t="s">
        <v>894</v>
      </c>
      <c r="C130" s="220"/>
    </row>
    <row r="131" spans="1:3" ht="1.5" customHeight="1" hidden="1">
      <c r="A131" s="217" t="s">
        <v>895</v>
      </c>
      <c r="B131" s="218" t="s">
        <v>896</v>
      </c>
      <c r="C131" s="211"/>
    </row>
    <row r="132" spans="1:3" ht="25.5" customHeight="1" hidden="1">
      <c r="A132" s="265" t="s">
        <v>897</v>
      </c>
      <c r="B132" s="258" t="s">
        <v>898</v>
      </c>
      <c r="C132" s="229">
        <f>C133+C135</f>
        <v>0</v>
      </c>
    </row>
    <row r="133" spans="1:3" ht="38.25" customHeight="1" hidden="1">
      <c r="A133" s="266" t="s">
        <v>899</v>
      </c>
      <c r="B133" s="258" t="s">
        <v>900</v>
      </c>
      <c r="C133" s="229">
        <f>C134</f>
        <v>0</v>
      </c>
    </row>
    <row r="134" spans="1:3" ht="51.75" customHeight="1" hidden="1">
      <c r="A134" s="267" t="s">
        <v>901</v>
      </c>
      <c r="B134" s="248" t="s">
        <v>902</v>
      </c>
      <c r="C134" s="220"/>
    </row>
    <row r="135" spans="1:3" ht="25.5" hidden="1">
      <c r="A135" s="217" t="s">
        <v>903</v>
      </c>
      <c r="B135" s="248" t="s">
        <v>904</v>
      </c>
      <c r="C135" s="220"/>
    </row>
    <row r="136" spans="1:3" ht="39.75" customHeight="1">
      <c r="A136" s="268" t="s">
        <v>905</v>
      </c>
      <c r="B136" s="269" t="s">
        <v>906</v>
      </c>
      <c r="C136" s="211">
        <f>C137</f>
        <v>15000</v>
      </c>
    </row>
    <row r="137" spans="1:3" ht="51">
      <c r="A137" s="270" t="s">
        <v>907</v>
      </c>
      <c r="B137" s="271" t="s">
        <v>908</v>
      </c>
      <c r="C137" s="220">
        <v>15000</v>
      </c>
    </row>
    <row r="138" spans="1:3" ht="19.5" customHeight="1">
      <c r="A138" s="272" t="s">
        <v>909</v>
      </c>
      <c r="B138" s="273" t="s">
        <v>910</v>
      </c>
      <c r="C138" s="211">
        <f>C139</f>
        <v>250875</v>
      </c>
    </row>
    <row r="139" spans="1:3" ht="27" customHeight="1">
      <c r="A139" s="274" t="s">
        <v>911</v>
      </c>
      <c r="B139" s="275" t="s">
        <v>912</v>
      </c>
      <c r="C139" s="220">
        <v>250875</v>
      </c>
    </row>
    <row r="140" spans="1:3" s="279" customFormat="1" ht="25.5" hidden="1">
      <c r="A140" s="276" t="s">
        <v>913</v>
      </c>
      <c r="B140" s="277" t="s">
        <v>914</v>
      </c>
      <c r="C140" s="278">
        <f>C141</f>
        <v>0</v>
      </c>
    </row>
    <row r="141" spans="1:3" ht="38.25" hidden="1">
      <c r="A141" s="280" t="s">
        <v>915</v>
      </c>
      <c r="B141" s="252" t="s">
        <v>916</v>
      </c>
      <c r="C141" s="229"/>
    </row>
    <row r="142" spans="1:3" ht="51" customHeight="1">
      <c r="A142" s="226" t="s">
        <v>917</v>
      </c>
      <c r="B142" s="218" t="s">
        <v>918</v>
      </c>
      <c r="C142" s="220">
        <v>63467.37</v>
      </c>
    </row>
    <row r="143" spans="1:3" s="234" customFormat="1" ht="27" customHeight="1">
      <c r="A143" s="212" t="s">
        <v>919</v>
      </c>
      <c r="B143" s="223" t="s">
        <v>920</v>
      </c>
      <c r="C143" s="211">
        <f>C144</f>
        <v>333379.46</v>
      </c>
    </row>
    <row r="144" spans="1:3" ht="26.25" customHeight="1">
      <c r="A144" s="217" t="s">
        <v>921</v>
      </c>
      <c r="B144" s="218" t="s">
        <v>922</v>
      </c>
      <c r="C144" s="220">
        <v>333379.46</v>
      </c>
    </row>
    <row r="145" spans="1:3" ht="12.75">
      <c r="A145" s="246" t="s">
        <v>923</v>
      </c>
      <c r="B145" s="213" t="s">
        <v>924</v>
      </c>
      <c r="C145" s="211">
        <f>C146</f>
        <v>-967712.34</v>
      </c>
    </row>
    <row r="146" spans="1:3" ht="12.75">
      <c r="A146" s="246" t="s">
        <v>925</v>
      </c>
      <c r="B146" s="281" t="s">
        <v>926</v>
      </c>
      <c r="C146" s="282">
        <f>C147</f>
        <v>-967712.34</v>
      </c>
    </row>
    <row r="147" spans="1:3" ht="22.5">
      <c r="A147" s="217" t="s">
        <v>927</v>
      </c>
      <c r="B147" s="283" t="s">
        <v>928</v>
      </c>
      <c r="C147" s="284">
        <v>-967712.34</v>
      </c>
    </row>
    <row r="148" spans="1:3" ht="20.25" customHeight="1">
      <c r="A148" s="285" t="s">
        <v>929</v>
      </c>
      <c r="B148" s="286" t="s">
        <v>930</v>
      </c>
      <c r="C148" s="287">
        <f>C149+C232+C238+C235</f>
        <v>339199973.58</v>
      </c>
    </row>
    <row r="149" spans="1:3" ht="27" customHeight="1">
      <c r="A149" s="285" t="s">
        <v>931</v>
      </c>
      <c r="B149" s="288" t="s">
        <v>932</v>
      </c>
      <c r="C149" s="289">
        <f>C150+C155+C177+C227</f>
        <v>333252721.58</v>
      </c>
    </row>
    <row r="150" spans="1:3" ht="16.5" customHeight="1">
      <c r="A150" s="290" t="s">
        <v>933</v>
      </c>
      <c r="B150" s="291" t="s">
        <v>934</v>
      </c>
      <c r="C150" s="292">
        <f>C151+C153</f>
        <v>9680128</v>
      </c>
    </row>
    <row r="151" spans="1:3" ht="12.75">
      <c r="A151" s="290" t="s">
        <v>935</v>
      </c>
      <c r="B151" s="293" t="s">
        <v>936</v>
      </c>
      <c r="C151" s="292">
        <f>C152</f>
        <v>868284</v>
      </c>
    </row>
    <row r="152" spans="1:3" s="264" customFormat="1" ht="26.25" customHeight="1">
      <c r="A152" s="294" t="s">
        <v>937</v>
      </c>
      <c r="B152" s="295" t="s">
        <v>938</v>
      </c>
      <c r="C152" s="296">
        <v>868284</v>
      </c>
    </row>
    <row r="153" spans="1:3" ht="25.5">
      <c r="A153" s="290" t="s">
        <v>939</v>
      </c>
      <c r="B153" s="297" t="s">
        <v>940</v>
      </c>
      <c r="C153" s="289">
        <f>C154</f>
        <v>8811844</v>
      </c>
    </row>
    <row r="154" spans="1:3" ht="25.5">
      <c r="A154" s="298" t="s">
        <v>941</v>
      </c>
      <c r="B154" s="299" t="s">
        <v>942</v>
      </c>
      <c r="C154" s="296">
        <v>8811844</v>
      </c>
    </row>
    <row r="155" spans="1:3" ht="24.75" customHeight="1">
      <c r="A155" s="212" t="s">
        <v>943</v>
      </c>
      <c r="B155" s="258" t="s">
        <v>944</v>
      </c>
      <c r="C155" s="289">
        <f>C164+C156+C158+C162+C160</f>
        <v>5253126.58</v>
      </c>
    </row>
    <row r="156" spans="1:3" s="234" customFormat="1" ht="15.75" customHeight="1" hidden="1">
      <c r="A156" s="300" t="s">
        <v>945</v>
      </c>
      <c r="B156" s="301" t="s">
        <v>946</v>
      </c>
      <c r="C156" s="289">
        <f>C157</f>
        <v>0</v>
      </c>
    </row>
    <row r="157" spans="1:3" ht="25.5" hidden="1">
      <c r="A157" s="302" t="s">
        <v>947</v>
      </c>
      <c r="B157" s="262" t="s">
        <v>948</v>
      </c>
      <c r="C157" s="296"/>
    </row>
    <row r="158" spans="1:3" s="234" customFormat="1" ht="27" customHeight="1">
      <c r="A158" s="303" t="s">
        <v>949</v>
      </c>
      <c r="B158" s="301" t="s">
        <v>950</v>
      </c>
      <c r="C158" s="289">
        <f>C159</f>
        <v>879750</v>
      </c>
    </row>
    <row r="159" spans="1:3" ht="29.25" customHeight="1">
      <c r="A159" s="261" t="s">
        <v>951</v>
      </c>
      <c r="B159" s="262" t="s">
        <v>952</v>
      </c>
      <c r="C159" s="296">
        <v>879750</v>
      </c>
    </row>
    <row r="160" spans="1:3" ht="25.5" customHeight="1">
      <c r="A160" s="304" t="s">
        <v>953</v>
      </c>
      <c r="B160" s="305" t="s">
        <v>954</v>
      </c>
      <c r="C160" s="289">
        <f>C161</f>
        <v>2104585</v>
      </c>
    </row>
    <row r="161" spans="1:3" ht="38.25" customHeight="1">
      <c r="A161" s="306" t="s">
        <v>955</v>
      </c>
      <c r="B161" s="271" t="s">
        <v>956</v>
      </c>
      <c r="C161" s="296">
        <v>2104585</v>
      </c>
    </row>
    <row r="162" spans="1:3" ht="41.25" customHeight="1">
      <c r="A162" s="303" t="s">
        <v>957</v>
      </c>
      <c r="B162" s="301" t="s">
        <v>958</v>
      </c>
      <c r="C162" s="289">
        <f>C163</f>
        <v>1192308.58</v>
      </c>
    </row>
    <row r="163" spans="1:3" ht="39.75" customHeight="1">
      <c r="A163" s="307" t="s">
        <v>959</v>
      </c>
      <c r="B163" s="262" t="s">
        <v>960</v>
      </c>
      <c r="C163" s="296">
        <v>1192308.58</v>
      </c>
    </row>
    <row r="164" spans="1:3" ht="17.25" customHeight="1">
      <c r="A164" s="308" t="s">
        <v>961</v>
      </c>
      <c r="B164" s="309" t="s">
        <v>962</v>
      </c>
      <c r="C164" s="289">
        <f>SUM(C165:C176)</f>
        <v>1076483</v>
      </c>
    </row>
    <row r="165" spans="1:3" ht="38.25" customHeight="1" hidden="1">
      <c r="A165" s="310" t="s">
        <v>963</v>
      </c>
      <c r="B165" s="263" t="s">
        <v>964</v>
      </c>
      <c r="C165" s="296"/>
    </row>
    <row r="166" spans="1:3" ht="54.75" customHeight="1" hidden="1">
      <c r="A166" s="310" t="s">
        <v>963</v>
      </c>
      <c r="B166" s="218" t="s">
        <v>965</v>
      </c>
      <c r="C166" s="296"/>
    </row>
    <row r="167" spans="1:3" ht="39.75" customHeight="1" hidden="1">
      <c r="A167" s="310" t="s">
        <v>963</v>
      </c>
      <c r="B167" s="218" t="s">
        <v>966</v>
      </c>
      <c r="C167" s="296"/>
    </row>
    <row r="168" spans="1:3" ht="51" hidden="1">
      <c r="A168" s="310" t="s">
        <v>963</v>
      </c>
      <c r="B168" s="218" t="s">
        <v>967</v>
      </c>
      <c r="C168" s="296"/>
    </row>
    <row r="169" spans="1:3" ht="38.25">
      <c r="A169" s="310" t="s">
        <v>963</v>
      </c>
      <c r="B169" s="218" t="s">
        <v>968</v>
      </c>
      <c r="C169" s="296">
        <v>424491</v>
      </c>
    </row>
    <row r="170" spans="1:3" ht="25.5" customHeight="1" hidden="1">
      <c r="A170" s="310" t="s">
        <v>963</v>
      </c>
      <c r="B170" s="311" t="s">
        <v>969</v>
      </c>
      <c r="C170" s="312"/>
    </row>
    <row r="171" spans="1:3" ht="52.5" customHeight="1">
      <c r="A171" s="310" t="s">
        <v>963</v>
      </c>
      <c r="B171" s="313" t="s">
        <v>970</v>
      </c>
      <c r="C171" s="314">
        <v>56044</v>
      </c>
    </row>
    <row r="172" spans="1:3" ht="0.75" customHeight="1" hidden="1">
      <c r="A172" s="310" t="s">
        <v>963</v>
      </c>
      <c r="B172" s="313" t="s">
        <v>971</v>
      </c>
      <c r="C172" s="296"/>
    </row>
    <row r="173" spans="1:3" ht="39" customHeight="1">
      <c r="A173" s="310" t="s">
        <v>963</v>
      </c>
      <c r="B173" s="218" t="s">
        <v>972</v>
      </c>
      <c r="C173" s="296">
        <v>595948</v>
      </c>
    </row>
    <row r="174" spans="1:3" ht="39" customHeight="1" hidden="1">
      <c r="A174" s="310" t="s">
        <v>963</v>
      </c>
      <c r="B174" s="218"/>
      <c r="C174" s="296"/>
    </row>
    <row r="175" spans="1:3" ht="39" customHeight="1" hidden="1">
      <c r="A175" s="310" t="s">
        <v>963</v>
      </c>
      <c r="B175" s="218" t="s">
        <v>973</v>
      </c>
      <c r="C175" s="296"/>
    </row>
    <row r="176" spans="1:3" ht="25.5" hidden="1">
      <c r="A176" s="310" t="s">
        <v>963</v>
      </c>
      <c r="B176" s="218" t="s">
        <v>974</v>
      </c>
      <c r="C176" s="296"/>
    </row>
    <row r="177" spans="1:3" ht="20.25" customHeight="1">
      <c r="A177" s="212" t="s">
        <v>975</v>
      </c>
      <c r="B177" s="315" t="s">
        <v>976</v>
      </c>
      <c r="C177" s="289">
        <f>C180+C182+C184+C186+C188+C190+C192+C204+C194+C199+C201+C196+C178</f>
        <v>318189467</v>
      </c>
    </row>
    <row r="178" spans="1:3" ht="39" customHeight="1">
      <c r="A178" s="212" t="s">
        <v>977</v>
      </c>
      <c r="B178" s="316" t="s">
        <v>978</v>
      </c>
      <c r="C178" s="289">
        <f>C179</f>
        <v>70994</v>
      </c>
    </row>
    <row r="179" spans="1:3" ht="38.25">
      <c r="A179" s="221" t="s">
        <v>979</v>
      </c>
      <c r="B179" s="317" t="s">
        <v>980</v>
      </c>
      <c r="C179" s="296">
        <v>70994</v>
      </c>
    </row>
    <row r="180" spans="1:3" ht="36.75" customHeight="1">
      <c r="A180" s="212" t="s">
        <v>981</v>
      </c>
      <c r="B180" s="318" t="s">
        <v>982</v>
      </c>
      <c r="C180" s="289">
        <f>C181</f>
        <v>8916646</v>
      </c>
    </row>
    <row r="181" spans="1:3" ht="39" customHeight="1">
      <c r="A181" s="221" t="s">
        <v>983</v>
      </c>
      <c r="B181" s="319" t="s">
        <v>984</v>
      </c>
      <c r="C181" s="296">
        <v>8916646</v>
      </c>
    </row>
    <row r="182" spans="1:3" ht="38.25">
      <c r="A182" s="320" t="s">
        <v>985</v>
      </c>
      <c r="B182" s="271" t="s">
        <v>986</v>
      </c>
      <c r="C182" s="289">
        <f>C183</f>
        <v>12750</v>
      </c>
    </row>
    <row r="183" spans="1:3" s="264" customFormat="1" ht="52.5" customHeight="1">
      <c r="A183" s="321" t="s">
        <v>987</v>
      </c>
      <c r="B183" s="271" t="s">
        <v>988</v>
      </c>
      <c r="C183" s="296">
        <v>12750</v>
      </c>
    </row>
    <row r="184" spans="1:3" ht="12.75" hidden="1">
      <c r="A184" s="217"/>
      <c r="B184" s="322"/>
      <c r="C184" s="296">
        <f>C185</f>
        <v>0</v>
      </c>
    </row>
    <row r="185" spans="1:3" ht="12.75" hidden="1">
      <c r="A185" s="323"/>
      <c r="B185" s="324"/>
      <c r="C185" s="325"/>
    </row>
    <row r="186" spans="1:3" ht="18" customHeight="1">
      <c r="A186" s="212" t="s">
        <v>989</v>
      </c>
      <c r="B186" s="326" t="s">
        <v>990</v>
      </c>
      <c r="C186" s="289">
        <f>C187</f>
        <v>1559394</v>
      </c>
    </row>
    <row r="187" spans="1:3" ht="15.75" customHeight="1">
      <c r="A187" s="327" t="s">
        <v>991</v>
      </c>
      <c r="B187" s="328" t="s">
        <v>992</v>
      </c>
      <c r="C187" s="296">
        <v>1559394</v>
      </c>
    </row>
    <row r="188" spans="1:3" ht="25.5" hidden="1">
      <c r="A188" s="217" t="s">
        <v>993</v>
      </c>
      <c r="B188" s="322" t="s">
        <v>994</v>
      </c>
      <c r="C188" s="296">
        <f>C189</f>
        <v>0</v>
      </c>
    </row>
    <row r="189" spans="1:3" ht="38.25" hidden="1">
      <c r="A189" s="217" t="s">
        <v>995</v>
      </c>
      <c r="B189" s="322" t="s">
        <v>996</v>
      </c>
      <c r="C189" s="296"/>
    </row>
    <row r="190" spans="1:3" ht="26.25" customHeight="1" hidden="1">
      <c r="A190" s="217" t="s">
        <v>997</v>
      </c>
      <c r="B190" s="322" t="s">
        <v>998</v>
      </c>
      <c r="C190" s="296">
        <f>C191</f>
        <v>0</v>
      </c>
    </row>
    <row r="191" spans="1:3" ht="0.75" customHeight="1" hidden="1">
      <c r="A191" s="217" t="s">
        <v>999</v>
      </c>
      <c r="B191" s="329"/>
      <c r="C191" s="325"/>
    </row>
    <row r="192" spans="1:3" ht="38.25" customHeight="1" hidden="1">
      <c r="A192" s="330"/>
      <c r="B192" s="330"/>
      <c r="C192" s="296">
        <f>C193</f>
        <v>0</v>
      </c>
    </row>
    <row r="193" spans="1:3" ht="41.25" customHeight="1" hidden="1">
      <c r="A193" s="330"/>
      <c r="B193" s="330"/>
      <c r="C193" s="296"/>
    </row>
    <row r="194" spans="1:3" ht="12.75" hidden="1">
      <c r="A194" s="331" t="s">
        <v>1000</v>
      </c>
      <c r="B194" s="218"/>
      <c r="C194" s="296">
        <f>C195</f>
        <v>0</v>
      </c>
    </row>
    <row r="195" spans="1:3" ht="12.75" hidden="1">
      <c r="A195" s="332" t="s">
        <v>1001</v>
      </c>
      <c r="B195" s="333"/>
      <c r="C195" s="325"/>
    </row>
    <row r="196" spans="1:3" ht="132" customHeight="1" hidden="1">
      <c r="A196" s="334" t="s">
        <v>1002</v>
      </c>
      <c r="B196" s="335" t="s">
        <v>1003</v>
      </c>
      <c r="C196" s="296"/>
    </row>
    <row r="197" spans="1:3" ht="102" hidden="1">
      <c r="A197" s="334" t="s">
        <v>1004</v>
      </c>
      <c r="B197" s="335" t="s">
        <v>1005</v>
      </c>
      <c r="C197" s="296"/>
    </row>
    <row r="198" spans="1:3" ht="102" hidden="1">
      <c r="A198" s="334" t="s">
        <v>1004</v>
      </c>
      <c r="B198" s="335" t="s">
        <v>1006</v>
      </c>
      <c r="C198" s="296"/>
    </row>
    <row r="199" spans="1:3" ht="12.75" hidden="1">
      <c r="A199" s="334"/>
      <c r="B199" s="218"/>
      <c r="C199" s="296"/>
    </row>
    <row r="200" spans="1:3" ht="12.75" hidden="1">
      <c r="A200" s="334"/>
      <c r="B200" s="336"/>
      <c r="C200" s="296"/>
    </row>
    <row r="201" spans="1:3" ht="12.75" hidden="1">
      <c r="A201" s="334"/>
      <c r="B201" s="337"/>
      <c r="C201" s="296"/>
    </row>
    <row r="202" spans="1:3" ht="12.75" hidden="1">
      <c r="A202" s="334"/>
      <c r="B202" s="337"/>
      <c r="C202" s="296"/>
    </row>
    <row r="203" spans="1:3" s="340" customFormat="1" ht="15.75" customHeight="1">
      <c r="A203" s="338" t="s">
        <v>1007</v>
      </c>
      <c r="B203" s="339" t="s">
        <v>1008</v>
      </c>
      <c r="C203" s="289">
        <f>C204</f>
        <v>307629683</v>
      </c>
    </row>
    <row r="204" spans="1:3" ht="15" customHeight="1">
      <c r="A204" s="338" t="s">
        <v>1009</v>
      </c>
      <c r="B204" s="339" t="s">
        <v>1010</v>
      </c>
      <c r="C204" s="341">
        <f>SUM(C206:C226)</f>
        <v>307629683</v>
      </c>
    </row>
    <row r="205" spans="1:3" ht="13.5" customHeight="1">
      <c r="A205" s="298"/>
      <c r="B205" s="342" t="s">
        <v>1011</v>
      </c>
      <c r="C205" s="296"/>
    </row>
    <row r="206" spans="1:3" ht="38.25" customHeight="1">
      <c r="A206" s="298" t="s">
        <v>1009</v>
      </c>
      <c r="B206" s="263" t="s">
        <v>1012</v>
      </c>
      <c r="C206" s="296">
        <v>876600</v>
      </c>
    </row>
    <row r="207" spans="1:3" ht="64.5" customHeight="1">
      <c r="A207" s="298" t="s">
        <v>1009</v>
      </c>
      <c r="B207" s="319" t="s">
        <v>1013</v>
      </c>
      <c r="C207" s="296">
        <v>211000561</v>
      </c>
    </row>
    <row r="208" spans="1:3" ht="65.25" customHeight="1">
      <c r="A208" s="298" t="s">
        <v>1009</v>
      </c>
      <c r="B208" s="319" t="s">
        <v>1014</v>
      </c>
      <c r="C208" s="296">
        <v>19263219</v>
      </c>
    </row>
    <row r="209" spans="1:3" ht="26.25" customHeight="1">
      <c r="A209" s="298" t="s">
        <v>1009</v>
      </c>
      <c r="B209" s="322" t="s">
        <v>1015</v>
      </c>
      <c r="C209" s="296">
        <v>1966544</v>
      </c>
    </row>
    <row r="210" spans="1:3" ht="65.25" customHeight="1">
      <c r="A210" s="298" t="s">
        <v>1009</v>
      </c>
      <c r="B210" s="319" t="s">
        <v>1016</v>
      </c>
      <c r="C210" s="343">
        <v>46494590</v>
      </c>
    </row>
    <row r="211" spans="1:3" ht="53.25" customHeight="1">
      <c r="A211" s="298" t="s">
        <v>1009</v>
      </c>
      <c r="B211" s="344" t="s">
        <v>1017</v>
      </c>
      <c r="C211" s="296">
        <v>2312646</v>
      </c>
    </row>
    <row r="212" spans="1:3" ht="66" customHeight="1">
      <c r="A212" s="298" t="s">
        <v>1009</v>
      </c>
      <c r="B212" s="319" t="s">
        <v>1018</v>
      </c>
      <c r="C212" s="296">
        <v>208151</v>
      </c>
    </row>
    <row r="213" spans="1:3" ht="41.25" customHeight="1">
      <c r="A213" s="298" t="s">
        <v>1009</v>
      </c>
      <c r="B213" s="319" t="s">
        <v>1019</v>
      </c>
      <c r="C213" s="296">
        <v>1275654</v>
      </c>
    </row>
    <row r="214" spans="1:3" ht="51" customHeight="1">
      <c r="A214" s="298" t="s">
        <v>1009</v>
      </c>
      <c r="B214" s="319" t="s">
        <v>1020</v>
      </c>
      <c r="C214" s="296">
        <v>49708</v>
      </c>
    </row>
    <row r="215" spans="1:3" ht="27" customHeight="1">
      <c r="A215" s="298" t="s">
        <v>1009</v>
      </c>
      <c r="B215" s="319" t="s">
        <v>1021</v>
      </c>
      <c r="C215" s="296">
        <v>327773</v>
      </c>
    </row>
    <row r="216" spans="1:3" ht="39.75" customHeight="1">
      <c r="A216" s="298" t="s">
        <v>1009</v>
      </c>
      <c r="B216" s="319" t="s">
        <v>1022</v>
      </c>
      <c r="C216" s="296">
        <v>292200</v>
      </c>
    </row>
    <row r="217" spans="1:3" ht="38.25" customHeight="1">
      <c r="A217" s="298" t="s">
        <v>1009</v>
      </c>
      <c r="B217" s="319" t="s">
        <v>1023</v>
      </c>
      <c r="C217" s="296">
        <v>292200</v>
      </c>
    </row>
    <row r="218" spans="1:3" ht="25.5" customHeight="1">
      <c r="A218" s="298" t="s">
        <v>1009</v>
      </c>
      <c r="B218" s="319" t="s">
        <v>1024</v>
      </c>
      <c r="C218" s="296">
        <v>292200</v>
      </c>
    </row>
    <row r="219" spans="1:3" ht="38.25" customHeight="1">
      <c r="A219" s="298" t="s">
        <v>1009</v>
      </c>
      <c r="B219" s="319" t="s">
        <v>1025</v>
      </c>
      <c r="C219" s="296">
        <v>122900</v>
      </c>
    </row>
    <row r="220" spans="1:3" ht="26.25" customHeight="1">
      <c r="A220" s="298" t="s">
        <v>1009</v>
      </c>
      <c r="B220" s="317" t="s">
        <v>1026</v>
      </c>
      <c r="C220" s="343">
        <f>9262266+1480000</f>
        <v>10742266</v>
      </c>
    </row>
    <row r="221" spans="1:3" ht="27.75" customHeight="1">
      <c r="A221" s="298" t="s">
        <v>1009</v>
      </c>
      <c r="B221" s="263" t="s">
        <v>1027</v>
      </c>
      <c r="C221" s="343">
        <v>1912985</v>
      </c>
    </row>
    <row r="222" spans="1:3" ht="65.25" customHeight="1">
      <c r="A222" s="298" t="s">
        <v>1009</v>
      </c>
      <c r="B222" s="319" t="s">
        <v>1028</v>
      </c>
      <c r="C222" s="296">
        <v>299608</v>
      </c>
    </row>
    <row r="223" spans="1:3" ht="38.25" customHeight="1">
      <c r="A223" s="298" t="s">
        <v>1009</v>
      </c>
      <c r="B223" s="319" t="s">
        <v>1029</v>
      </c>
      <c r="C223" s="296">
        <v>2045400</v>
      </c>
    </row>
    <row r="224" spans="1:3" ht="38.25">
      <c r="A224" s="298" t="s">
        <v>1009</v>
      </c>
      <c r="B224" s="263" t="s">
        <v>1030</v>
      </c>
      <c r="C224" s="296">
        <f>5053+4147</f>
        <v>9200</v>
      </c>
    </row>
    <row r="225" spans="1:3" ht="51">
      <c r="A225" s="298" t="s">
        <v>1009</v>
      </c>
      <c r="B225" s="263" t="s">
        <v>1031</v>
      </c>
      <c r="C225" s="296">
        <v>29220</v>
      </c>
    </row>
    <row r="226" spans="1:3" ht="51" customHeight="1">
      <c r="A226" s="298" t="s">
        <v>1009</v>
      </c>
      <c r="B226" s="319" t="s">
        <v>1032</v>
      </c>
      <c r="C226" s="296">
        <v>7816058</v>
      </c>
    </row>
    <row r="227" spans="1:3" s="234" customFormat="1" ht="12.75">
      <c r="A227" s="345" t="s">
        <v>1033</v>
      </c>
      <c r="B227" s="346" t="s">
        <v>1034</v>
      </c>
      <c r="C227" s="289">
        <f>C228+C230</f>
        <v>130000</v>
      </c>
    </row>
    <row r="228" spans="1:3" s="234" customFormat="1" ht="36" customHeight="1">
      <c r="A228" s="307" t="s">
        <v>1035</v>
      </c>
      <c r="B228" s="347" t="s">
        <v>1036</v>
      </c>
      <c r="C228" s="289">
        <f>C229</f>
        <v>30000</v>
      </c>
    </row>
    <row r="229" spans="1:3" ht="38.25" customHeight="1">
      <c r="A229" s="348" t="s">
        <v>1037</v>
      </c>
      <c r="B229" s="349" t="s">
        <v>1038</v>
      </c>
      <c r="C229" s="343">
        <v>30000</v>
      </c>
    </row>
    <row r="230" spans="1:3" ht="15.75" customHeight="1">
      <c r="A230" s="348" t="s">
        <v>1039</v>
      </c>
      <c r="B230" s="262" t="s">
        <v>1040</v>
      </c>
      <c r="C230" s="350">
        <f>C231</f>
        <v>100000</v>
      </c>
    </row>
    <row r="231" spans="1:3" ht="25.5">
      <c r="A231" s="348" t="s">
        <v>1041</v>
      </c>
      <c r="B231" s="351" t="s">
        <v>1042</v>
      </c>
      <c r="C231" s="296">
        <v>100000</v>
      </c>
    </row>
    <row r="232" spans="1:3" ht="18" customHeight="1">
      <c r="A232" s="352" t="s">
        <v>1043</v>
      </c>
      <c r="B232" s="291" t="s">
        <v>1044</v>
      </c>
      <c r="C232" s="229">
        <f>C233</f>
        <v>6389218</v>
      </c>
    </row>
    <row r="233" spans="1:3" ht="17.25" customHeight="1">
      <c r="A233" s="353" t="s">
        <v>1045</v>
      </c>
      <c r="B233" s="354" t="s">
        <v>1046</v>
      </c>
      <c r="C233" s="350">
        <f>C234</f>
        <v>6389218</v>
      </c>
    </row>
    <row r="234" spans="1:3" s="234" customFormat="1" ht="18.75" customHeight="1">
      <c r="A234" s="355" t="s">
        <v>1047</v>
      </c>
      <c r="B234" s="356" t="s">
        <v>1046</v>
      </c>
      <c r="C234" s="296">
        <v>6389218</v>
      </c>
    </row>
    <row r="235" spans="1:3" s="234" customFormat="1" ht="59.25" customHeight="1">
      <c r="A235" s="303" t="s">
        <v>1048</v>
      </c>
      <c r="B235" s="357" t="s">
        <v>1049</v>
      </c>
      <c r="C235" s="358">
        <f>C236</f>
        <v>128.99</v>
      </c>
    </row>
    <row r="236" spans="1:3" s="234" customFormat="1" ht="47.25" customHeight="1">
      <c r="A236" s="307" t="s">
        <v>1050</v>
      </c>
      <c r="B236" s="347" t="s">
        <v>1051</v>
      </c>
      <c r="C236" s="296">
        <f>C237</f>
        <v>128.99</v>
      </c>
    </row>
    <row r="237" spans="1:3" s="234" customFormat="1" ht="36" customHeight="1">
      <c r="A237" s="307" t="s">
        <v>1052</v>
      </c>
      <c r="B237" s="347" t="s">
        <v>1053</v>
      </c>
      <c r="C237" s="296">
        <v>128.99</v>
      </c>
    </row>
    <row r="238" spans="1:3" s="234" customFormat="1" ht="38.25" customHeight="1">
      <c r="A238" s="359" t="s">
        <v>1054</v>
      </c>
      <c r="B238" s="360" t="s">
        <v>1055</v>
      </c>
      <c r="C238" s="361">
        <f>C239</f>
        <v>-442094.99</v>
      </c>
    </row>
    <row r="239" spans="1:3" s="234" customFormat="1" ht="38.25" customHeight="1">
      <c r="A239" s="261" t="s">
        <v>1056</v>
      </c>
      <c r="B239" s="262" t="s">
        <v>1057</v>
      </c>
      <c r="C239" s="361">
        <f>C240</f>
        <v>-442094.99</v>
      </c>
    </row>
    <row r="240" spans="1:3" s="234" customFormat="1" ht="38.25" customHeight="1">
      <c r="A240" s="261" t="s">
        <v>1058</v>
      </c>
      <c r="B240" s="262" t="s">
        <v>1059</v>
      </c>
      <c r="C240" s="362">
        <v>-442094.99</v>
      </c>
    </row>
  </sheetData>
  <sheetProtection/>
  <mergeCells count="8">
    <mergeCell ref="A9:C9"/>
    <mergeCell ref="A14:B14"/>
    <mergeCell ref="B1:C1"/>
    <mergeCell ref="B2:C2"/>
    <mergeCell ref="B3:C3"/>
    <mergeCell ref="B4:C4"/>
    <mergeCell ref="A7:C7"/>
    <mergeCell ref="A8:C8"/>
  </mergeCells>
  <printOptions/>
  <pageMargins left="0.984251968503937" right="0" top="0.5511811023622047" bottom="0.5511811023622047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9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64.875" style="1" customWidth="1"/>
    <col min="2" max="2" width="5.125" style="2" customWidth="1"/>
    <col min="3" max="3" width="4.875" style="2" customWidth="1"/>
    <col min="4" max="4" width="5.00390625" style="2" customWidth="1"/>
    <col min="5" max="5" width="17.125" style="2" customWidth="1"/>
    <col min="6" max="6" width="4.625" style="53" customWidth="1"/>
    <col min="7" max="7" width="16.75390625" style="4" hidden="1" customWidth="1"/>
    <col min="8" max="8" width="12.25390625" style="13" hidden="1" customWidth="1"/>
    <col min="9" max="9" width="15.25390625" style="4" hidden="1" customWidth="1"/>
    <col min="10" max="10" width="15.125" style="4" customWidth="1"/>
    <col min="11" max="11" width="20.00390625" style="5" customWidth="1"/>
    <col min="12" max="12" width="9.125" style="5" customWidth="1"/>
    <col min="13" max="13" width="13.375" style="5" bestFit="1" customWidth="1"/>
    <col min="14" max="16384" width="9.125" style="5" customWidth="1"/>
  </cols>
  <sheetData>
    <row r="1" spans="2:10" ht="16.5" customHeight="1">
      <c r="B1" s="187"/>
      <c r="C1" s="187"/>
      <c r="D1" s="405" t="s">
        <v>651</v>
      </c>
      <c r="E1" s="405"/>
      <c r="F1" s="405"/>
      <c r="G1" s="405"/>
      <c r="H1" s="405"/>
      <c r="I1" s="405"/>
      <c r="J1" s="405"/>
    </row>
    <row r="2" spans="2:10" ht="15.75" customHeight="1">
      <c r="B2" s="188"/>
      <c r="C2" s="189"/>
      <c r="D2" s="419" t="s">
        <v>647</v>
      </c>
      <c r="E2" s="419"/>
      <c r="F2" s="419"/>
      <c r="G2" s="419"/>
      <c r="H2" s="419"/>
      <c r="I2" s="419"/>
      <c r="J2" s="419"/>
    </row>
    <row r="3" spans="2:10" ht="15" customHeight="1">
      <c r="B3" s="190"/>
      <c r="C3" s="190"/>
      <c r="D3" s="417" t="s">
        <v>61</v>
      </c>
      <c r="E3" s="417"/>
      <c r="F3" s="417"/>
      <c r="G3" s="417"/>
      <c r="H3" s="417"/>
      <c r="I3" s="417"/>
      <c r="J3" s="417"/>
    </row>
    <row r="4" spans="1:10" ht="18.75" customHeight="1">
      <c r="A4" s="8"/>
      <c r="B4" s="193" t="s">
        <v>648</v>
      </c>
      <c r="C4" s="193"/>
      <c r="D4" s="378"/>
      <c r="E4" s="441" t="s">
        <v>1115</v>
      </c>
      <c r="F4" s="441"/>
      <c r="G4" s="441"/>
      <c r="H4" s="441"/>
      <c r="I4" s="441"/>
      <c r="J4" s="441"/>
    </row>
    <row r="5" spans="1:10" ht="38.25" customHeight="1">
      <c r="A5" s="9"/>
      <c r="B5" s="191"/>
      <c r="C5" s="191"/>
      <c r="D5" s="418" t="s">
        <v>650</v>
      </c>
      <c r="E5" s="418"/>
      <c r="F5" s="418"/>
      <c r="G5" s="418"/>
      <c r="H5" s="418"/>
      <c r="I5" s="418"/>
      <c r="J5" s="418"/>
    </row>
    <row r="6" spans="1:10" ht="2.25" customHeight="1">
      <c r="A6" s="9"/>
      <c r="B6" s="420"/>
      <c r="C6" s="420"/>
      <c r="D6" s="420"/>
      <c r="E6" s="420"/>
      <c r="F6" s="420"/>
      <c r="G6" s="420"/>
      <c r="H6" s="420"/>
      <c r="I6" s="420"/>
      <c r="J6" s="5"/>
    </row>
    <row r="7" spans="1:10" ht="24" customHeight="1">
      <c r="A7" s="9"/>
      <c r="B7" s="185"/>
      <c r="C7" s="185"/>
      <c r="D7" s="185"/>
      <c r="E7" s="185"/>
      <c r="F7" s="185"/>
      <c r="G7" s="93"/>
      <c r="H7" s="185"/>
      <c r="I7" s="185"/>
      <c r="J7" s="93"/>
    </row>
    <row r="8" spans="1:10" ht="41.25" customHeight="1">
      <c r="A8" s="416" t="s">
        <v>643</v>
      </c>
      <c r="B8" s="416"/>
      <c r="C8" s="416"/>
      <c r="D8" s="416"/>
      <c r="E8" s="416"/>
      <c r="F8" s="416"/>
      <c r="G8" s="416"/>
      <c r="H8" s="416"/>
      <c r="I8" s="416"/>
      <c r="J8" s="416"/>
    </row>
    <row r="9" spans="6:10" ht="18.75" customHeight="1" thickBot="1">
      <c r="F9" s="12"/>
      <c r="G9" s="91"/>
      <c r="I9" s="14" t="s">
        <v>404</v>
      </c>
      <c r="J9" s="91" t="s">
        <v>404</v>
      </c>
    </row>
    <row r="10" spans="1:11" ht="27.75" customHeight="1">
      <c r="A10" s="421" t="s">
        <v>62</v>
      </c>
      <c r="B10" s="406" t="s">
        <v>63</v>
      </c>
      <c r="C10" s="406" t="s">
        <v>64</v>
      </c>
      <c r="D10" s="406" t="s">
        <v>65</v>
      </c>
      <c r="E10" s="408" t="s">
        <v>66</v>
      </c>
      <c r="F10" s="408" t="s">
        <v>67</v>
      </c>
      <c r="G10" s="410" t="s">
        <v>542</v>
      </c>
      <c r="H10" s="412" t="s">
        <v>541</v>
      </c>
      <c r="I10" s="414" t="s">
        <v>68</v>
      </c>
      <c r="J10" s="410" t="s">
        <v>646</v>
      </c>
      <c r="K10" s="167"/>
    </row>
    <row r="11" spans="1:10" ht="3.75" customHeight="1" thickBot="1">
      <c r="A11" s="422"/>
      <c r="B11" s="407"/>
      <c r="C11" s="407"/>
      <c r="D11" s="407"/>
      <c r="E11" s="409"/>
      <c r="F11" s="409"/>
      <c r="G11" s="411"/>
      <c r="H11" s="413"/>
      <c r="I11" s="415"/>
      <c r="J11" s="411"/>
    </row>
    <row r="12" spans="1:10" s="19" customFormat="1" ht="12.75" customHeight="1">
      <c r="A12" s="15">
        <v>1</v>
      </c>
      <c r="B12" s="16">
        <v>2</v>
      </c>
      <c r="C12" s="16" t="s">
        <v>69</v>
      </c>
      <c r="D12" s="16" t="s">
        <v>70</v>
      </c>
      <c r="E12" s="17" t="s">
        <v>71</v>
      </c>
      <c r="F12" s="17" t="s">
        <v>72</v>
      </c>
      <c r="G12" s="92"/>
      <c r="H12" s="18"/>
      <c r="I12" s="127" t="s">
        <v>73</v>
      </c>
      <c r="J12" s="92"/>
    </row>
    <row r="13" spans="1:10" s="89" customFormat="1" ht="20.25">
      <c r="A13" s="131" t="s">
        <v>74</v>
      </c>
      <c r="B13" s="22"/>
      <c r="C13" s="22"/>
      <c r="D13" s="22"/>
      <c r="E13" s="22"/>
      <c r="F13" s="24"/>
      <c r="G13" s="90">
        <f>G14+G360+G515</f>
        <v>500020476.52</v>
      </c>
      <c r="H13" s="25">
        <f>H14+H360+H515</f>
        <v>21520192.05</v>
      </c>
      <c r="I13" s="26">
        <f>G13+H13</f>
        <v>521540668.57</v>
      </c>
      <c r="J13" s="90">
        <f>J14+J360+J515</f>
        <v>515622252.89</v>
      </c>
    </row>
    <row r="14" spans="1:10" ht="16.5" customHeight="1">
      <c r="A14" s="131" t="s">
        <v>75</v>
      </c>
      <c r="B14" s="22" t="s">
        <v>76</v>
      </c>
      <c r="C14" s="22"/>
      <c r="D14" s="22"/>
      <c r="E14" s="22"/>
      <c r="F14" s="24"/>
      <c r="G14" s="90">
        <f>G15+G171+G187+G234+G284+G298+G306+G335+G346+G353</f>
        <v>78175876.45</v>
      </c>
      <c r="H14" s="25"/>
      <c r="I14" s="26">
        <f>G14+H14</f>
        <v>78175876.45</v>
      </c>
      <c r="J14" s="90">
        <f>J15+J171+J187+J234+J284+J298+J306+J335+J346+J353</f>
        <v>74545606.91</v>
      </c>
    </row>
    <row r="15" spans="1:11" ht="15">
      <c r="A15" s="21" t="s">
        <v>77</v>
      </c>
      <c r="B15" s="22" t="s">
        <v>76</v>
      </c>
      <c r="C15" s="22" t="s">
        <v>78</v>
      </c>
      <c r="D15" s="22"/>
      <c r="E15" s="22"/>
      <c r="F15" s="24"/>
      <c r="G15" s="90">
        <f>G16+G21+G30+G88+G93+G76+G71+G83</f>
        <v>43181853.74</v>
      </c>
      <c r="H15" s="25"/>
      <c r="I15" s="26">
        <f aca="true" t="shared" si="0" ref="I15:I90">G15+H15</f>
        <v>43181853.74</v>
      </c>
      <c r="J15" s="90">
        <f>J16+J21+J30+J88+J93+J76+J71+J83</f>
        <v>42370880.050000004</v>
      </c>
      <c r="K15" s="20"/>
    </row>
    <row r="16" spans="1:10" ht="28.5" customHeight="1">
      <c r="A16" s="27" t="s">
        <v>79</v>
      </c>
      <c r="B16" s="22" t="s">
        <v>76</v>
      </c>
      <c r="C16" s="22" t="s">
        <v>78</v>
      </c>
      <c r="D16" s="22" t="s">
        <v>80</v>
      </c>
      <c r="E16" s="22"/>
      <c r="F16" s="24"/>
      <c r="G16" s="90">
        <f>G18</f>
        <v>1559260</v>
      </c>
      <c r="H16" s="25"/>
      <c r="I16" s="26">
        <f t="shared" si="0"/>
        <v>1559260</v>
      </c>
      <c r="J16" s="90">
        <f>J18</f>
        <v>1525525</v>
      </c>
    </row>
    <row r="17" spans="1:10" ht="19.5" customHeight="1">
      <c r="A17" s="28" t="s">
        <v>81</v>
      </c>
      <c r="B17" s="22" t="s">
        <v>76</v>
      </c>
      <c r="C17" s="22" t="s">
        <v>78</v>
      </c>
      <c r="D17" s="22" t="s">
        <v>80</v>
      </c>
      <c r="E17" s="23" t="s">
        <v>348</v>
      </c>
      <c r="F17" s="24"/>
      <c r="G17" s="90">
        <f>G18</f>
        <v>1559260</v>
      </c>
      <c r="H17" s="25"/>
      <c r="I17" s="26">
        <f t="shared" si="0"/>
        <v>1559260</v>
      </c>
      <c r="J17" s="90">
        <f>J18</f>
        <v>1525525</v>
      </c>
    </row>
    <row r="18" spans="1:10" ht="17.25" customHeight="1">
      <c r="A18" s="21" t="s">
        <v>82</v>
      </c>
      <c r="B18" s="22" t="s">
        <v>76</v>
      </c>
      <c r="C18" s="22" t="s">
        <v>78</v>
      </c>
      <c r="D18" s="22" t="s">
        <v>80</v>
      </c>
      <c r="E18" s="23" t="s">
        <v>349</v>
      </c>
      <c r="F18" s="24"/>
      <c r="G18" s="90">
        <f>G20</f>
        <v>1559260</v>
      </c>
      <c r="H18" s="25"/>
      <c r="I18" s="26">
        <f t="shared" si="0"/>
        <v>1559260</v>
      </c>
      <c r="J18" s="90">
        <f>J20</f>
        <v>1525525</v>
      </c>
    </row>
    <row r="19" spans="1:10" ht="30" customHeight="1">
      <c r="A19" s="27" t="s">
        <v>83</v>
      </c>
      <c r="B19" s="22" t="s">
        <v>76</v>
      </c>
      <c r="C19" s="22" t="s">
        <v>78</v>
      </c>
      <c r="D19" s="22" t="s">
        <v>80</v>
      </c>
      <c r="E19" s="23" t="s">
        <v>350</v>
      </c>
      <c r="F19" s="24"/>
      <c r="G19" s="90">
        <f>G20</f>
        <v>1559260</v>
      </c>
      <c r="H19" s="25"/>
      <c r="I19" s="26">
        <f t="shared" si="0"/>
        <v>1559260</v>
      </c>
      <c r="J19" s="90">
        <f>J20</f>
        <v>1525525</v>
      </c>
    </row>
    <row r="20" spans="1:10" ht="41.25" customHeight="1">
      <c r="A20" s="28" t="s">
        <v>84</v>
      </c>
      <c r="B20" s="22" t="s">
        <v>76</v>
      </c>
      <c r="C20" s="22" t="s">
        <v>78</v>
      </c>
      <c r="D20" s="22" t="s">
        <v>80</v>
      </c>
      <c r="E20" s="23" t="s">
        <v>350</v>
      </c>
      <c r="F20" s="29" t="s">
        <v>85</v>
      </c>
      <c r="G20" s="90">
        <f>1205904+253860+77189+22307</f>
        <v>1559260</v>
      </c>
      <c r="H20" s="25"/>
      <c r="I20" s="26">
        <f t="shared" si="0"/>
        <v>1559260</v>
      </c>
      <c r="J20" s="90">
        <v>1525525</v>
      </c>
    </row>
    <row r="21" spans="1:10" ht="42" customHeight="1">
      <c r="A21" s="27" t="s">
        <v>86</v>
      </c>
      <c r="B21" s="22" t="s">
        <v>76</v>
      </c>
      <c r="C21" s="22" t="s">
        <v>78</v>
      </c>
      <c r="D21" s="22" t="s">
        <v>87</v>
      </c>
      <c r="E21" s="22"/>
      <c r="F21" s="24"/>
      <c r="G21" s="90">
        <f>G22</f>
        <v>2088416</v>
      </c>
      <c r="H21" s="25"/>
      <c r="I21" s="26">
        <f t="shared" si="0"/>
        <v>2088416</v>
      </c>
      <c r="J21" s="90">
        <f>J22</f>
        <v>2078269.96</v>
      </c>
    </row>
    <row r="22" spans="1:10" ht="30.75" customHeight="1">
      <c r="A22" s="28" t="s">
        <v>88</v>
      </c>
      <c r="B22" s="22" t="s">
        <v>76</v>
      </c>
      <c r="C22" s="22" t="s">
        <v>78</v>
      </c>
      <c r="D22" s="22" t="s">
        <v>87</v>
      </c>
      <c r="E22" s="23" t="s">
        <v>351</v>
      </c>
      <c r="F22" s="24"/>
      <c r="G22" s="90">
        <f>G23+G26</f>
        <v>2088416</v>
      </c>
      <c r="H22" s="25"/>
      <c r="I22" s="26">
        <f t="shared" si="0"/>
        <v>2088416</v>
      </c>
      <c r="J22" s="90">
        <f>J23+J26</f>
        <v>2078269.96</v>
      </c>
    </row>
    <row r="23" spans="1:10" ht="18.75" customHeight="1">
      <c r="A23" s="21" t="s">
        <v>89</v>
      </c>
      <c r="B23" s="22" t="s">
        <v>76</v>
      </c>
      <c r="C23" s="22" t="s">
        <v>78</v>
      </c>
      <c r="D23" s="22" t="s">
        <v>87</v>
      </c>
      <c r="E23" s="23" t="s">
        <v>352</v>
      </c>
      <c r="F23" s="24"/>
      <c r="G23" s="90">
        <f>G24</f>
        <v>885866</v>
      </c>
      <c r="H23" s="25"/>
      <c r="I23" s="26">
        <f t="shared" si="0"/>
        <v>885866</v>
      </c>
      <c r="J23" s="90">
        <f>J24</f>
        <v>885644.18</v>
      </c>
    </row>
    <row r="24" spans="1:10" ht="26.25">
      <c r="A24" s="27" t="s">
        <v>83</v>
      </c>
      <c r="B24" s="22" t="s">
        <v>76</v>
      </c>
      <c r="C24" s="22" t="s">
        <v>78</v>
      </c>
      <c r="D24" s="22" t="s">
        <v>87</v>
      </c>
      <c r="E24" s="23" t="s">
        <v>353</v>
      </c>
      <c r="F24" s="29"/>
      <c r="G24" s="90">
        <f>G25</f>
        <v>885866</v>
      </c>
      <c r="H24" s="25"/>
      <c r="I24" s="26">
        <f t="shared" si="0"/>
        <v>885866</v>
      </c>
      <c r="J24" s="90">
        <f>J25</f>
        <v>885644.18</v>
      </c>
    </row>
    <row r="25" spans="1:10" ht="44.25" customHeight="1">
      <c r="A25" s="28" t="s">
        <v>84</v>
      </c>
      <c r="B25" s="22" t="s">
        <v>76</v>
      </c>
      <c r="C25" s="22" t="s">
        <v>78</v>
      </c>
      <c r="D25" s="22" t="s">
        <v>87</v>
      </c>
      <c r="E25" s="23" t="s">
        <v>353</v>
      </c>
      <c r="F25" s="29" t="s">
        <v>85</v>
      </c>
      <c r="G25" s="90">
        <f>675626+204040+6200</f>
        <v>885866</v>
      </c>
      <c r="H25" s="25"/>
      <c r="I25" s="26">
        <f t="shared" si="0"/>
        <v>885866</v>
      </c>
      <c r="J25" s="90">
        <v>885644.18</v>
      </c>
    </row>
    <row r="26" spans="1:10" ht="18" customHeight="1">
      <c r="A26" s="21" t="s">
        <v>90</v>
      </c>
      <c r="B26" s="22" t="s">
        <v>76</v>
      </c>
      <c r="C26" s="22" t="s">
        <v>78</v>
      </c>
      <c r="D26" s="22" t="s">
        <v>87</v>
      </c>
      <c r="E26" s="23" t="s">
        <v>354</v>
      </c>
      <c r="F26" s="29"/>
      <c r="G26" s="90">
        <f>G27</f>
        <v>1202550</v>
      </c>
      <c r="H26" s="25"/>
      <c r="I26" s="26">
        <f t="shared" si="0"/>
        <v>1202550</v>
      </c>
      <c r="J26" s="90">
        <f>J27</f>
        <v>1192625.78</v>
      </c>
    </row>
    <row r="27" spans="1:10" ht="27.75" customHeight="1">
      <c r="A27" s="27" t="s">
        <v>83</v>
      </c>
      <c r="B27" s="22" t="s">
        <v>76</v>
      </c>
      <c r="C27" s="22" t="s">
        <v>78</v>
      </c>
      <c r="D27" s="22" t="s">
        <v>87</v>
      </c>
      <c r="E27" s="23" t="s">
        <v>355</v>
      </c>
      <c r="F27" s="29"/>
      <c r="G27" s="90">
        <f>G28+G29</f>
        <v>1202550</v>
      </c>
      <c r="H27" s="25"/>
      <c r="I27" s="26">
        <f t="shared" si="0"/>
        <v>1202550</v>
      </c>
      <c r="J27" s="90">
        <f>J28+J29</f>
        <v>1192625.78</v>
      </c>
    </row>
    <row r="28" spans="1:10" ht="42" customHeight="1">
      <c r="A28" s="28" t="s">
        <v>84</v>
      </c>
      <c r="B28" s="22" t="s">
        <v>76</v>
      </c>
      <c r="C28" s="22" t="s">
        <v>78</v>
      </c>
      <c r="D28" s="22" t="s">
        <v>87</v>
      </c>
      <c r="E28" s="23" t="s">
        <v>355</v>
      </c>
      <c r="F28" s="29" t="s">
        <v>85</v>
      </c>
      <c r="G28" s="90">
        <f>816320+246530+66400+63300</f>
        <v>1192550</v>
      </c>
      <c r="H28" s="25"/>
      <c r="I28" s="26">
        <f t="shared" si="0"/>
        <v>1192550</v>
      </c>
      <c r="J28" s="90">
        <v>1192512.53</v>
      </c>
    </row>
    <row r="29" spans="1:10" ht="15.75" customHeight="1">
      <c r="A29" s="30" t="s">
        <v>93</v>
      </c>
      <c r="B29" s="22" t="s">
        <v>76</v>
      </c>
      <c r="C29" s="22" t="s">
        <v>78</v>
      </c>
      <c r="D29" s="22" t="s">
        <v>87</v>
      </c>
      <c r="E29" s="23" t="s">
        <v>355</v>
      </c>
      <c r="F29" s="29" t="s">
        <v>94</v>
      </c>
      <c r="G29" s="90">
        <v>10000</v>
      </c>
      <c r="H29" s="25"/>
      <c r="I29" s="26">
        <f t="shared" si="0"/>
        <v>10000</v>
      </c>
      <c r="J29" s="90">
        <v>113.25</v>
      </c>
    </row>
    <row r="30" spans="1:10" ht="39">
      <c r="A30" s="27" t="s">
        <v>95</v>
      </c>
      <c r="B30" s="22" t="s">
        <v>76</v>
      </c>
      <c r="C30" s="22" t="s">
        <v>96</v>
      </c>
      <c r="D30" s="22" t="s">
        <v>97</v>
      </c>
      <c r="E30" s="22"/>
      <c r="F30" s="24"/>
      <c r="G30" s="90">
        <f>G31+G48+G63+G57+G42</f>
        <v>21427529</v>
      </c>
      <c r="H30" s="25"/>
      <c r="I30" s="26">
        <f t="shared" si="0"/>
        <v>21427529</v>
      </c>
      <c r="J30" s="90">
        <f>J31+J48+J63+J57+J42</f>
        <v>21266530.950000003</v>
      </c>
    </row>
    <row r="31" spans="1:10" ht="42" customHeight="1">
      <c r="A31" s="21" t="s">
        <v>555</v>
      </c>
      <c r="B31" s="22" t="s">
        <v>76</v>
      </c>
      <c r="C31" s="22" t="s">
        <v>96</v>
      </c>
      <c r="D31" s="22" t="s">
        <v>97</v>
      </c>
      <c r="E31" s="23" t="s">
        <v>356</v>
      </c>
      <c r="F31" s="29"/>
      <c r="G31" s="90">
        <f>G37+G32</f>
        <v>2922000</v>
      </c>
      <c r="H31" s="25"/>
      <c r="I31" s="26">
        <f t="shared" si="0"/>
        <v>2922000</v>
      </c>
      <c r="J31" s="90">
        <f>J37+J32</f>
        <v>2842048.3</v>
      </c>
    </row>
    <row r="32" spans="1:10" ht="59.25" customHeight="1">
      <c r="A32" s="55" t="s">
        <v>553</v>
      </c>
      <c r="B32" s="22" t="s">
        <v>76</v>
      </c>
      <c r="C32" s="43" t="s">
        <v>78</v>
      </c>
      <c r="D32" s="43" t="s">
        <v>97</v>
      </c>
      <c r="E32" s="56" t="s">
        <v>357</v>
      </c>
      <c r="F32" s="57"/>
      <c r="G32" s="94">
        <f>G34</f>
        <v>876600</v>
      </c>
      <c r="H32" s="25"/>
      <c r="I32" s="26">
        <f t="shared" si="0"/>
        <v>876600</v>
      </c>
      <c r="J32" s="94">
        <f>J34</f>
        <v>796648.3</v>
      </c>
    </row>
    <row r="33" spans="1:10" ht="48" customHeight="1">
      <c r="A33" s="132" t="s">
        <v>321</v>
      </c>
      <c r="B33" s="22" t="s">
        <v>76</v>
      </c>
      <c r="C33" s="22" t="s">
        <v>78</v>
      </c>
      <c r="D33" s="22" t="s">
        <v>97</v>
      </c>
      <c r="E33" s="23" t="s">
        <v>360</v>
      </c>
      <c r="F33" s="29"/>
      <c r="G33" s="90">
        <f>G34</f>
        <v>876600</v>
      </c>
      <c r="H33" s="25"/>
      <c r="I33" s="26">
        <f t="shared" si="0"/>
        <v>876600</v>
      </c>
      <c r="J33" s="90">
        <f>J34</f>
        <v>796648.3</v>
      </c>
    </row>
    <row r="34" spans="1:10" ht="42" customHeight="1">
      <c r="A34" s="31" t="s">
        <v>98</v>
      </c>
      <c r="B34" s="22" t="s">
        <v>76</v>
      </c>
      <c r="C34" s="22" t="s">
        <v>78</v>
      </c>
      <c r="D34" s="22" t="s">
        <v>97</v>
      </c>
      <c r="E34" s="23" t="s">
        <v>361</v>
      </c>
      <c r="F34" s="29"/>
      <c r="G34" s="90">
        <f>G35+G36</f>
        <v>876600</v>
      </c>
      <c r="H34" s="25"/>
      <c r="I34" s="26">
        <f t="shared" si="0"/>
        <v>876600</v>
      </c>
      <c r="J34" s="90">
        <f>J35+J36</f>
        <v>796648.3</v>
      </c>
    </row>
    <row r="35" spans="1:10" ht="42.75" customHeight="1">
      <c r="A35" s="28" t="s">
        <v>84</v>
      </c>
      <c r="B35" s="22" t="s">
        <v>76</v>
      </c>
      <c r="C35" s="22" t="s">
        <v>78</v>
      </c>
      <c r="D35" s="22" t="s">
        <v>97</v>
      </c>
      <c r="E35" s="23" t="s">
        <v>361</v>
      </c>
      <c r="F35" s="29" t="s">
        <v>85</v>
      </c>
      <c r="G35" s="90">
        <f>652000+196904+300-147600</f>
        <v>701604</v>
      </c>
      <c r="H35" s="25"/>
      <c r="I35" s="26">
        <f t="shared" si="0"/>
        <v>701604</v>
      </c>
      <c r="J35" s="90">
        <v>694698.3</v>
      </c>
    </row>
    <row r="36" spans="1:10" ht="26.25">
      <c r="A36" s="28" t="s">
        <v>39</v>
      </c>
      <c r="B36" s="22" t="s">
        <v>76</v>
      </c>
      <c r="C36" s="22" t="s">
        <v>78</v>
      </c>
      <c r="D36" s="22" t="s">
        <v>97</v>
      </c>
      <c r="E36" s="23" t="s">
        <v>361</v>
      </c>
      <c r="F36" s="29" t="s">
        <v>92</v>
      </c>
      <c r="G36" s="90">
        <f>27396+147600</f>
        <v>174996</v>
      </c>
      <c r="H36" s="25"/>
      <c r="I36" s="26">
        <f t="shared" si="0"/>
        <v>174996</v>
      </c>
      <c r="J36" s="90">
        <v>101950</v>
      </c>
    </row>
    <row r="37" spans="1:10" ht="57.75" customHeight="1">
      <c r="A37" s="58" t="s">
        <v>556</v>
      </c>
      <c r="B37" s="22" t="s">
        <v>76</v>
      </c>
      <c r="C37" s="43" t="s">
        <v>78</v>
      </c>
      <c r="D37" s="43" t="s">
        <v>97</v>
      </c>
      <c r="E37" s="56" t="s">
        <v>362</v>
      </c>
      <c r="F37" s="44"/>
      <c r="G37" s="94">
        <f>G38</f>
        <v>2045400</v>
      </c>
      <c r="H37" s="25"/>
      <c r="I37" s="26">
        <f t="shared" si="0"/>
        <v>2045400</v>
      </c>
      <c r="J37" s="94">
        <f>J38</f>
        <v>2045400</v>
      </c>
    </row>
    <row r="38" spans="1:10" ht="30" customHeight="1">
      <c r="A38" s="109" t="s">
        <v>364</v>
      </c>
      <c r="B38" s="22" t="s">
        <v>76</v>
      </c>
      <c r="C38" s="22" t="s">
        <v>78</v>
      </c>
      <c r="D38" s="22" t="s">
        <v>97</v>
      </c>
      <c r="E38" s="23" t="s">
        <v>319</v>
      </c>
      <c r="F38" s="24"/>
      <c r="G38" s="90">
        <f>G39</f>
        <v>2045400</v>
      </c>
      <c r="H38" s="25"/>
      <c r="I38" s="26">
        <f t="shared" si="0"/>
        <v>2045400</v>
      </c>
      <c r="J38" s="90">
        <f>J39</f>
        <v>2045400</v>
      </c>
    </row>
    <row r="39" spans="1:10" ht="33" customHeight="1">
      <c r="A39" s="27" t="s">
        <v>99</v>
      </c>
      <c r="B39" s="22" t="s">
        <v>76</v>
      </c>
      <c r="C39" s="22" t="s">
        <v>78</v>
      </c>
      <c r="D39" s="22" t="s">
        <v>97</v>
      </c>
      <c r="E39" s="23" t="s">
        <v>320</v>
      </c>
      <c r="F39" s="24"/>
      <c r="G39" s="90">
        <f>G40+G41</f>
        <v>2045400</v>
      </c>
      <c r="H39" s="25"/>
      <c r="I39" s="26">
        <f t="shared" si="0"/>
        <v>2045400</v>
      </c>
      <c r="J39" s="90">
        <f>J40+J41</f>
        <v>2045400</v>
      </c>
    </row>
    <row r="40" spans="1:10" ht="42.75" customHeight="1">
      <c r="A40" s="28" t="s">
        <v>84</v>
      </c>
      <c r="B40" s="22" t="s">
        <v>76</v>
      </c>
      <c r="C40" s="22" t="s">
        <v>78</v>
      </c>
      <c r="D40" s="22" t="s">
        <v>97</v>
      </c>
      <c r="E40" s="23" t="s">
        <v>320</v>
      </c>
      <c r="F40" s="29" t="s">
        <v>85</v>
      </c>
      <c r="G40" s="90">
        <f>1524168+460299+300+60633</f>
        <v>2045400</v>
      </c>
      <c r="H40" s="25"/>
      <c r="I40" s="26">
        <f t="shared" si="0"/>
        <v>2045400</v>
      </c>
      <c r="J40" s="90">
        <f>1524168+460299+300+60633</f>
        <v>2045400</v>
      </c>
    </row>
    <row r="41" spans="1:10" ht="26.25" hidden="1">
      <c r="A41" s="28" t="s">
        <v>39</v>
      </c>
      <c r="B41" s="22" t="s">
        <v>76</v>
      </c>
      <c r="C41" s="22" t="s">
        <v>78</v>
      </c>
      <c r="D41" s="22" t="s">
        <v>97</v>
      </c>
      <c r="E41" s="23" t="s">
        <v>320</v>
      </c>
      <c r="F41" s="29" t="s">
        <v>92</v>
      </c>
      <c r="G41" s="90">
        <f>60633-60633</f>
        <v>0</v>
      </c>
      <c r="H41" s="25"/>
      <c r="I41" s="26">
        <f t="shared" si="0"/>
        <v>0</v>
      </c>
      <c r="J41" s="90">
        <f>60633-60633</f>
        <v>0</v>
      </c>
    </row>
    <row r="42" spans="1:10" ht="45.75" customHeight="1">
      <c r="A42" s="41" t="s">
        <v>564</v>
      </c>
      <c r="B42" s="22" t="s">
        <v>76</v>
      </c>
      <c r="C42" s="22" t="s">
        <v>78</v>
      </c>
      <c r="D42" s="22" t="s">
        <v>97</v>
      </c>
      <c r="E42" s="23" t="s">
        <v>52</v>
      </c>
      <c r="F42" s="24"/>
      <c r="G42" s="90">
        <f>G43</f>
        <v>327773</v>
      </c>
      <c r="H42" s="25"/>
      <c r="I42" s="26">
        <f t="shared" si="0"/>
        <v>327773</v>
      </c>
      <c r="J42" s="90">
        <f>J43</f>
        <v>327773</v>
      </c>
    </row>
    <row r="43" spans="1:10" s="47" customFormat="1" ht="72" customHeight="1">
      <c r="A43" s="98" t="s">
        <v>563</v>
      </c>
      <c r="B43" s="43" t="s">
        <v>76</v>
      </c>
      <c r="C43" s="43" t="s">
        <v>78</v>
      </c>
      <c r="D43" s="43" t="s">
        <v>97</v>
      </c>
      <c r="E43" s="56" t="s">
        <v>58</v>
      </c>
      <c r="F43" s="44"/>
      <c r="G43" s="94">
        <f>G45</f>
        <v>327773</v>
      </c>
      <c r="H43" s="45"/>
      <c r="I43" s="46">
        <f t="shared" si="0"/>
        <v>327773</v>
      </c>
      <c r="J43" s="94">
        <f>J45</f>
        <v>327773</v>
      </c>
    </row>
    <row r="44" spans="1:10" ht="30.75" customHeight="1">
      <c r="A44" s="30" t="s">
        <v>403</v>
      </c>
      <c r="B44" s="22" t="s">
        <v>76</v>
      </c>
      <c r="C44" s="22" t="s">
        <v>78</v>
      </c>
      <c r="D44" s="22" t="s">
        <v>97</v>
      </c>
      <c r="E44" s="23" t="s">
        <v>59</v>
      </c>
      <c r="F44" s="24"/>
      <c r="G44" s="90">
        <f>G45</f>
        <v>327773</v>
      </c>
      <c r="H44" s="25"/>
      <c r="I44" s="26">
        <f t="shared" si="0"/>
        <v>327773</v>
      </c>
      <c r="J44" s="90">
        <f>J45</f>
        <v>327773</v>
      </c>
    </row>
    <row r="45" spans="1:10" ht="31.5" customHeight="1">
      <c r="A45" s="31" t="s">
        <v>100</v>
      </c>
      <c r="B45" s="22" t="s">
        <v>76</v>
      </c>
      <c r="C45" s="22" t="s">
        <v>78</v>
      </c>
      <c r="D45" s="22" t="s">
        <v>97</v>
      </c>
      <c r="E45" s="23" t="s">
        <v>60</v>
      </c>
      <c r="F45" s="24"/>
      <c r="G45" s="90">
        <f>G46+G47</f>
        <v>327773</v>
      </c>
      <c r="H45" s="25"/>
      <c r="I45" s="26">
        <f t="shared" si="0"/>
        <v>327773</v>
      </c>
      <c r="J45" s="90">
        <f>J46+J47</f>
        <v>327773</v>
      </c>
    </row>
    <row r="46" spans="1:10" ht="39">
      <c r="A46" s="28" t="s">
        <v>84</v>
      </c>
      <c r="B46" s="22" t="s">
        <v>76</v>
      </c>
      <c r="C46" s="22" t="s">
        <v>78</v>
      </c>
      <c r="D46" s="22" t="s">
        <v>97</v>
      </c>
      <c r="E46" s="23" t="s">
        <v>60</v>
      </c>
      <c r="F46" s="29" t="s">
        <v>85</v>
      </c>
      <c r="G46" s="90">
        <f>231360+62914-54000+432.69+6082.69</f>
        <v>246789.38</v>
      </c>
      <c r="H46" s="25"/>
      <c r="I46" s="26">
        <f t="shared" si="0"/>
        <v>246789.38</v>
      </c>
      <c r="J46" s="90">
        <v>246789.38</v>
      </c>
    </row>
    <row r="47" spans="1:10" ht="31.5" customHeight="1">
      <c r="A47" s="28" t="s">
        <v>39</v>
      </c>
      <c r="B47" s="22" t="s">
        <v>76</v>
      </c>
      <c r="C47" s="22" t="s">
        <v>78</v>
      </c>
      <c r="D47" s="22" t="s">
        <v>97</v>
      </c>
      <c r="E47" s="23" t="s">
        <v>60</v>
      </c>
      <c r="F47" s="29" t="s">
        <v>92</v>
      </c>
      <c r="G47" s="90">
        <f>33499+54000-2950-3565.38</f>
        <v>80983.62</v>
      </c>
      <c r="H47" s="25"/>
      <c r="I47" s="26">
        <f t="shared" si="0"/>
        <v>80983.62</v>
      </c>
      <c r="J47" s="90">
        <v>80983.62</v>
      </c>
    </row>
    <row r="48" spans="1:10" ht="54.75" customHeight="1">
      <c r="A48" s="21" t="s">
        <v>101</v>
      </c>
      <c r="B48" s="22" t="s">
        <v>76</v>
      </c>
      <c r="C48" s="22" t="s">
        <v>78</v>
      </c>
      <c r="D48" s="22" t="s">
        <v>97</v>
      </c>
      <c r="E48" s="23" t="s">
        <v>6</v>
      </c>
      <c r="F48" s="29"/>
      <c r="G48" s="90">
        <f>G49</f>
        <v>584400</v>
      </c>
      <c r="H48" s="25"/>
      <c r="I48" s="26">
        <f t="shared" si="0"/>
        <v>584400</v>
      </c>
      <c r="J48" s="90">
        <f>J49</f>
        <v>584400</v>
      </c>
    </row>
    <row r="49" spans="1:10" s="47" customFormat="1" ht="72.75" customHeight="1">
      <c r="A49" s="59" t="s">
        <v>102</v>
      </c>
      <c r="B49" s="43" t="s">
        <v>76</v>
      </c>
      <c r="C49" s="43" t="s">
        <v>78</v>
      </c>
      <c r="D49" s="43" t="s">
        <v>97</v>
      </c>
      <c r="E49" s="56" t="s">
        <v>7</v>
      </c>
      <c r="F49" s="57"/>
      <c r="G49" s="94">
        <f>G51+G54</f>
        <v>584400</v>
      </c>
      <c r="H49" s="45"/>
      <c r="I49" s="46">
        <f t="shared" si="0"/>
        <v>584400</v>
      </c>
      <c r="J49" s="94">
        <f>J51+J54</f>
        <v>584400</v>
      </c>
    </row>
    <row r="50" spans="1:10" ht="42" customHeight="1">
      <c r="A50" s="109" t="s">
        <v>10</v>
      </c>
      <c r="B50" s="22" t="s">
        <v>76</v>
      </c>
      <c r="C50" s="22" t="s">
        <v>78</v>
      </c>
      <c r="D50" s="22" t="s">
        <v>97</v>
      </c>
      <c r="E50" s="23" t="s">
        <v>9</v>
      </c>
      <c r="F50" s="29"/>
      <c r="G50" s="90">
        <f>G51+G54</f>
        <v>584400</v>
      </c>
      <c r="H50" s="25"/>
      <c r="I50" s="26">
        <f t="shared" si="0"/>
        <v>584400</v>
      </c>
      <c r="J50" s="90">
        <f>J51+J54</f>
        <v>584400</v>
      </c>
    </row>
    <row r="51" spans="1:10" ht="44.25" customHeight="1">
      <c r="A51" s="31" t="s">
        <v>582</v>
      </c>
      <c r="B51" s="22" t="s">
        <v>76</v>
      </c>
      <c r="C51" s="22" t="s">
        <v>78</v>
      </c>
      <c r="D51" s="22" t="s">
        <v>97</v>
      </c>
      <c r="E51" s="22" t="s">
        <v>8</v>
      </c>
      <c r="F51" s="24"/>
      <c r="G51" s="90">
        <f>G52+G53</f>
        <v>292200</v>
      </c>
      <c r="H51" s="25"/>
      <c r="I51" s="26">
        <f t="shared" si="0"/>
        <v>292200</v>
      </c>
      <c r="J51" s="90">
        <f>J52+J53</f>
        <v>292200</v>
      </c>
    </row>
    <row r="52" spans="1:10" ht="46.5" customHeight="1">
      <c r="A52" s="28" t="s">
        <v>84</v>
      </c>
      <c r="B52" s="22" t="s">
        <v>76</v>
      </c>
      <c r="C52" s="22" t="s">
        <v>78</v>
      </c>
      <c r="D52" s="22" t="s">
        <v>97</v>
      </c>
      <c r="E52" s="22" t="s">
        <v>8</v>
      </c>
      <c r="F52" s="29" t="s">
        <v>85</v>
      </c>
      <c r="G52" s="90">
        <f>199680+60303</f>
        <v>259983</v>
      </c>
      <c r="H52" s="25"/>
      <c r="I52" s="26">
        <f t="shared" si="0"/>
        <v>259983</v>
      </c>
      <c r="J52" s="90">
        <v>259983</v>
      </c>
    </row>
    <row r="53" spans="1:10" ht="26.25">
      <c r="A53" s="28" t="s">
        <v>39</v>
      </c>
      <c r="B53" s="22" t="s">
        <v>76</v>
      </c>
      <c r="C53" s="22" t="s">
        <v>78</v>
      </c>
      <c r="D53" s="22" t="s">
        <v>97</v>
      </c>
      <c r="E53" s="22" t="s">
        <v>8</v>
      </c>
      <c r="F53" s="29" t="s">
        <v>92</v>
      </c>
      <c r="G53" s="90">
        <f>32217</f>
        <v>32217</v>
      </c>
      <c r="H53" s="25"/>
      <c r="I53" s="26">
        <f t="shared" si="0"/>
        <v>32217</v>
      </c>
      <c r="J53" s="90">
        <v>32217</v>
      </c>
    </row>
    <row r="54" spans="1:10" ht="35.25" customHeight="1">
      <c r="A54" s="31" t="s">
        <v>103</v>
      </c>
      <c r="B54" s="22" t="s">
        <v>76</v>
      </c>
      <c r="C54" s="22" t="s">
        <v>78</v>
      </c>
      <c r="D54" s="22" t="s">
        <v>97</v>
      </c>
      <c r="E54" s="22" t="s">
        <v>11</v>
      </c>
      <c r="F54" s="24"/>
      <c r="G54" s="90">
        <f>G55+G56</f>
        <v>292200</v>
      </c>
      <c r="H54" s="25"/>
      <c r="I54" s="26">
        <f t="shared" si="0"/>
        <v>292200</v>
      </c>
      <c r="J54" s="90">
        <f>J55+J56</f>
        <v>292200</v>
      </c>
    </row>
    <row r="55" spans="1:10" ht="39" customHeight="1">
      <c r="A55" s="28" t="s">
        <v>84</v>
      </c>
      <c r="B55" s="22" t="s">
        <v>76</v>
      </c>
      <c r="C55" s="22" t="s">
        <v>78</v>
      </c>
      <c r="D55" s="22" t="s">
        <v>97</v>
      </c>
      <c r="E55" s="22" t="s">
        <v>11</v>
      </c>
      <c r="F55" s="29" t="s">
        <v>85</v>
      </c>
      <c r="G55" s="90">
        <f>193920+58564+39716</f>
        <v>292200</v>
      </c>
      <c r="H55" s="25"/>
      <c r="I55" s="26">
        <f t="shared" si="0"/>
        <v>292200</v>
      </c>
      <c r="J55" s="90">
        <v>292200</v>
      </c>
    </row>
    <row r="56" spans="1:10" ht="26.25" hidden="1">
      <c r="A56" s="28" t="s">
        <v>39</v>
      </c>
      <c r="B56" s="22" t="s">
        <v>76</v>
      </c>
      <c r="C56" s="22" t="s">
        <v>78</v>
      </c>
      <c r="D56" s="22" t="s">
        <v>97</v>
      </c>
      <c r="E56" s="22" t="s">
        <v>11</v>
      </c>
      <c r="F56" s="29" t="s">
        <v>92</v>
      </c>
      <c r="G56" s="90">
        <f>39716-39716</f>
        <v>0</v>
      </c>
      <c r="H56" s="25"/>
      <c r="I56" s="26">
        <f t="shared" si="0"/>
        <v>0</v>
      </c>
      <c r="J56" s="90">
        <f>39716-39716</f>
        <v>0</v>
      </c>
    </row>
    <row r="57" spans="1:10" ht="21" customHeight="1">
      <c r="A57" s="28" t="s">
        <v>104</v>
      </c>
      <c r="B57" s="22" t="s">
        <v>76</v>
      </c>
      <c r="C57" s="22" t="s">
        <v>78</v>
      </c>
      <c r="D57" s="22" t="s">
        <v>97</v>
      </c>
      <c r="E57" s="22" t="s">
        <v>365</v>
      </c>
      <c r="F57" s="24"/>
      <c r="G57" s="90">
        <f>G58</f>
        <v>17271936</v>
      </c>
      <c r="H57" s="25"/>
      <c r="I57" s="26">
        <f t="shared" si="0"/>
        <v>17271936</v>
      </c>
      <c r="J57" s="90">
        <f>J58</f>
        <v>17215239.76</v>
      </c>
    </row>
    <row r="58" spans="1:10" ht="21" customHeight="1">
      <c r="A58" s="27" t="s">
        <v>105</v>
      </c>
      <c r="B58" s="22" t="s">
        <v>76</v>
      </c>
      <c r="C58" s="22" t="s">
        <v>78</v>
      </c>
      <c r="D58" s="22" t="s">
        <v>97</v>
      </c>
      <c r="E58" s="22" t="s">
        <v>366</v>
      </c>
      <c r="F58" s="24"/>
      <c r="G58" s="90">
        <f>G59</f>
        <v>17271936</v>
      </c>
      <c r="H58" s="25"/>
      <c r="I58" s="26">
        <f t="shared" si="0"/>
        <v>17271936</v>
      </c>
      <c r="J58" s="90">
        <f>J59</f>
        <v>17215239.76</v>
      </c>
    </row>
    <row r="59" spans="1:10" ht="32.25" customHeight="1">
      <c r="A59" s="27" t="s">
        <v>83</v>
      </c>
      <c r="B59" s="22" t="s">
        <v>76</v>
      </c>
      <c r="C59" s="22" t="s">
        <v>78</v>
      </c>
      <c r="D59" s="22" t="s">
        <v>97</v>
      </c>
      <c r="E59" s="22" t="s">
        <v>367</v>
      </c>
      <c r="F59" s="24"/>
      <c r="G59" s="90">
        <f>G60+G61+G62</f>
        <v>17271936</v>
      </c>
      <c r="H59" s="25"/>
      <c r="I59" s="26">
        <f t="shared" si="0"/>
        <v>17271936</v>
      </c>
      <c r="J59" s="90">
        <f>J60+J61+J62</f>
        <v>17215239.76</v>
      </c>
    </row>
    <row r="60" spans="1:10" ht="48.75" customHeight="1">
      <c r="A60" s="28" t="s">
        <v>84</v>
      </c>
      <c r="B60" s="22" t="s">
        <v>76</v>
      </c>
      <c r="C60" s="22" t="s">
        <v>78</v>
      </c>
      <c r="D60" s="22" t="s">
        <v>97</v>
      </c>
      <c r="E60" s="22" t="s">
        <v>367</v>
      </c>
      <c r="F60" s="29" t="s">
        <v>85</v>
      </c>
      <c r="G60" s="90">
        <f>12187544+3681144+8200-157545+305093+1126000</f>
        <v>17150436</v>
      </c>
      <c r="H60" s="25"/>
      <c r="I60" s="26">
        <f t="shared" si="0"/>
        <v>17150436</v>
      </c>
      <c r="J60" s="90">
        <v>17145244.37</v>
      </c>
    </row>
    <row r="61" spans="1:10" ht="30" customHeight="1">
      <c r="A61" s="28" t="s">
        <v>39</v>
      </c>
      <c r="B61" s="22" t="s">
        <v>76</v>
      </c>
      <c r="C61" s="22" t="s">
        <v>78</v>
      </c>
      <c r="D61" s="22" t="s">
        <v>97</v>
      </c>
      <c r="E61" s="22" t="s">
        <v>367</v>
      </c>
      <c r="F61" s="29" t="s">
        <v>92</v>
      </c>
      <c r="G61" s="119">
        <f>1519300-225400-1141300-92000-20000</f>
        <v>40600</v>
      </c>
      <c r="H61" s="25"/>
      <c r="I61" s="26">
        <f t="shared" si="0"/>
        <v>40600</v>
      </c>
      <c r="J61" s="119">
        <v>36267.22</v>
      </c>
    </row>
    <row r="62" spans="1:10" ht="18.75" customHeight="1">
      <c r="A62" s="30" t="s">
        <v>93</v>
      </c>
      <c r="B62" s="22" t="s">
        <v>76</v>
      </c>
      <c r="C62" s="22" t="s">
        <v>78</v>
      </c>
      <c r="D62" s="22" t="s">
        <v>97</v>
      </c>
      <c r="E62" s="22" t="s">
        <v>367</v>
      </c>
      <c r="F62" s="29" t="s">
        <v>94</v>
      </c>
      <c r="G62" s="90">
        <f>80900</f>
        <v>80900</v>
      </c>
      <c r="H62" s="25"/>
      <c r="I62" s="26">
        <f t="shared" si="0"/>
        <v>80900</v>
      </c>
      <c r="J62" s="90">
        <v>33728.17</v>
      </c>
    </row>
    <row r="63" spans="1:10" ht="15">
      <c r="A63" s="21" t="s">
        <v>106</v>
      </c>
      <c r="B63" s="22" t="s">
        <v>76</v>
      </c>
      <c r="C63" s="22" t="s">
        <v>78</v>
      </c>
      <c r="D63" s="22" t="s">
        <v>97</v>
      </c>
      <c r="E63" s="22" t="s">
        <v>368</v>
      </c>
      <c r="F63" s="24"/>
      <c r="G63" s="90">
        <f>G64+G68</f>
        <v>321420</v>
      </c>
      <c r="H63" s="25"/>
      <c r="I63" s="26">
        <f>G63+H63</f>
        <v>321420</v>
      </c>
      <c r="J63" s="90">
        <f>J64+J68</f>
        <v>297069.89</v>
      </c>
    </row>
    <row r="64" spans="1:10" ht="17.25" customHeight="1">
      <c r="A64" s="109" t="s">
        <v>44</v>
      </c>
      <c r="B64" s="22" t="s">
        <v>76</v>
      </c>
      <c r="C64" s="22" t="s">
        <v>78</v>
      </c>
      <c r="D64" s="22" t="s">
        <v>97</v>
      </c>
      <c r="E64" s="22" t="s">
        <v>42</v>
      </c>
      <c r="F64" s="24"/>
      <c r="G64" s="90">
        <f>G65</f>
        <v>292200</v>
      </c>
      <c r="H64" s="25"/>
      <c r="I64" s="26">
        <f t="shared" si="0"/>
        <v>292200</v>
      </c>
      <c r="J64" s="90">
        <f>J65</f>
        <v>292200</v>
      </c>
    </row>
    <row r="65" spans="1:10" ht="27.75" customHeight="1">
      <c r="A65" s="27" t="s">
        <v>108</v>
      </c>
      <c r="B65" s="22" t="s">
        <v>76</v>
      </c>
      <c r="C65" s="22" t="s">
        <v>78</v>
      </c>
      <c r="D65" s="22" t="s">
        <v>97</v>
      </c>
      <c r="E65" s="22" t="s">
        <v>43</v>
      </c>
      <c r="F65" s="24"/>
      <c r="G65" s="90">
        <f>G66+G67</f>
        <v>292200</v>
      </c>
      <c r="H65" s="25"/>
      <c r="I65" s="26">
        <f t="shared" si="0"/>
        <v>292200</v>
      </c>
      <c r="J65" s="90">
        <f>J66+J67</f>
        <v>292200</v>
      </c>
    </row>
    <row r="66" spans="1:10" ht="39" customHeight="1">
      <c r="A66" s="28" t="s">
        <v>84</v>
      </c>
      <c r="B66" s="22" t="s">
        <v>76</v>
      </c>
      <c r="C66" s="22" t="s">
        <v>78</v>
      </c>
      <c r="D66" s="22" t="s">
        <v>97</v>
      </c>
      <c r="E66" s="22" t="s">
        <v>43</v>
      </c>
      <c r="F66" s="29" t="s">
        <v>85</v>
      </c>
      <c r="G66" s="90">
        <f>208320+62913+20967</f>
        <v>292200</v>
      </c>
      <c r="H66" s="25"/>
      <c r="I66" s="26">
        <f t="shared" si="0"/>
        <v>292200</v>
      </c>
      <c r="J66" s="90">
        <v>292200</v>
      </c>
    </row>
    <row r="67" spans="1:10" ht="9" customHeight="1" hidden="1">
      <c r="A67" s="28" t="s">
        <v>91</v>
      </c>
      <c r="B67" s="22" t="s">
        <v>76</v>
      </c>
      <c r="C67" s="22" t="s">
        <v>78</v>
      </c>
      <c r="D67" s="22" t="s">
        <v>97</v>
      </c>
      <c r="E67" s="22" t="s">
        <v>43</v>
      </c>
      <c r="F67" s="29" t="s">
        <v>92</v>
      </c>
      <c r="G67" s="90">
        <f>20967-20967</f>
        <v>0</v>
      </c>
      <c r="H67" s="25"/>
      <c r="I67" s="26">
        <f t="shared" si="0"/>
        <v>0</v>
      </c>
      <c r="J67" s="90">
        <f>20967-20967</f>
        <v>0</v>
      </c>
    </row>
    <row r="68" spans="1:10" ht="22.5" customHeight="1">
      <c r="A68" s="21" t="s">
        <v>107</v>
      </c>
      <c r="B68" s="22" t="s">
        <v>76</v>
      </c>
      <c r="C68" s="22" t="s">
        <v>78</v>
      </c>
      <c r="D68" s="22" t="s">
        <v>97</v>
      </c>
      <c r="E68" s="22" t="s">
        <v>369</v>
      </c>
      <c r="F68" s="24"/>
      <c r="G68" s="90">
        <f>G69</f>
        <v>29220</v>
      </c>
      <c r="H68" s="25"/>
      <c r="I68" s="26">
        <f t="shared" si="0"/>
        <v>29220</v>
      </c>
      <c r="J68" s="90">
        <f>J69</f>
        <v>4869.89</v>
      </c>
    </row>
    <row r="69" spans="1:10" ht="38.25">
      <c r="A69" s="30" t="s">
        <v>458</v>
      </c>
      <c r="B69" s="22" t="s">
        <v>76</v>
      </c>
      <c r="C69" s="22" t="s">
        <v>78</v>
      </c>
      <c r="D69" s="22" t="s">
        <v>97</v>
      </c>
      <c r="E69" s="22" t="s">
        <v>450</v>
      </c>
      <c r="F69" s="24"/>
      <c r="G69" s="90">
        <f>G70</f>
        <v>29220</v>
      </c>
      <c r="H69" s="25"/>
      <c r="I69" s="26">
        <f t="shared" si="0"/>
        <v>29220</v>
      </c>
      <c r="J69" s="90">
        <f>J70</f>
        <v>4869.89</v>
      </c>
    </row>
    <row r="70" spans="1:10" ht="24.75" customHeight="1">
      <c r="A70" s="28" t="s">
        <v>39</v>
      </c>
      <c r="B70" s="22" t="s">
        <v>76</v>
      </c>
      <c r="C70" s="22" t="s">
        <v>78</v>
      </c>
      <c r="D70" s="22" t="s">
        <v>97</v>
      </c>
      <c r="E70" s="22" t="s">
        <v>450</v>
      </c>
      <c r="F70" s="29" t="s">
        <v>85</v>
      </c>
      <c r="G70" s="90">
        <f>22442+6778</f>
        <v>29220</v>
      </c>
      <c r="H70" s="25"/>
      <c r="I70" s="26">
        <f t="shared" si="0"/>
        <v>29220</v>
      </c>
      <c r="J70" s="90">
        <v>4869.89</v>
      </c>
    </row>
    <row r="71" spans="1:10" ht="15">
      <c r="A71" s="133" t="s">
        <v>468</v>
      </c>
      <c r="B71" s="22" t="s">
        <v>76</v>
      </c>
      <c r="C71" s="22" t="s">
        <v>78</v>
      </c>
      <c r="D71" s="22" t="s">
        <v>165</v>
      </c>
      <c r="E71" s="22"/>
      <c r="F71" s="29"/>
      <c r="G71" s="90">
        <f>G72</f>
        <v>76900</v>
      </c>
      <c r="H71" s="25"/>
      <c r="I71" s="26">
        <f t="shared" si="0"/>
        <v>76900</v>
      </c>
      <c r="J71" s="90">
        <f>J72</f>
        <v>12750</v>
      </c>
    </row>
    <row r="72" spans="1:10" ht="15">
      <c r="A72" s="21" t="s">
        <v>106</v>
      </c>
      <c r="B72" s="22" t="s">
        <v>76</v>
      </c>
      <c r="C72" s="22" t="s">
        <v>78</v>
      </c>
      <c r="D72" s="22" t="s">
        <v>165</v>
      </c>
      <c r="E72" s="22" t="s">
        <v>368</v>
      </c>
      <c r="F72" s="29"/>
      <c r="G72" s="90">
        <f>G73</f>
        <v>76900</v>
      </c>
      <c r="H72" s="25"/>
      <c r="I72" s="26">
        <f t="shared" si="0"/>
        <v>76900</v>
      </c>
      <c r="J72" s="90">
        <f>J73</f>
        <v>12750</v>
      </c>
    </row>
    <row r="73" spans="1:10" ht="15">
      <c r="A73" s="21" t="s">
        <v>107</v>
      </c>
      <c r="B73" s="22" t="s">
        <v>76</v>
      </c>
      <c r="C73" s="22" t="s">
        <v>78</v>
      </c>
      <c r="D73" s="22" t="s">
        <v>165</v>
      </c>
      <c r="E73" s="22" t="s">
        <v>369</v>
      </c>
      <c r="F73" s="29"/>
      <c r="G73" s="90">
        <f>G74</f>
        <v>76900</v>
      </c>
      <c r="H73" s="25"/>
      <c r="I73" s="26">
        <f t="shared" si="0"/>
        <v>76900</v>
      </c>
      <c r="J73" s="90">
        <f>J74</f>
        <v>12750</v>
      </c>
    </row>
    <row r="74" spans="1:10" ht="39">
      <c r="A74" s="42" t="s">
        <v>470</v>
      </c>
      <c r="B74" s="22" t="s">
        <v>76</v>
      </c>
      <c r="C74" s="22" t="s">
        <v>78</v>
      </c>
      <c r="D74" s="22" t="s">
        <v>165</v>
      </c>
      <c r="E74" s="22" t="s">
        <v>469</v>
      </c>
      <c r="F74" s="29"/>
      <c r="G74" s="90">
        <f>G75</f>
        <v>76900</v>
      </c>
      <c r="H74" s="25"/>
      <c r="I74" s="26">
        <f t="shared" si="0"/>
        <v>76900</v>
      </c>
      <c r="J74" s="90">
        <f>J75</f>
        <v>12750</v>
      </c>
    </row>
    <row r="75" spans="1:10" ht="14.25" customHeight="1">
      <c r="A75" s="28" t="s">
        <v>91</v>
      </c>
      <c r="B75" s="22" t="s">
        <v>76</v>
      </c>
      <c r="C75" s="22" t="s">
        <v>78</v>
      </c>
      <c r="D75" s="22" t="s">
        <v>165</v>
      </c>
      <c r="E75" s="22" t="s">
        <v>469</v>
      </c>
      <c r="F75" s="29" t="s">
        <v>92</v>
      </c>
      <c r="G75" s="90">
        <f>76900</f>
        <v>76900</v>
      </c>
      <c r="H75" s="25"/>
      <c r="I75" s="26">
        <f t="shared" si="0"/>
        <v>76900</v>
      </c>
      <c r="J75" s="90">
        <v>12750</v>
      </c>
    </row>
    <row r="76" spans="1:10" ht="26.25" hidden="1">
      <c r="A76" s="21" t="s">
        <v>109</v>
      </c>
      <c r="B76" s="22" t="s">
        <v>76</v>
      </c>
      <c r="C76" s="22" t="s">
        <v>78</v>
      </c>
      <c r="D76" s="22" t="s">
        <v>110</v>
      </c>
      <c r="E76" s="22"/>
      <c r="F76" s="24"/>
      <c r="G76" s="90">
        <f>G77</f>
        <v>573188</v>
      </c>
      <c r="H76" s="25"/>
      <c r="I76" s="26">
        <f t="shared" si="0"/>
        <v>573188</v>
      </c>
      <c r="J76" s="90">
        <f>J77</f>
        <v>573093.31</v>
      </c>
    </row>
    <row r="77" spans="1:10" ht="33.75" customHeight="1">
      <c r="A77" s="147" t="s">
        <v>111</v>
      </c>
      <c r="B77" s="22" t="s">
        <v>76</v>
      </c>
      <c r="C77" s="22" t="s">
        <v>78</v>
      </c>
      <c r="D77" s="22" t="s">
        <v>110</v>
      </c>
      <c r="E77" s="32" t="s">
        <v>370</v>
      </c>
      <c r="F77" s="29"/>
      <c r="G77" s="90">
        <f>G78</f>
        <v>573188</v>
      </c>
      <c r="H77" s="25"/>
      <c r="I77" s="26">
        <f t="shared" si="0"/>
        <v>573188</v>
      </c>
      <c r="J77" s="90">
        <f>J78</f>
        <v>573093.31</v>
      </c>
    </row>
    <row r="78" spans="1:10" ht="15">
      <c r="A78" s="147" t="s">
        <v>112</v>
      </c>
      <c r="B78" s="22" t="s">
        <v>76</v>
      </c>
      <c r="C78" s="22" t="s">
        <v>78</v>
      </c>
      <c r="D78" s="22" t="s">
        <v>110</v>
      </c>
      <c r="E78" s="32" t="s">
        <v>371</v>
      </c>
      <c r="F78" s="29"/>
      <c r="G78" s="90">
        <f>G79</f>
        <v>573188</v>
      </c>
      <c r="H78" s="25"/>
      <c r="I78" s="26">
        <f t="shared" si="0"/>
        <v>573188</v>
      </c>
      <c r="J78" s="90">
        <f>J79</f>
        <v>573093.31</v>
      </c>
    </row>
    <row r="79" spans="1:10" ht="26.25">
      <c r="A79" s="27" t="s">
        <v>83</v>
      </c>
      <c r="B79" s="22" t="s">
        <v>76</v>
      </c>
      <c r="C79" s="22" t="s">
        <v>78</v>
      </c>
      <c r="D79" s="22" t="s">
        <v>110</v>
      </c>
      <c r="E79" s="32" t="s">
        <v>372</v>
      </c>
      <c r="F79" s="24"/>
      <c r="G79" s="90">
        <f>G80+G81+G82</f>
        <v>573188</v>
      </c>
      <c r="H79" s="25"/>
      <c r="I79" s="26">
        <f t="shared" si="0"/>
        <v>573188</v>
      </c>
      <c r="J79" s="90">
        <f>J80+J81+J82</f>
        <v>573093.31</v>
      </c>
    </row>
    <row r="80" spans="1:10" ht="39">
      <c r="A80" s="28" t="s">
        <v>84</v>
      </c>
      <c r="B80" s="22" t="s">
        <v>76</v>
      </c>
      <c r="C80" s="22" t="s">
        <v>78</v>
      </c>
      <c r="D80" s="22" t="s">
        <v>110</v>
      </c>
      <c r="E80" s="32" t="s">
        <v>372</v>
      </c>
      <c r="F80" s="29" t="s">
        <v>85</v>
      </c>
      <c r="G80" s="90">
        <f>367920+111112+80356+13800</f>
        <v>573188</v>
      </c>
      <c r="H80" s="25"/>
      <c r="I80" s="26">
        <f t="shared" si="0"/>
        <v>573188</v>
      </c>
      <c r="J80" s="90">
        <v>573093.31</v>
      </c>
    </row>
    <row r="81" spans="1:10" ht="15" hidden="1">
      <c r="A81" s="28" t="s">
        <v>91</v>
      </c>
      <c r="B81" s="22" t="s">
        <v>76</v>
      </c>
      <c r="C81" s="22" t="s">
        <v>78</v>
      </c>
      <c r="D81" s="22" t="s">
        <v>110</v>
      </c>
      <c r="E81" s="32" t="s">
        <v>372</v>
      </c>
      <c r="F81" s="29" t="s">
        <v>92</v>
      </c>
      <c r="G81" s="90"/>
      <c r="H81" s="25"/>
      <c r="I81" s="26">
        <f t="shared" si="0"/>
        <v>0</v>
      </c>
      <c r="J81" s="90"/>
    </row>
    <row r="82" spans="1:10" ht="15" hidden="1">
      <c r="A82" s="30" t="s">
        <v>93</v>
      </c>
      <c r="B82" s="22" t="s">
        <v>76</v>
      </c>
      <c r="C82" s="22" t="s">
        <v>78</v>
      </c>
      <c r="D82" s="22" t="s">
        <v>110</v>
      </c>
      <c r="E82" s="32" t="s">
        <v>372</v>
      </c>
      <c r="F82" s="29" t="s">
        <v>94</v>
      </c>
      <c r="G82" s="90"/>
      <c r="H82" s="25"/>
      <c r="I82" s="26">
        <f t="shared" si="0"/>
        <v>0</v>
      </c>
      <c r="J82" s="90"/>
    </row>
    <row r="83" spans="1:10" ht="15">
      <c r="A83" s="186" t="s">
        <v>615</v>
      </c>
      <c r="B83" s="22" t="s">
        <v>76</v>
      </c>
      <c r="C83" s="22" t="s">
        <v>78</v>
      </c>
      <c r="D83" s="22" t="s">
        <v>113</v>
      </c>
      <c r="E83" s="32"/>
      <c r="F83" s="29"/>
      <c r="G83" s="90">
        <f>G84</f>
        <v>890000</v>
      </c>
      <c r="H83" s="25"/>
      <c r="I83" s="26">
        <f t="shared" si="0"/>
        <v>890000</v>
      </c>
      <c r="J83" s="90">
        <f>J84</f>
        <v>890000</v>
      </c>
    </row>
    <row r="84" spans="1:10" ht="15">
      <c r="A84" s="21" t="s">
        <v>106</v>
      </c>
      <c r="B84" s="22" t="s">
        <v>76</v>
      </c>
      <c r="C84" s="22" t="s">
        <v>78</v>
      </c>
      <c r="D84" s="22" t="s">
        <v>113</v>
      </c>
      <c r="E84" s="32" t="s">
        <v>368</v>
      </c>
      <c r="F84" s="29"/>
      <c r="G84" s="90">
        <f>G85</f>
        <v>890000</v>
      </c>
      <c r="H84" s="25"/>
      <c r="I84" s="26">
        <f t="shared" si="0"/>
        <v>890000</v>
      </c>
      <c r="J84" s="90">
        <f>J85</f>
        <v>890000</v>
      </c>
    </row>
    <row r="85" spans="1:10" ht="15">
      <c r="A85" s="30" t="s">
        <v>114</v>
      </c>
      <c r="B85" s="22" t="s">
        <v>76</v>
      </c>
      <c r="C85" s="22" t="s">
        <v>78</v>
      </c>
      <c r="D85" s="22" t="s">
        <v>113</v>
      </c>
      <c r="E85" s="32" t="s">
        <v>617</v>
      </c>
      <c r="F85" s="29"/>
      <c r="G85" s="90">
        <f>G86</f>
        <v>890000</v>
      </c>
      <c r="H85" s="25"/>
      <c r="I85" s="26">
        <f t="shared" si="0"/>
        <v>890000</v>
      </c>
      <c r="J85" s="90">
        <f>J86</f>
        <v>890000</v>
      </c>
    </row>
    <row r="86" spans="1:10" ht="15">
      <c r="A86" s="30" t="s">
        <v>115</v>
      </c>
      <c r="B86" s="22" t="s">
        <v>76</v>
      </c>
      <c r="C86" s="22" t="s">
        <v>78</v>
      </c>
      <c r="D86" s="22" t="s">
        <v>113</v>
      </c>
      <c r="E86" s="32" t="s">
        <v>616</v>
      </c>
      <c r="F86" s="29"/>
      <c r="G86" s="90">
        <f>G87</f>
        <v>890000</v>
      </c>
      <c r="H86" s="25"/>
      <c r="I86" s="26">
        <f t="shared" si="0"/>
        <v>890000</v>
      </c>
      <c r="J86" s="90">
        <f>J87</f>
        <v>890000</v>
      </c>
    </row>
    <row r="87" spans="1:10" ht="18" customHeight="1">
      <c r="A87" s="30" t="s">
        <v>93</v>
      </c>
      <c r="B87" s="22" t="s">
        <v>76</v>
      </c>
      <c r="C87" s="22" t="s">
        <v>78</v>
      </c>
      <c r="D87" s="22" t="s">
        <v>113</v>
      </c>
      <c r="E87" s="32" t="s">
        <v>616</v>
      </c>
      <c r="F87" s="29" t="s">
        <v>94</v>
      </c>
      <c r="G87" s="90">
        <v>890000</v>
      </c>
      <c r="H87" s="25"/>
      <c r="I87" s="26">
        <f t="shared" si="0"/>
        <v>890000</v>
      </c>
      <c r="J87" s="90">
        <v>890000</v>
      </c>
    </row>
    <row r="88" spans="1:10" ht="15" hidden="1">
      <c r="A88" s="21" t="s">
        <v>116</v>
      </c>
      <c r="B88" s="22" t="s">
        <v>76</v>
      </c>
      <c r="C88" s="22" t="s">
        <v>78</v>
      </c>
      <c r="D88" s="22" t="s">
        <v>117</v>
      </c>
      <c r="E88" s="22"/>
      <c r="F88" s="24"/>
      <c r="G88" s="90">
        <f>G90</f>
        <v>0</v>
      </c>
      <c r="H88" s="25"/>
      <c r="I88" s="26">
        <f t="shared" si="0"/>
        <v>0</v>
      </c>
      <c r="J88" s="90">
        <f>J90</f>
        <v>0</v>
      </c>
    </row>
    <row r="89" spans="1:10" ht="15" hidden="1">
      <c r="A89" s="28" t="s">
        <v>118</v>
      </c>
      <c r="B89" s="22" t="s">
        <v>76</v>
      </c>
      <c r="C89" s="22" t="s">
        <v>78</v>
      </c>
      <c r="D89" s="22" t="s">
        <v>117</v>
      </c>
      <c r="E89" s="23" t="s">
        <v>373</v>
      </c>
      <c r="F89" s="34" t="s">
        <v>119</v>
      </c>
      <c r="G89" s="90">
        <f>G90</f>
        <v>0</v>
      </c>
      <c r="H89" s="25"/>
      <c r="I89" s="26">
        <f t="shared" si="0"/>
        <v>0</v>
      </c>
      <c r="J89" s="90">
        <f>J90</f>
        <v>0</v>
      </c>
    </row>
    <row r="90" spans="1:10" ht="15" hidden="1">
      <c r="A90" s="28" t="s">
        <v>116</v>
      </c>
      <c r="B90" s="22" t="s">
        <v>76</v>
      </c>
      <c r="C90" s="22" t="s">
        <v>78</v>
      </c>
      <c r="D90" s="22" t="s">
        <v>117</v>
      </c>
      <c r="E90" s="23" t="s">
        <v>374</v>
      </c>
      <c r="F90" s="34" t="s">
        <v>119</v>
      </c>
      <c r="G90" s="90">
        <f>G91</f>
        <v>0</v>
      </c>
      <c r="H90" s="78"/>
      <c r="I90" s="26">
        <f t="shared" si="0"/>
        <v>0</v>
      </c>
      <c r="J90" s="90">
        <f>J91</f>
        <v>0</v>
      </c>
    </row>
    <row r="91" spans="1:10" ht="15" hidden="1">
      <c r="A91" s="27" t="s">
        <v>120</v>
      </c>
      <c r="B91" s="22" t="s">
        <v>76</v>
      </c>
      <c r="C91" s="22" t="s">
        <v>78</v>
      </c>
      <c r="D91" s="22" t="s">
        <v>117</v>
      </c>
      <c r="E91" s="23" t="s">
        <v>375</v>
      </c>
      <c r="F91" s="34" t="s">
        <v>119</v>
      </c>
      <c r="G91" s="90">
        <f>G92</f>
        <v>0</v>
      </c>
      <c r="H91" s="78"/>
      <c r="I91" s="26">
        <f aca="true" t="shared" si="1" ref="I91:I219">G91+H91</f>
        <v>0</v>
      </c>
      <c r="J91" s="90">
        <f>J92</f>
        <v>0</v>
      </c>
    </row>
    <row r="92" spans="1:10" ht="15" hidden="1">
      <c r="A92" s="28" t="s">
        <v>93</v>
      </c>
      <c r="B92" s="22" t="s">
        <v>76</v>
      </c>
      <c r="C92" s="22" t="s">
        <v>78</v>
      </c>
      <c r="D92" s="22" t="s">
        <v>117</v>
      </c>
      <c r="E92" s="23" t="s">
        <v>375</v>
      </c>
      <c r="F92" s="34" t="s">
        <v>94</v>
      </c>
      <c r="G92" s="90">
        <f>50000-50000</f>
        <v>0</v>
      </c>
      <c r="H92" s="78"/>
      <c r="I92" s="26">
        <f t="shared" si="1"/>
        <v>0</v>
      </c>
      <c r="J92" s="90">
        <f>50000-50000</f>
        <v>0</v>
      </c>
    </row>
    <row r="93" spans="1:10" ht="18" customHeight="1">
      <c r="A93" s="21" t="s">
        <v>121</v>
      </c>
      <c r="B93" s="22" t="s">
        <v>76</v>
      </c>
      <c r="C93" s="22" t="s">
        <v>78</v>
      </c>
      <c r="D93" s="22" t="s">
        <v>122</v>
      </c>
      <c r="E93" s="22"/>
      <c r="F93" s="24"/>
      <c r="G93" s="90">
        <f>G94+G115+G146+G152+G157+G167+G125+G137+G130+G120</f>
        <v>16566560.74</v>
      </c>
      <c r="H93" s="78"/>
      <c r="I93" s="26">
        <f t="shared" si="1"/>
        <v>16566560.74</v>
      </c>
      <c r="J93" s="90">
        <f>J94+J115+J146+J152+J157+J167+J125+J137+J130+J120</f>
        <v>16024710.83</v>
      </c>
    </row>
    <row r="94" spans="1:10" ht="42" customHeight="1">
      <c r="A94" s="21" t="s">
        <v>557</v>
      </c>
      <c r="B94" s="22" t="s">
        <v>76</v>
      </c>
      <c r="C94" s="22" t="s">
        <v>78</v>
      </c>
      <c r="D94" s="22" t="s">
        <v>122</v>
      </c>
      <c r="E94" s="22" t="s">
        <v>356</v>
      </c>
      <c r="F94" s="24"/>
      <c r="G94" s="90">
        <f>G106+G99+G95</f>
        <v>241110</v>
      </c>
      <c r="H94" s="78"/>
      <c r="I94" s="26">
        <f t="shared" si="1"/>
        <v>241110</v>
      </c>
      <c r="J94" s="90">
        <f>J106+J99+J95</f>
        <v>235475</v>
      </c>
    </row>
    <row r="95" spans="1:10" ht="57" customHeight="1">
      <c r="A95" s="70" t="s">
        <v>552</v>
      </c>
      <c r="B95" s="22" t="s">
        <v>76</v>
      </c>
      <c r="C95" s="22" t="s">
        <v>78</v>
      </c>
      <c r="D95" s="22" t="s">
        <v>122</v>
      </c>
      <c r="E95" s="22" t="s">
        <v>387</v>
      </c>
      <c r="F95" s="24"/>
      <c r="G95" s="90">
        <f>G96</f>
        <v>17000</v>
      </c>
      <c r="H95" s="25"/>
      <c r="I95" s="26">
        <f t="shared" si="1"/>
        <v>17000</v>
      </c>
      <c r="J95" s="90">
        <f>J96</f>
        <v>12000</v>
      </c>
    </row>
    <row r="96" spans="1:10" ht="32.25" customHeight="1">
      <c r="A96" s="101" t="s">
        <v>536</v>
      </c>
      <c r="B96" s="22" t="s">
        <v>76</v>
      </c>
      <c r="C96" s="22" t="s">
        <v>78</v>
      </c>
      <c r="D96" s="22" t="s">
        <v>122</v>
      </c>
      <c r="E96" s="22" t="s">
        <v>242</v>
      </c>
      <c r="F96" s="24"/>
      <c r="G96" s="90">
        <f>G97</f>
        <v>17000</v>
      </c>
      <c r="H96" s="25"/>
      <c r="I96" s="26">
        <f t="shared" si="1"/>
        <v>17000</v>
      </c>
      <c r="J96" s="90">
        <f>J97</f>
        <v>12000</v>
      </c>
    </row>
    <row r="97" spans="1:10" ht="15.75" customHeight="1">
      <c r="A97" s="28" t="s">
        <v>561</v>
      </c>
      <c r="B97" s="22" t="s">
        <v>76</v>
      </c>
      <c r="C97" s="22" t="s">
        <v>78</v>
      </c>
      <c r="D97" s="22" t="s">
        <v>122</v>
      </c>
      <c r="E97" s="36" t="s">
        <v>560</v>
      </c>
      <c r="F97" s="24"/>
      <c r="G97" s="90">
        <f>G98</f>
        <v>17000</v>
      </c>
      <c r="H97" s="25"/>
      <c r="I97" s="26">
        <f t="shared" si="1"/>
        <v>17000</v>
      </c>
      <c r="J97" s="90">
        <f>J98</f>
        <v>12000</v>
      </c>
    </row>
    <row r="98" spans="1:10" ht="28.5" customHeight="1">
      <c r="A98" s="28" t="s">
        <v>39</v>
      </c>
      <c r="B98" s="22" t="s">
        <v>76</v>
      </c>
      <c r="C98" s="22" t="s">
        <v>78</v>
      </c>
      <c r="D98" s="22" t="s">
        <v>122</v>
      </c>
      <c r="E98" s="36" t="s">
        <v>560</v>
      </c>
      <c r="F98" s="24" t="s">
        <v>92</v>
      </c>
      <c r="G98" s="90">
        <f>17000</f>
        <v>17000</v>
      </c>
      <c r="H98" s="25"/>
      <c r="I98" s="26">
        <f t="shared" si="1"/>
        <v>17000</v>
      </c>
      <c r="J98" s="90">
        <v>12000</v>
      </c>
    </row>
    <row r="99" spans="1:10" ht="65.25" customHeight="1">
      <c r="A99" s="55" t="s">
        <v>553</v>
      </c>
      <c r="B99" s="22" t="s">
        <v>76</v>
      </c>
      <c r="C99" s="43" t="s">
        <v>78</v>
      </c>
      <c r="D99" s="43" t="s">
        <v>122</v>
      </c>
      <c r="E99" s="43" t="s">
        <v>357</v>
      </c>
      <c r="F99" s="44"/>
      <c r="G99" s="94">
        <f>G100+G103</f>
        <v>20000</v>
      </c>
      <c r="H99" s="25"/>
      <c r="I99" s="26">
        <f t="shared" si="1"/>
        <v>20000</v>
      </c>
      <c r="J99" s="94">
        <f>J100+J103</f>
        <v>19825</v>
      </c>
    </row>
    <row r="100" spans="1:10" ht="38.25" hidden="1">
      <c r="A100" s="132" t="s">
        <v>321</v>
      </c>
      <c r="B100" s="22" t="s">
        <v>76</v>
      </c>
      <c r="C100" s="22" t="s">
        <v>78</v>
      </c>
      <c r="D100" s="22" t="s">
        <v>122</v>
      </c>
      <c r="E100" s="22" t="s">
        <v>360</v>
      </c>
      <c r="F100" s="24"/>
      <c r="G100" s="90">
        <f>G102</f>
        <v>0</v>
      </c>
      <c r="H100" s="25"/>
      <c r="I100" s="26">
        <f t="shared" si="1"/>
        <v>0</v>
      </c>
      <c r="J100" s="90">
        <f>J102</f>
        <v>0</v>
      </c>
    </row>
    <row r="101" spans="1:10" ht="76.5" hidden="1">
      <c r="A101" s="112" t="s">
        <v>474</v>
      </c>
      <c r="B101" s="22" t="s">
        <v>76</v>
      </c>
      <c r="C101" s="22" t="s">
        <v>78</v>
      </c>
      <c r="D101" s="22" t="s">
        <v>122</v>
      </c>
      <c r="E101" s="114" t="s">
        <v>473</v>
      </c>
      <c r="F101" s="24"/>
      <c r="G101" s="90">
        <f>G102</f>
        <v>0</v>
      </c>
      <c r="H101" s="25"/>
      <c r="I101" s="26">
        <f t="shared" si="1"/>
        <v>0</v>
      </c>
      <c r="J101" s="90">
        <f>J102</f>
        <v>0</v>
      </c>
    </row>
    <row r="102" spans="1:10" ht="26.25" hidden="1">
      <c r="A102" s="28" t="s">
        <v>39</v>
      </c>
      <c r="B102" s="22" t="s">
        <v>76</v>
      </c>
      <c r="C102" s="22" t="s">
        <v>78</v>
      </c>
      <c r="D102" s="22" t="s">
        <v>122</v>
      </c>
      <c r="E102" s="114" t="s">
        <v>473</v>
      </c>
      <c r="F102" s="24" t="s">
        <v>92</v>
      </c>
      <c r="G102" s="90"/>
      <c r="H102" s="25"/>
      <c r="I102" s="26">
        <f t="shared" si="1"/>
        <v>0</v>
      </c>
      <c r="J102" s="90"/>
    </row>
    <row r="103" spans="1:10" ht="28.5" customHeight="1">
      <c r="A103" s="112" t="s">
        <v>537</v>
      </c>
      <c r="B103" s="22" t="s">
        <v>76</v>
      </c>
      <c r="C103" s="22" t="s">
        <v>78</v>
      </c>
      <c r="D103" s="22" t="s">
        <v>122</v>
      </c>
      <c r="E103" s="22" t="s">
        <v>538</v>
      </c>
      <c r="F103" s="24"/>
      <c r="G103" s="90">
        <f>G104</f>
        <v>20000</v>
      </c>
      <c r="H103" s="25"/>
      <c r="I103" s="26">
        <f t="shared" si="1"/>
        <v>20000</v>
      </c>
      <c r="J103" s="90">
        <f>J104</f>
        <v>19825</v>
      </c>
    </row>
    <row r="104" spans="1:10" ht="33.75" customHeight="1">
      <c r="A104" s="101" t="s">
        <v>540</v>
      </c>
      <c r="B104" s="22" t="s">
        <v>76</v>
      </c>
      <c r="C104" s="22" t="s">
        <v>78</v>
      </c>
      <c r="D104" s="22" t="s">
        <v>122</v>
      </c>
      <c r="E104" s="36" t="s">
        <v>539</v>
      </c>
      <c r="F104" s="24"/>
      <c r="G104" s="90">
        <f>G105</f>
        <v>20000</v>
      </c>
      <c r="H104" s="25"/>
      <c r="I104" s="26">
        <f t="shared" si="1"/>
        <v>20000</v>
      </c>
      <c r="J104" s="90">
        <f>J105</f>
        <v>19825</v>
      </c>
    </row>
    <row r="105" spans="1:10" ht="27" customHeight="1">
      <c r="A105" s="28" t="s">
        <v>39</v>
      </c>
      <c r="B105" s="22" t="s">
        <v>76</v>
      </c>
      <c r="C105" s="22" t="s">
        <v>78</v>
      </c>
      <c r="D105" s="22" t="s">
        <v>122</v>
      </c>
      <c r="E105" s="36" t="s">
        <v>539</v>
      </c>
      <c r="F105" s="24" t="s">
        <v>92</v>
      </c>
      <c r="G105" s="90">
        <f>20000</f>
        <v>20000</v>
      </c>
      <c r="H105" s="25"/>
      <c r="I105" s="26">
        <f t="shared" si="1"/>
        <v>20000</v>
      </c>
      <c r="J105" s="90">
        <v>19825</v>
      </c>
    </row>
    <row r="106" spans="1:10" ht="57.75" customHeight="1">
      <c r="A106" s="58" t="s">
        <v>554</v>
      </c>
      <c r="B106" s="22" t="s">
        <v>76</v>
      </c>
      <c r="C106" s="43" t="s">
        <v>78</v>
      </c>
      <c r="D106" s="43" t="s">
        <v>122</v>
      </c>
      <c r="E106" s="43" t="s">
        <v>362</v>
      </c>
      <c r="F106" s="44"/>
      <c r="G106" s="94">
        <f>G107+G112</f>
        <v>204110</v>
      </c>
      <c r="H106" s="25"/>
      <c r="I106" s="26">
        <f t="shared" si="1"/>
        <v>204110</v>
      </c>
      <c r="J106" s="94">
        <f>J107+J112</f>
        <v>203650</v>
      </c>
    </row>
    <row r="107" spans="1:10" ht="30" customHeight="1">
      <c r="A107" s="27" t="s">
        <v>376</v>
      </c>
      <c r="B107" s="22" t="s">
        <v>76</v>
      </c>
      <c r="C107" s="22" t="s">
        <v>78</v>
      </c>
      <c r="D107" s="22" t="s">
        <v>122</v>
      </c>
      <c r="E107" s="22" t="s">
        <v>363</v>
      </c>
      <c r="F107" s="24"/>
      <c r="G107" s="90">
        <f>G108+G110</f>
        <v>125900</v>
      </c>
      <c r="H107" s="25"/>
      <c r="I107" s="26">
        <f t="shared" si="1"/>
        <v>125900</v>
      </c>
      <c r="J107" s="90">
        <f>J108+J110</f>
        <v>125900</v>
      </c>
    </row>
    <row r="108" spans="1:10" ht="34.5" customHeight="1">
      <c r="A108" s="27" t="s">
        <v>123</v>
      </c>
      <c r="B108" s="22" t="s">
        <v>76</v>
      </c>
      <c r="C108" s="22" t="s">
        <v>78</v>
      </c>
      <c r="D108" s="22" t="s">
        <v>122</v>
      </c>
      <c r="E108" s="22" t="s">
        <v>377</v>
      </c>
      <c r="F108" s="24"/>
      <c r="G108" s="90">
        <f>G109</f>
        <v>122900</v>
      </c>
      <c r="H108" s="25"/>
      <c r="I108" s="26">
        <f t="shared" si="1"/>
        <v>122900</v>
      </c>
      <c r="J108" s="90">
        <f>J109</f>
        <v>122900</v>
      </c>
    </row>
    <row r="109" spans="1:10" ht="26.25">
      <c r="A109" s="28" t="s">
        <v>124</v>
      </c>
      <c r="B109" s="22" t="s">
        <v>76</v>
      </c>
      <c r="C109" s="22" t="s">
        <v>78</v>
      </c>
      <c r="D109" s="22" t="s">
        <v>122</v>
      </c>
      <c r="E109" s="22" t="s">
        <v>377</v>
      </c>
      <c r="F109" s="29" t="s">
        <v>125</v>
      </c>
      <c r="G109" s="90">
        <v>122900</v>
      </c>
      <c r="H109" s="25"/>
      <c r="I109" s="26">
        <f t="shared" si="1"/>
        <v>122900</v>
      </c>
      <c r="J109" s="90">
        <v>122900</v>
      </c>
    </row>
    <row r="110" spans="1:10" ht="18.75" customHeight="1">
      <c r="A110" s="27" t="s">
        <v>378</v>
      </c>
      <c r="B110" s="22" t="s">
        <v>76</v>
      </c>
      <c r="C110" s="22" t="s">
        <v>78</v>
      </c>
      <c r="D110" s="22" t="s">
        <v>122</v>
      </c>
      <c r="E110" s="22" t="s">
        <v>379</v>
      </c>
      <c r="F110" s="29"/>
      <c r="G110" s="90">
        <f>G111</f>
        <v>3000</v>
      </c>
      <c r="H110" s="25"/>
      <c r="I110" s="26">
        <f t="shared" si="1"/>
        <v>3000</v>
      </c>
      <c r="J110" s="90">
        <f>J111</f>
        <v>3000</v>
      </c>
    </row>
    <row r="111" spans="1:10" ht="26.25">
      <c r="A111" s="28" t="s">
        <v>124</v>
      </c>
      <c r="B111" s="22" t="s">
        <v>76</v>
      </c>
      <c r="C111" s="22" t="s">
        <v>78</v>
      </c>
      <c r="D111" s="22" t="s">
        <v>122</v>
      </c>
      <c r="E111" s="22" t="s">
        <v>379</v>
      </c>
      <c r="F111" s="29" t="s">
        <v>125</v>
      </c>
      <c r="G111" s="90">
        <v>3000</v>
      </c>
      <c r="H111" s="25"/>
      <c r="I111" s="26">
        <f t="shared" si="1"/>
        <v>3000</v>
      </c>
      <c r="J111" s="90">
        <v>3000</v>
      </c>
    </row>
    <row r="112" spans="1:10" ht="25.5">
      <c r="A112" s="109" t="s">
        <v>364</v>
      </c>
      <c r="B112" s="22" t="s">
        <v>76</v>
      </c>
      <c r="C112" s="22" t="s">
        <v>78</v>
      </c>
      <c r="D112" s="22" t="s">
        <v>122</v>
      </c>
      <c r="E112" s="22" t="s">
        <v>319</v>
      </c>
      <c r="F112" s="29"/>
      <c r="G112" s="90">
        <f>G113</f>
        <v>78210</v>
      </c>
      <c r="H112" s="25"/>
      <c r="I112" s="26">
        <f t="shared" si="1"/>
        <v>78210</v>
      </c>
      <c r="J112" s="90">
        <f>J113</f>
        <v>77750</v>
      </c>
    </row>
    <row r="113" spans="1:10" ht="21" customHeight="1">
      <c r="A113" s="112" t="s">
        <v>129</v>
      </c>
      <c r="B113" s="22" t="s">
        <v>76</v>
      </c>
      <c r="C113" s="22" t="s">
        <v>78</v>
      </c>
      <c r="D113" s="22" t="s">
        <v>122</v>
      </c>
      <c r="E113" s="22" t="s">
        <v>611</v>
      </c>
      <c r="F113" s="29"/>
      <c r="G113" s="90">
        <f>G114</f>
        <v>78210</v>
      </c>
      <c r="H113" s="25"/>
      <c r="I113" s="26">
        <f t="shared" si="1"/>
        <v>78210</v>
      </c>
      <c r="J113" s="90">
        <f>J114</f>
        <v>77750</v>
      </c>
    </row>
    <row r="114" spans="1:10" ht="26.25">
      <c r="A114" s="28" t="s">
        <v>39</v>
      </c>
      <c r="B114" s="22" t="s">
        <v>76</v>
      </c>
      <c r="C114" s="22" t="s">
        <v>78</v>
      </c>
      <c r="D114" s="22" t="s">
        <v>122</v>
      </c>
      <c r="E114" s="22" t="s">
        <v>611</v>
      </c>
      <c r="F114" s="29" t="s">
        <v>92</v>
      </c>
      <c r="G114" s="90">
        <f>90000-11790</f>
        <v>78210</v>
      </c>
      <c r="H114" s="25"/>
      <c r="I114" s="26">
        <f t="shared" si="1"/>
        <v>78210</v>
      </c>
      <c r="J114" s="90">
        <v>77750</v>
      </c>
    </row>
    <row r="115" spans="1:10" ht="38.25">
      <c r="A115" s="134" t="s">
        <v>549</v>
      </c>
      <c r="B115" s="22" t="s">
        <v>76</v>
      </c>
      <c r="C115" s="22" t="s">
        <v>78</v>
      </c>
      <c r="D115" s="22" t="s">
        <v>122</v>
      </c>
      <c r="E115" s="22" t="s">
        <v>48</v>
      </c>
      <c r="F115" s="29"/>
      <c r="G115" s="90">
        <f>G116</f>
        <v>871072.44</v>
      </c>
      <c r="H115" s="25"/>
      <c r="I115" s="26">
        <f t="shared" si="1"/>
        <v>871072.44</v>
      </c>
      <c r="J115" s="90">
        <f>J116</f>
        <v>801315.04</v>
      </c>
    </row>
    <row r="116" spans="1:10" ht="59.25" customHeight="1">
      <c r="A116" s="60" t="s">
        <v>550</v>
      </c>
      <c r="B116" s="22" t="s">
        <v>76</v>
      </c>
      <c r="C116" s="43" t="s">
        <v>78</v>
      </c>
      <c r="D116" s="43" t="s">
        <v>122</v>
      </c>
      <c r="E116" s="43" t="s">
        <v>49</v>
      </c>
      <c r="F116" s="57"/>
      <c r="G116" s="94">
        <f>G117</f>
        <v>871072.44</v>
      </c>
      <c r="H116" s="25"/>
      <c r="I116" s="26">
        <f t="shared" si="1"/>
        <v>871072.44</v>
      </c>
      <c r="J116" s="94">
        <f>J117</f>
        <v>801315.04</v>
      </c>
    </row>
    <row r="117" spans="1:10" ht="28.5" customHeight="1">
      <c r="A117" s="135" t="s">
        <v>145</v>
      </c>
      <c r="B117" s="22" t="s">
        <v>76</v>
      </c>
      <c r="C117" s="22" t="s">
        <v>78</v>
      </c>
      <c r="D117" s="22" t="s">
        <v>122</v>
      </c>
      <c r="E117" s="22" t="s">
        <v>335</v>
      </c>
      <c r="F117" s="29"/>
      <c r="G117" s="90">
        <f>G118</f>
        <v>871072.44</v>
      </c>
      <c r="H117" s="25"/>
      <c r="I117" s="26">
        <f t="shared" si="1"/>
        <v>871072.44</v>
      </c>
      <c r="J117" s="90">
        <f>J118</f>
        <v>801315.04</v>
      </c>
    </row>
    <row r="118" spans="1:10" ht="15">
      <c r="A118" s="135" t="s">
        <v>126</v>
      </c>
      <c r="B118" s="22" t="s">
        <v>76</v>
      </c>
      <c r="C118" s="22" t="s">
        <v>78</v>
      </c>
      <c r="D118" s="22" t="s">
        <v>122</v>
      </c>
      <c r="E118" s="22" t="s">
        <v>50</v>
      </c>
      <c r="F118" s="29"/>
      <c r="G118" s="90">
        <f>G119</f>
        <v>871072.44</v>
      </c>
      <c r="H118" s="25"/>
      <c r="I118" s="26">
        <f t="shared" si="1"/>
        <v>871072.44</v>
      </c>
      <c r="J118" s="90">
        <f>J119</f>
        <v>801315.04</v>
      </c>
    </row>
    <row r="119" spans="1:10" ht="30" customHeight="1">
      <c r="A119" s="28" t="s">
        <v>39</v>
      </c>
      <c r="B119" s="22" t="s">
        <v>76</v>
      </c>
      <c r="C119" s="22" t="s">
        <v>78</v>
      </c>
      <c r="D119" s="22" t="s">
        <v>122</v>
      </c>
      <c r="E119" s="22" t="s">
        <v>50</v>
      </c>
      <c r="F119" s="24" t="s">
        <v>92</v>
      </c>
      <c r="G119" s="90">
        <f>627100-100000+200000+20000+33300+41600-9827.56+58900</f>
        <v>871072.44</v>
      </c>
      <c r="H119" s="25"/>
      <c r="I119" s="26">
        <f t="shared" si="1"/>
        <v>871072.44</v>
      </c>
      <c r="J119" s="90">
        <v>801315.04</v>
      </c>
    </row>
    <row r="120" spans="1:10" ht="38.25" customHeight="1">
      <c r="A120" s="41" t="s">
        <v>562</v>
      </c>
      <c r="B120" s="22" t="s">
        <v>76</v>
      </c>
      <c r="C120" s="22" t="s">
        <v>78</v>
      </c>
      <c r="D120" s="22" t="s">
        <v>122</v>
      </c>
      <c r="E120" s="23" t="s">
        <v>52</v>
      </c>
      <c r="F120" s="24"/>
      <c r="G120" s="90">
        <f>G121</f>
        <v>60000</v>
      </c>
      <c r="H120" s="25"/>
      <c r="I120" s="26">
        <f t="shared" si="1"/>
        <v>60000</v>
      </c>
      <c r="J120" s="90">
        <f>J121</f>
        <v>60000</v>
      </c>
    </row>
    <row r="121" spans="1:10" ht="30" customHeight="1">
      <c r="A121" s="98" t="s">
        <v>563</v>
      </c>
      <c r="B121" s="22" t="s">
        <v>76</v>
      </c>
      <c r="C121" s="22" t="s">
        <v>78</v>
      </c>
      <c r="D121" s="22" t="s">
        <v>122</v>
      </c>
      <c r="E121" s="56" t="s">
        <v>58</v>
      </c>
      <c r="F121" s="44"/>
      <c r="G121" s="94">
        <f>G122</f>
        <v>60000</v>
      </c>
      <c r="H121" s="25"/>
      <c r="I121" s="26">
        <f t="shared" si="1"/>
        <v>60000</v>
      </c>
      <c r="J121" s="94">
        <f>J122</f>
        <v>60000</v>
      </c>
    </row>
    <row r="122" spans="1:10" ht="30" customHeight="1">
      <c r="A122" s="30" t="s">
        <v>403</v>
      </c>
      <c r="B122" s="22" t="s">
        <v>76</v>
      </c>
      <c r="C122" s="22" t="s">
        <v>78</v>
      </c>
      <c r="D122" s="22" t="s">
        <v>122</v>
      </c>
      <c r="E122" s="23" t="s">
        <v>59</v>
      </c>
      <c r="F122" s="24"/>
      <c r="G122" s="90">
        <f>G123</f>
        <v>60000</v>
      </c>
      <c r="H122" s="25"/>
      <c r="I122" s="26">
        <f t="shared" si="1"/>
        <v>60000</v>
      </c>
      <c r="J122" s="90">
        <f>J123</f>
        <v>60000</v>
      </c>
    </row>
    <row r="123" spans="1:10" ht="30" customHeight="1">
      <c r="A123" s="28" t="s">
        <v>609</v>
      </c>
      <c r="B123" s="22" t="s">
        <v>76</v>
      </c>
      <c r="C123" s="22" t="s">
        <v>78</v>
      </c>
      <c r="D123" s="22" t="s">
        <v>122</v>
      </c>
      <c r="E123" s="23" t="s">
        <v>610</v>
      </c>
      <c r="F123" s="24"/>
      <c r="G123" s="90">
        <f>G124</f>
        <v>60000</v>
      </c>
      <c r="H123" s="25"/>
      <c r="I123" s="26">
        <f t="shared" si="1"/>
        <v>60000</v>
      </c>
      <c r="J123" s="90">
        <f>J124</f>
        <v>60000</v>
      </c>
    </row>
    <row r="124" spans="1:10" ht="29.25" customHeight="1">
      <c r="A124" s="28" t="s">
        <v>39</v>
      </c>
      <c r="B124" s="22" t="s">
        <v>76</v>
      </c>
      <c r="C124" s="22" t="s">
        <v>78</v>
      </c>
      <c r="D124" s="22" t="s">
        <v>122</v>
      </c>
      <c r="E124" s="23" t="s">
        <v>610</v>
      </c>
      <c r="F124" s="29" t="s">
        <v>92</v>
      </c>
      <c r="G124" s="90">
        <f>60000</f>
        <v>60000</v>
      </c>
      <c r="H124" s="25"/>
      <c r="I124" s="26">
        <f t="shared" si="1"/>
        <v>60000</v>
      </c>
      <c r="J124" s="90">
        <f>60000</f>
        <v>60000</v>
      </c>
    </row>
    <row r="125" spans="1:10" ht="51" hidden="1">
      <c r="A125" s="134" t="s">
        <v>141</v>
      </c>
      <c r="B125" s="22" t="s">
        <v>76</v>
      </c>
      <c r="C125" s="22" t="s">
        <v>78</v>
      </c>
      <c r="D125" s="22" t="s">
        <v>122</v>
      </c>
      <c r="E125" s="22" t="s">
        <v>339</v>
      </c>
      <c r="F125" s="24"/>
      <c r="G125" s="90">
        <f>G126</f>
        <v>0</v>
      </c>
      <c r="H125" s="25"/>
      <c r="I125" s="26">
        <f t="shared" si="1"/>
        <v>0</v>
      </c>
      <c r="J125" s="90">
        <f>J126</f>
        <v>0</v>
      </c>
    </row>
    <row r="126" spans="1:10" ht="66" customHeight="1" hidden="1">
      <c r="A126" s="60" t="s">
        <v>248</v>
      </c>
      <c r="B126" s="22" t="s">
        <v>76</v>
      </c>
      <c r="C126" s="22" t="s">
        <v>78</v>
      </c>
      <c r="D126" s="22" t="s">
        <v>122</v>
      </c>
      <c r="E126" s="22" t="s">
        <v>410</v>
      </c>
      <c r="F126" s="24"/>
      <c r="G126" s="90">
        <f>G127</f>
        <v>0</v>
      </c>
      <c r="H126" s="25"/>
      <c r="I126" s="26">
        <f t="shared" si="1"/>
        <v>0</v>
      </c>
      <c r="J126" s="90">
        <f>J127</f>
        <v>0</v>
      </c>
    </row>
    <row r="127" spans="1:10" ht="25.5" hidden="1">
      <c r="A127" s="136" t="s">
        <v>2</v>
      </c>
      <c r="B127" s="22" t="s">
        <v>76</v>
      </c>
      <c r="C127" s="22" t="s">
        <v>78</v>
      </c>
      <c r="D127" s="22" t="s">
        <v>122</v>
      </c>
      <c r="E127" s="22" t="s">
        <v>411</v>
      </c>
      <c r="F127" s="24"/>
      <c r="G127" s="90">
        <f>G128</f>
        <v>0</v>
      </c>
      <c r="H127" s="25"/>
      <c r="I127" s="26">
        <f t="shared" si="1"/>
        <v>0</v>
      </c>
      <c r="J127" s="90">
        <f>J128</f>
        <v>0</v>
      </c>
    </row>
    <row r="128" spans="1:10" ht="25.5" hidden="1">
      <c r="A128" s="30" t="s">
        <v>249</v>
      </c>
      <c r="B128" s="22" t="s">
        <v>76</v>
      </c>
      <c r="C128" s="22" t="s">
        <v>78</v>
      </c>
      <c r="D128" s="22" t="s">
        <v>122</v>
      </c>
      <c r="E128" s="22" t="s">
        <v>3</v>
      </c>
      <c r="F128" s="24"/>
      <c r="G128" s="90">
        <f>G129</f>
        <v>0</v>
      </c>
      <c r="H128" s="25"/>
      <c r="I128" s="26">
        <f t="shared" si="1"/>
        <v>0</v>
      </c>
      <c r="J128" s="90">
        <f>J129</f>
        <v>0</v>
      </c>
    </row>
    <row r="129" spans="1:10" ht="26.25" hidden="1">
      <c r="A129" s="28" t="s">
        <v>39</v>
      </c>
      <c r="B129" s="22" t="s">
        <v>76</v>
      </c>
      <c r="C129" s="22" t="s">
        <v>78</v>
      </c>
      <c r="D129" s="22" t="s">
        <v>122</v>
      </c>
      <c r="E129" s="22" t="s">
        <v>3</v>
      </c>
      <c r="F129" s="24" t="s">
        <v>92</v>
      </c>
      <c r="G129" s="90"/>
      <c r="H129" s="25"/>
      <c r="I129" s="26">
        <f t="shared" si="1"/>
        <v>0</v>
      </c>
      <c r="J129" s="90"/>
    </row>
    <row r="130" spans="1:10" ht="42" customHeight="1">
      <c r="A130" s="21" t="s">
        <v>101</v>
      </c>
      <c r="B130" s="22" t="s">
        <v>76</v>
      </c>
      <c r="C130" s="22" t="s">
        <v>78</v>
      </c>
      <c r="D130" s="22" t="s">
        <v>122</v>
      </c>
      <c r="E130" s="23" t="s">
        <v>6</v>
      </c>
      <c r="F130" s="24"/>
      <c r="G130" s="90">
        <f>G131</f>
        <v>65000</v>
      </c>
      <c r="H130" s="78"/>
      <c r="I130" s="26">
        <f t="shared" si="1"/>
        <v>65000</v>
      </c>
      <c r="J130" s="90">
        <f>J131</f>
        <v>24999</v>
      </c>
    </row>
    <row r="131" spans="1:10" ht="76.5">
      <c r="A131" s="172" t="s">
        <v>598</v>
      </c>
      <c r="B131" s="22" t="s">
        <v>76</v>
      </c>
      <c r="C131" s="22" t="s">
        <v>78</v>
      </c>
      <c r="D131" s="22" t="s">
        <v>122</v>
      </c>
      <c r="E131" s="23" t="s">
        <v>599</v>
      </c>
      <c r="F131" s="24"/>
      <c r="G131" s="90">
        <f>G132</f>
        <v>65000</v>
      </c>
      <c r="H131" s="78"/>
      <c r="I131" s="26">
        <f t="shared" si="1"/>
        <v>65000</v>
      </c>
      <c r="J131" s="90">
        <f>J132</f>
        <v>24999</v>
      </c>
    </row>
    <row r="132" spans="1:10" ht="38.25">
      <c r="A132" s="109" t="s">
        <v>600</v>
      </c>
      <c r="B132" s="22" t="s">
        <v>76</v>
      </c>
      <c r="C132" s="22" t="s">
        <v>78</v>
      </c>
      <c r="D132" s="22" t="s">
        <v>122</v>
      </c>
      <c r="E132" s="32" t="s">
        <v>602</v>
      </c>
      <c r="F132" s="24"/>
      <c r="G132" s="90">
        <f>G133+G135</f>
        <v>65000</v>
      </c>
      <c r="H132" s="78"/>
      <c r="I132" s="26">
        <f t="shared" si="1"/>
        <v>65000</v>
      </c>
      <c r="J132" s="90">
        <f>J133+J135</f>
        <v>24999</v>
      </c>
    </row>
    <row r="133" spans="1:10" ht="26.25">
      <c r="A133" s="28" t="s">
        <v>601</v>
      </c>
      <c r="B133" s="22" t="s">
        <v>76</v>
      </c>
      <c r="C133" s="22" t="s">
        <v>78</v>
      </c>
      <c r="D133" s="22" t="s">
        <v>122</v>
      </c>
      <c r="E133" s="32" t="s">
        <v>603</v>
      </c>
      <c r="F133" s="24"/>
      <c r="G133" s="90">
        <f>G134</f>
        <v>25000</v>
      </c>
      <c r="H133" s="25"/>
      <c r="I133" s="26">
        <f t="shared" si="1"/>
        <v>25000</v>
      </c>
      <c r="J133" s="90">
        <f>J134</f>
        <v>24999</v>
      </c>
    </row>
    <row r="134" spans="1:10" ht="26.25">
      <c r="A134" s="28" t="s">
        <v>39</v>
      </c>
      <c r="B134" s="22" t="s">
        <v>76</v>
      </c>
      <c r="C134" s="22" t="s">
        <v>78</v>
      </c>
      <c r="D134" s="22" t="s">
        <v>122</v>
      </c>
      <c r="E134" s="32" t="s">
        <v>603</v>
      </c>
      <c r="F134" s="24" t="s">
        <v>92</v>
      </c>
      <c r="G134" s="90">
        <f>10000+15000</f>
        <v>25000</v>
      </c>
      <c r="H134" s="25"/>
      <c r="I134" s="26">
        <f t="shared" si="1"/>
        <v>25000</v>
      </c>
      <c r="J134" s="90">
        <v>24999</v>
      </c>
    </row>
    <row r="135" spans="1:10" ht="26.25">
      <c r="A135" s="28" t="s">
        <v>607</v>
      </c>
      <c r="B135" s="22" t="s">
        <v>76</v>
      </c>
      <c r="C135" s="22" t="s">
        <v>78</v>
      </c>
      <c r="D135" s="22" t="s">
        <v>122</v>
      </c>
      <c r="E135" s="32" t="s">
        <v>608</v>
      </c>
      <c r="F135" s="24"/>
      <c r="G135" s="90">
        <f>G136</f>
        <v>40000</v>
      </c>
      <c r="H135" s="25"/>
      <c r="I135" s="26">
        <f t="shared" si="1"/>
        <v>40000</v>
      </c>
      <c r="J135" s="90">
        <f>J136</f>
        <v>0</v>
      </c>
    </row>
    <row r="136" spans="1:10" ht="26.25">
      <c r="A136" s="28" t="s">
        <v>39</v>
      </c>
      <c r="B136" s="22" t="s">
        <v>76</v>
      </c>
      <c r="C136" s="22" t="s">
        <v>78</v>
      </c>
      <c r="D136" s="22" t="s">
        <v>122</v>
      </c>
      <c r="E136" s="32" t="s">
        <v>608</v>
      </c>
      <c r="F136" s="24" t="s">
        <v>92</v>
      </c>
      <c r="G136" s="90">
        <f>40000</f>
        <v>40000</v>
      </c>
      <c r="H136" s="25"/>
      <c r="I136" s="26">
        <f t="shared" si="1"/>
        <v>40000</v>
      </c>
      <c r="J136" s="90"/>
    </row>
    <row r="137" spans="1:10" ht="42.75" customHeight="1">
      <c r="A137" s="137" t="s">
        <v>489</v>
      </c>
      <c r="B137" s="22" t="s">
        <v>76</v>
      </c>
      <c r="C137" s="22" t="s">
        <v>78</v>
      </c>
      <c r="D137" s="22" t="s">
        <v>122</v>
      </c>
      <c r="E137" s="36" t="s">
        <v>490</v>
      </c>
      <c r="F137" s="24"/>
      <c r="G137" s="90">
        <f>G138+G142</f>
        <v>91100</v>
      </c>
      <c r="H137" s="25"/>
      <c r="I137" s="26">
        <f t="shared" si="1"/>
        <v>91100</v>
      </c>
      <c r="J137" s="90">
        <f>J138+J142</f>
        <v>91082.62</v>
      </c>
    </row>
    <row r="138" spans="1:10" ht="44.25" customHeight="1" hidden="1">
      <c r="A138" s="111" t="s">
        <v>491</v>
      </c>
      <c r="B138" s="22" t="s">
        <v>76</v>
      </c>
      <c r="C138" s="22" t="s">
        <v>78</v>
      </c>
      <c r="D138" s="22" t="s">
        <v>122</v>
      </c>
      <c r="E138" s="36" t="s">
        <v>492</v>
      </c>
      <c r="F138" s="24"/>
      <c r="G138" s="90">
        <f>G139</f>
        <v>0</v>
      </c>
      <c r="H138" s="25"/>
      <c r="I138" s="26">
        <f t="shared" si="1"/>
        <v>0</v>
      </c>
      <c r="J138" s="90">
        <f>J139</f>
        <v>0</v>
      </c>
    </row>
    <row r="139" spans="1:10" ht="25.5" hidden="1">
      <c r="A139" s="112" t="s">
        <v>493</v>
      </c>
      <c r="B139" s="22" t="s">
        <v>76</v>
      </c>
      <c r="C139" s="22" t="s">
        <v>78</v>
      </c>
      <c r="D139" s="22" t="s">
        <v>122</v>
      </c>
      <c r="E139" s="36" t="s">
        <v>494</v>
      </c>
      <c r="F139" s="24"/>
      <c r="G139" s="90">
        <f>G140</f>
        <v>0</v>
      </c>
      <c r="H139" s="25"/>
      <c r="I139" s="26">
        <f t="shared" si="1"/>
        <v>0</v>
      </c>
      <c r="J139" s="90">
        <f>J140</f>
        <v>0</v>
      </c>
    </row>
    <row r="140" spans="1:10" ht="26.25" hidden="1">
      <c r="A140" s="28" t="s">
        <v>515</v>
      </c>
      <c r="B140" s="22" t="s">
        <v>76</v>
      </c>
      <c r="C140" s="22" t="s">
        <v>78</v>
      </c>
      <c r="D140" s="22" t="s">
        <v>122</v>
      </c>
      <c r="E140" s="36" t="s">
        <v>516</v>
      </c>
      <c r="F140" s="24"/>
      <c r="G140" s="90">
        <f>G141</f>
        <v>0</v>
      </c>
      <c r="H140" s="25"/>
      <c r="I140" s="26">
        <f t="shared" si="1"/>
        <v>0</v>
      </c>
      <c r="J140" s="90">
        <f>J141</f>
        <v>0</v>
      </c>
    </row>
    <row r="141" spans="1:10" ht="26.25" hidden="1">
      <c r="A141" s="28" t="s">
        <v>39</v>
      </c>
      <c r="B141" s="22" t="s">
        <v>76</v>
      </c>
      <c r="C141" s="22" t="s">
        <v>78</v>
      </c>
      <c r="D141" s="22" t="s">
        <v>122</v>
      </c>
      <c r="E141" s="36" t="s">
        <v>516</v>
      </c>
      <c r="F141" s="24" t="s">
        <v>92</v>
      </c>
      <c r="G141" s="90"/>
      <c r="H141" s="25"/>
      <c r="I141" s="26">
        <f t="shared" si="1"/>
        <v>0</v>
      </c>
      <c r="J141" s="90"/>
    </row>
    <row r="142" spans="1:10" ht="63.75">
      <c r="A142" s="111" t="s">
        <v>495</v>
      </c>
      <c r="B142" s="22" t="s">
        <v>76</v>
      </c>
      <c r="C142" s="22" t="s">
        <v>78</v>
      </c>
      <c r="D142" s="22" t="s">
        <v>122</v>
      </c>
      <c r="E142" s="36" t="s">
        <v>496</v>
      </c>
      <c r="F142" s="24"/>
      <c r="G142" s="90">
        <f>G143</f>
        <v>91100</v>
      </c>
      <c r="H142" s="25"/>
      <c r="I142" s="26">
        <f t="shared" si="1"/>
        <v>91100</v>
      </c>
      <c r="J142" s="90">
        <f>J143</f>
        <v>91082.62</v>
      </c>
    </row>
    <row r="143" spans="1:10" ht="15">
      <c r="A143" s="112" t="s">
        <v>497</v>
      </c>
      <c r="B143" s="22" t="s">
        <v>76</v>
      </c>
      <c r="C143" s="22" t="s">
        <v>78</v>
      </c>
      <c r="D143" s="22" t="s">
        <v>122</v>
      </c>
      <c r="E143" s="36" t="s">
        <v>498</v>
      </c>
      <c r="F143" s="24"/>
      <c r="G143" s="90">
        <f>G144</f>
        <v>91100</v>
      </c>
      <c r="H143" s="25"/>
      <c r="I143" s="26">
        <f t="shared" si="1"/>
        <v>91100</v>
      </c>
      <c r="J143" s="90">
        <f>J144</f>
        <v>91082.62</v>
      </c>
    </row>
    <row r="144" spans="1:10" ht="23.25" customHeight="1">
      <c r="A144" s="112" t="s">
        <v>129</v>
      </c>
      <c r="B144" s="22" t="s">
        <v>76</v>
      </c>
      <c r="C144" s="22" t="s">
        <v>78</v>
      </c>
      <c r="D144" s="22" t="s">
        <v>122</v>
      </c>
      <c r="E144" s="36" t="s">
        <v>525</v>
      </c>
      <c r="F144" s="24"/>
      <c r="G144" s="90">
        <f>G145</f>
        <v>91100</v>
      </c>
      <c r="H144" s="25"/>
      <c r="I144" s="26">
        <f t="shared" si="1"/>
        <v>91100</v>
      </c>
      <c r="J144" s="90">
        <f>J145</f>
        <v>91082.62</v>
      </c>
    </row>
    <row r="145" spans="1:10" ht="30" customHeight="1">
      <c r="A145" s="28" t="s">
        <v>39</v>
      </c>
      <c r="B145" s="22" t="s">
        <v>76</v>
      </c>
      <c r="C145" s="22" t="s">
        <v>78</v>
      </c>
      <c r="D145" s="22" t="s">
        <v>122</v>
      </c>
      <c r="E145" s="36" t="s">
        <v>525</v>
      </c>
      <c r="F145" s="24" t="s">
        <v>92</v>
      </c>
      <c r="G145" s="90">
        <f>150000-58900</f>
        <v>91100</v>
      </c>
      <c r="H145" s="78"/>
      <c r="I145" s="26">
        <f t="shared" si="1"/>
        <v>91100</v>
      </c>
      <c r="J145" s="90">
        <v>91082.62</v>
      </c>
    </row>
    <row r="146" spans="1:10" ht="46.5" customHeight="1">
      <c r="A146" s="28" t="s">
        <v>548</v>
      </c>
      <c r="B146" s="22" t="s">
        <v>76</v>
      </c>
      <c r="C146" s="22" t="s">
        <v>78</v>
      </c>
      <c r="D146" s="22" t="s">
        <v>122</v>
      </c>
      <c r="E146" s="36" t="s">
        <v>146</v>
      </c>
      <c r="F146" s="35"/>
      <c r="G146" s="90">
        <f>G147</f>
        <v>1559394</v>
      </c>
      <c r="H146" s="25"/>
      <c r="I146" s="26">
        <f t="shared" si="1"/>
        <v>1559394</v>
      </c>
      <c r="J146" s="90">
        <f>J147</f>
        <v>1559394</v>
      </c>
    </row>
    <row r="147" spans="1:10" ht="57.75" customHeight="1">
      <c r="A147" s="55" t="s">
        <v>547</v>
      </c>
      <c r="B147" s="22" t="s">
        <v>76</v>
      </c>
      <c r="C147" s="43" t="s">
        <v>78</v>
      </c>
      <c r="D147" s="43" t="s">
        <v>122</v>
      </c>
      <c r="E147" s="61" t="s">
        <v>147</v>
      </c>
      <c r="F147" s="62"/>
      <c r="G147" s="94">
        <f>G149</f>
        <v>1559394</v>
      </c>
      <c r="H147" s="25"/>
      <c r="I147" s="26">
        <f t="shared" si="1"/>
        <v>1559394</v>
      </c>
      <c r="J147" s="94">
        <f>J149</f>
        <v>1559394</v>
      </c>
    </row>
    <row r="148" spans="1:10" ht="62.25" customHeight="1">
      <c r="A148" s="148" t="s">
        <v>402</v>
      </c>
      <c r="B148" s="22" t="s">
        <v>76</v>
      </c>
      <c r="C148" s="22" t="s">
        <v>78</v>
      </c>
      <c r="D148" s="22" t="s">
        <v>122</v>
      </c>
      <c r="E148" s="36" t="s">
        <v>148</v>
      </c>
      <c r="F148" s="35"/>
      <c r="G148" s="90">
        <f>G149</f>
        <v>1559394</v>
      </c>
      <c r="H148" s="25"/>
      <c r="I148" s="26">
        <f t="shared" si="1"/>
        <v>1559394</v>
      </c>
      <c r="J148" s="90">
        <f>J149</f>
        <v>1559394</v>
      </c>
    </row>
    <row r="149" spans="1:10" ht="87" customHeight="1">
      <c r="A149" s="27" t="s">
        <v>606</v>
      </c>
      <c r="B149" s="22" t="s">
        <v>76</v>
      </c>
      <c r="C149" s="22" t="s">
        <v>78</v>
      </c>
      <c r="D149" s="22" t="s">
        <v>122</v>
      </c>
      <c r="E149" s="36" t="s">
        <v>149</v>
      </c>
      <c r="F149" s="35"/>
      <c r="G149" s="90">
        <f>G150+G151</f>
        <v>1559394</v>
      </c>
      <c r="H149" s="25"/>
      <c r="I149" s="26">
        <f t="shared" si="1"/>
        <v>1559394</v>
      </c>
      <c r="J149" s="90">
        <f>J150+J151</f>
        <v>1559394</v>
      </c>
    </row>
    <row r="150" spans="1:10" ht="41.25" customHeight="1">
      <c r="A150" s="28" t="s">
        <v>84</v>
      </c>
      <c r="B150" s="22" t="s">
        <v>76</v>
      </c>
      <c r="C150" s="22" t="s">
        <v>78</v>
      </c>
      <c r="D150" s="22" t="s">
        <v>122</v>
      </c>
      <c r="E150" s="36" t="s">
        <v>149</v>
      </c>
      <c r="F150" s="35" t="s">
        <v>85</v>
      </c>
      <c r="G150" s="90">
        <f>833562.95-105780.95+15898+4800.09+54572.05+20852.22-0.9</f>
        <v>823903.46</v>
      </c>
      <c r="H150" s="78"/>
      <c r="I150" s="26">
        <f t="shared" si="1"/>
        <v>823903.46</v>
      </c>
      <c r="J150" s="90">
        <v>823903.46</v>
      </c>
    </row>
    <row r="151" spans="1:10" ht="30.75" customHeight="1">
      <c r="A151" s="28" t="s">
        <v>39</v>
      </c>
      <c r="B151" s="22" t="s">
        <v>76</v>
      </c>
      <c r="C151" s="22" t="s">
        <v>78</v>
      </c>
      <c r="D151" s="22" t="s">
        <v>122</v>
      </c>
      <c r="E151" s="36" t="s">
        <v>149</v>
      </c>
      <c r="F151" s="35" t="s">
        <v>92</v>
      </c>
      <c r="G151" s="90">
        <f>1345431.05+105780.95+312800-6117.04-14581.05-75424.27-932399.1</f>
        <v>735490.5399999999</v>
      </c>
      <c r="H151" s="78"/>
      <c r="I151" s="26">
        <f t="shared" si="1"/>
        <v>735490.5399999999</v>
      </c>
      <c r="J151" s="90">
        <v>735490.54</v>
      </c>
    </row>
    <row r="152" spans="1:10" ht="26.25">
      <c r="A152" s="28" t="s">
        <v>127</v>
      </c>
      <c r="B152" s="22" t="s">
        <v>76</v>
      </c>
      <c r="C152" s="22" t="s">
        <v>78</v>
      </c>
      <c r="D152" s="22" t="s">
        <v>122</v>
      </c>
      <c r="E152" s="23" t="s">
        <v>22</v>
      </c>
      <c r="F152" s="35"/>
      <c r="G152" s="90">
        <f>G153</f>
        <v>3761548.74</v>
      </c>
      <c r="H152" s="25"/>
      <c r="I152" s="26">
        <f t="shared" si="1"/>
        <v>3761548.74</v>
      </c>
      <c r="J152" s="90">
        <f>J153</f>
        <v>3647470.88</v>
      </c>
    </row>
    <row r="153" spans="1:10" ht="21.75" customHeight="1">
      <c r="A153" s="28" t="s">
        <v>128</v>
      </c>
      <c r="B153" s="22" t="s">
        <v>76</v>
      </c>
      <c r="C153" s="22" t="s">
        <v>78</v>
      </c>
      <c r="D153" s="22" t="s">
        <v>122</v>
      </c>
      <c r="E153" s="23" t="s">
        <v>23</v>
      </c>
      <c r="F153" s="35"/>
      <c r="G153" s="90">
        <f>G154</f>
        <v>3761548.74</v>
      </c>
      <c r="H153" s="25"/>
      <c r="I153" s="26">
        <f t="shared" si="1"/>
        <v>3761548.74</v>
      </c>
      <c r="J153" s="90">
        <f>J154</f>
        <v>3647470.88</v>
      </c>
    </row>
    <row r="154" spans="1:10" ht="23.25" customHeight="1">
      <c r="A154" s="21" t="s">
        <v>129</v>
      </c>
      <c r="B154" s="22" t="s">
        <v>76</v>
      </c>
      <c r="C154" s="22" t="s">
        <v>78</v>
      </c>
      <c r="D154" s="22" t="s">
        <v>122</v>
      </c>
      <c r="E154" s="23" t="s">
        <v>24</v>
      </c>
      <c r="F154" s="35"/>
      <c r="G154" s="90">
        <f>G155+G156</f>
        <v>3761548.74</v>
      </c>
      <c r="H154" s="25"/>
      <c r="I154" s="26">
        <f t="shared" si="1"/>
        <v>3761548.74</v>
      </c>
      <c r="J154" s="90">
        <f>J155+J156</f>
        <v>3647470.88</v>
      </c>
    </row>
    <row r="155" spans="1:10" ht="30" customHeight="1">
      <c r="A155" s="28" t="s">
        <v>39</v>
      </c>
      <c r="B155" s="22" t="s">
        <v>76</v>
      </c>
      <c r="C155" s="22" t="s">
        <v>78</v>
      </c>
      <c r="D155" s="22" t="s">
        <v>122</v>
      </c>
      <c r="E155" s="23" t="s">
        <v>24</v>
      </c>
      <c r="F155" s="35" t="s">
        <v>92</v>
      </c>
      <c r="G155" s="90">
        <f>3587866.74+40000-60000</f>
        <v>3567866.74</v>
      </c>
      <c r="H155" s="78"/>
      <c r="I155" s="26">
        <f t="shared" si="1"/>
        <v>3567866.74</v>
      </c>
      <c r="J155" s="90">
        <v>3526872.38</v>
      </c>
    </row>
    <row r="156" spans="1:10" ht="17.25" customHeight="1">
      <c r="A156" s="30" t="s">
        <v>93</v>
      </c>
      <c r="B156" s="22" t="s">
        <v>76</v>
      </c>
      <c r="C156" s="22" t="s">
        <v>78</v>
      </c>
      <c r="D156" s="22" t="s">
        <v>122</v>
      </c>
      <c r="E156" s="23" t="s">
        <v>24</v>
      </c>
      <c r="F156" s="35" t="s">
        <v>94</v>
      </c>
      <c r="G156" s="90">
        <f>306472.26+143682+564110.81-137600+25000-700000-1119-4710-2154.07</f>
        <v>193682.00000000006</v>
      </c>
      <c r="H156" s="78"/>
      <c r="I156" s="26">
        <f t="shared" si="1"/>
        <v>193682.00000000006</v>
      </c>
      <c r="J156" s="90">
        <v>120598.5</v>
      </c>
    </row>
    <row r="157" spans="1:10" ht="20.25" customHeight="1">
      <c r="A157" s="21" t="s">
        <v>106</v>
      </c>
      <c r="B157" s="22" t="s">
        <v>76</v>
      </c>
      <c r="C157" s="37" t="s">
        <v>78</v>
      </c>
      <c r="D157" s="22" t="s">
        <v>122</v>
      </c>
      <c r="E157" s="32" t="s">
        <v>368</v>
      </c>
      <c r="F157" s="29"/>
      <c r="G157" s="90">
        <f>G158</f>
        <v>9887335.56</v>
      </c>
      <c r="H157" s="78"/>
      <c r="I157" s="26">
        <f t="shared" si="1"/>
        <v>9887335.56</v>
      </c>
      <c r="J157" s="90">
        <f>J158</f>
        <v>9574974.290000001</v>
      </c>
    </row>
    <row r="158" spans="1:10" ht="18.75" customHeight="1">
      <c r="A158" s="21" t="s">
        <v>107</v>
      </c>
      <c r="B158" s="22" t="s">
        <v>76</v>
      </c>
      <c r="C158" s="22" t="s">
        <v>78</v>
      </c>
      <c r="D158" s="22" t="s">
        <v>122</v>
      </c>
      <c r="E158" s="22" t="s">
        <v>369</v>
      </c>
      <c r="F158" s="24"/>
      <c r="G158" s="90">
        <f>G159+G163+G165</f>
        <v>9887335.56</v>
      </c>
      <c r="H158" s="78"/>
      <c r="I158" s="26">
        <f t="shared" si="1"/>
        <v>9887335.56</v>
      </c>
      <c r="J158" s="90">
        <f>J159+J163+J165</f>
        <v>9574974.290000001</v>
      </c>
    </row>
    <row r="159" spans="1:10" ht="30" customHeight="1">
      <c r="A159" s="30" t="s">
        <v>130</v>
      </c>
      <c r="B159" s="22" t="s">
        <v>76</v>
      </c>
      <c r="C159" s="22" t="s">
        <v>78</v>
      </c>
      <c r="D159" s="22" t="s">
        <v>122</v>
      </c>
      <c r="E159" s="22" t="s">
        <v>380</v>
      </c>
      <c r="F159" s="24"/>
      <c r="G159" s="90">
        <f>G160+G161+G162</f>
        <v>9512015.56</v>
      </c>
      <c r="H159" s="78"/>
      <c r="I159" s="26">
        <f t="shared" si="1"/>
        <v>9512015.56</v>
      </c>
      <c r="J159" s="90">
        <f>J160+J161+J162</f>
        <v>9199654.290000001</v>
      </c>
    </row>
    <row r="160" spans="1:10" ht="42" customHeight="1">
      <c r="A160" s="28" t="s">
        <v>84</v>
      </c>
      <c r="B160" s="22" t="s">
        <v>76</v>
      </c>
      <c r="C160" s="22" t="s">
        <v>78</v>
      </c>
      <c r="D160" s="22" t="s">
        <v>122</v>
      </c>
      <c r="E160" s="22" t="s">
        <v>380</v>
      </c>
      <c r="F160" s="29" t="s">
        <v>85</v>
      </c>
      <c r="G160" s="90">
        <f>3760400+1135600+6300+287700+202100+434900</f>
        <v>5827000</v>
      </c>
      <c r="H160" s="78"/>
      <c r="I160" s="26">
        <f t="shared" si="1"/>
        <v>5827000</v>
      </c>
      <c r="J160" s="90">
        <v>5820319.4</v>
      </c>
    </row>
    <row r="161" spans="1:10" ht="30" customHeight="1">
      <c r="A161" s="28" t="s">
        <v>39</v>
      </c>
      <c r="B161" s="22" t="s">
        <v>76</v>
      </c>
      <c r="C161" s="22" t="s">
        <v>78</v>
      </c>
      <c r="D161" s="22" t="s">
        <v>122</v>
      </c>
      <c r="E161" s="22" t="s">
        <v>380</v>
      </c>
      <c r="F161" s="29" t="s">
        <v>92</v>
      </c>
      <c r="G161" s="90">
        <f>996500+225400+1141300+92000+100000+760000+44485+52900-3138.44-18000+235000</f>
        <v>3626446.56</v>
      </c>
      <c r="H161" s="78"/>
      <c r="I161" s="26">
        <f t="shared" si="1"/>
        <v>3626446.56</v>
      </c>
      <c r="J161" s="90">
        <v>3328963.39</v>
      </c>
    </row>
    <row r="162" spans="1:10" ht="21.75" customHeight="1">
      <c r="A162" s="30" t="s">
        <v>93</v>
      </c>
      <c r="B162" s="22" t="s">
        <v>76</v>
      </c>
      <c r="C162" s="22" t="s">
        <v>78</v>
      </c>
      <c r="D162" s="22" t="s">
        <v>122</v>
      </c>
      <c r="E162" s="22" t="s">
        <v>380</v>
      </c>
      <c r="F162" s="29" t="s">
        <v>94</v>
      </c>
      <c r="G162" s="90">
        <f>20775+6828+30966</f>
        <v>58569</v>
      </c>
      <c r="H162" s="78"/>
      <c r="I162" s="26">
        <f t="shared" si="1"/>
        <v>58569</v>
      </c>
      <c r="J162" s="90">
        <v>50371.5</v>
      </c>
    </row>
    <row r="163" spans="1:10" ht="21" customHeight="1">
      <c r="A163" s="135" t="s">
        <v>131</v>
      </c>
      <c r="B163" s="22" t="s">
        <v>76</v>
      </c>
      <c r="C163" s="22" t="s">
        <v>78</v>
      </c>
      <c r="D163" s="22" t="s">
        <v>122</v>
      </c>
      <c r="E163" s="22" t="s">
        <v>381</v>
      </c>
      <c r="F163" s="29"/>
      <c r="G163" s="90">
        <f>G164</f>
        <v>200000</v>
      </c>
      <c r="H163" s="25"/>
      <c r="I163" s="26">
        <f t="shared" si="1"/>
        <v>200000</v>
      </c>
      <c r="J163" s="90">
        <f>J164</f>
        <v>200000</v>
      </c>
    </row>
    <row r="164" spans="1:10" ht="30" customHeight="1">
      <c r="A164" s="28" t="s">
        <v>39</v>
      </c>
      <c r="B164" s="22" t="s">
        <v>76</v>
      </c>
      <c r="C164" s="22" t="s">
        <v>78</v>
      </c>
      <c r="D164" s="22" t="s">
        <v>122</v>
      </c>
      <c r="E164" s="22" t="s">
        <v>381</v>
      </c>
      <c r="F164" s="29" t="s">
        <v>92</v>
      </c>
      <c r="G164" s="90">
        <f>100000+100000</f>
        <v>200000</v>
      </c>
      <c r="H164" s="78"/>
      <c r="I164" s="26">
        <f t="shared" si="1"/>
        <v>200000</v>
      </c>
      <c r="J164" s="90">
        <f>100000+100000</f>
        <v>200000</v>
      </c>
    </row>
    <row r="165" spans="1:10" ht="30" customHeight="1">
      <c r="A165" s="28" t="s">
        <v>382</v>
      </c>
      <c r="B165" s="22" t="s">
        <v>76</v>
      </c>
      <c r="C165" s="22" t="s">
        <v>78</v>
      </c>
      <c r="D165" s="22" t="s">
        <v>122</v>
      </c>
      <c r="E165" s="22" t="s">
        <v>383</v>
      </c>
      <c r="F165" s="29"/>
      <c r="G165" s="90">
        <f>G166</f>
        <v>175320</v>
      </c>
      <c r="H165" s="25"/>
      <c r="I165" s="26">
        <f t="shared" si="1"/>
        <v>175320</v>
      </c>
      <c r="J165" s="90">
        <f>J166</f>
        <v>175320</v>
      </c>
    </row>
    <row r="166" spans="1:10" ht="17.25" customHeight="1">
      <c r="A166" s="28" t="s">
        <v>132</v>
      </c>
      <c r="B166" s="22" t="s">
        <v>76</v>
      </c>
      <c r="C166" s="22" t="s">
        <v>78</v>
      </c>
      <c r="D166" s="22" t="s">
        <v>122</v>
      </c>
      <c r="E166" s="22" t="s">
        <v>383</v>
      </c>
      <c r="F166" s="29" t="s">
        <v>133</v>
      </c>
      <c r="G166" s="90">
        <f>175320</f>
        <v>175320</v>
      </c>
      <c r="H166" s="78"/>
      <c r="I166" s="26">
        <f t="shared" si="1"/>
        <v>175320</v>
      </c>
      <c r="J166" s="90">
        <f>175320</f>
        <v>175320</v>
      </c>
    </row>
    <row r="167" spans="1:10" ht="15">
      <c r="A167" s="21" t="s">
        <v>134</v>
      </c>
      <c r="B167" s="22" t="s">
        <v>76</v>
      </c>
      <c r="C167" s="37" t="s">
        <v>78</v>
      </c>
      <c r="D167" s="22" t="s">
        <v>122</v>
      </c>
      <c r="E167" s="32" t="s">
        <v>384</v>
      </c>
      <c r="F167" s="29"/>
      <c r="G167" s="90">
        <f>G168</f>
        <v>30000</v>
      </c>
      <c r="H167" s="25"/>
      <c r="I167" s="26">
        <f t="shared" si="1"/>
        <v>30000</v>
      </c>
      <c r="J167" s="90">
        <f>J168</f>
        <v>30000</v>
      </c>
    </row>
    <row r="168" spans="1:10" ht="15">
      <c r="A168" s="28" t="s">
        <v>116</v>
      </c>
      <c r="B168" s="22" t="s">
        <v>76</v>
      </c>
      <c r="C168" s="37" t="s">
        <v>78</v>
      </c>
      <c r="D168" s="22" t="s">
        <v>122</v>
      </c>
      <c r="E168" s="32" t="s">
        <v>385</v>
      </c>
      <c r="F168" s="29"/>
      <c r="G168" s="90">
        <f>G169</f>
        <v>30000</v>
      </c>
      <c r="H168" s="25"/>
      <c r="I168" s="26">
        <f t="shared" si="1"/>
        <v>30000</v>
      </c>
      <c r="J168" s="90">
        <f>J169</f>
        <v>30000</v>
      </c>
    </row>
    <row r="169" spans="1:10" ht="15">
      <c r="A169" s="28" t="s">
        <v>135</v>
      </c>
      <c r="B169" s="22" t="s">
        <v>76</v>
      </c>
      <c r="C169" s="37" t="s">
        <v>78</v>
      </c>
      <c r="D169" s="22" t="s">
        <v>122</v>
      </c>
      <c r="E169" s="32" t="s">
        <v>386</v>
      </c>
      <c r="F169" s="29"/>
      <c r="G169" s="90">
        <f>G170</f>
        <v>30000</v>
      </c>
      <c r="H169" s="25"/>
      <c r="I169" s="26">
        <f t="shared" si="1"/>
        <v>30000</v>
      </c>
      <c r="J169" s="90">
        <f>J170</f>
        <v>30000</v>
      </c>
    </row>
    <row r="170" spans="1:10" ht="15">
      <c r="A170" s="38" t="s">
        <v>136</v>
      </c>
      <c r="B170" s="22" t="s">
        <v>76</v>
      </c>
      <c r="C170" s="37" t="s">
        <v>78</v>
      </c>
      <c r="D170" s="22" t="s">
        <v>122</v>
      </c>
      <c r="E170" s="32" t="s">
        <v>386</v>
      </c>
      <c r="F170" s="29" t="s">
        <v>137</v>
      </c>
      <c r="G170" s="90">
        <f>20000+10000</f>
        <v>30000</v>
      </c>
      <c r="H170" s="25"/>
      <c r="I170" s="26">
        <f t="shared" si="1"/>
        <v>30000</v>
      </c>
      <c r="J170" s="90">
        <f>20000+10000</f>
        <v>30000</v>
      </c>
    </row>
    <row r="171" spans="1:10" ht="24" customHeight="1">
      <c r="A171" s="128" t="s">
        <v>534</v>
      </c>
      <c r="B171" s="22" t="s">
        <v>76</v>
      </c>
      <c r="C171" s="22" t="s">
        <v>87</v>
      </c>
      <c r="D171" s="22" t="s">
        <v>535</v>
      </c>
      <c r="E171" s="32"/>
      <c r="F171" s="29"/>
      <c r="G171" s="90">
        <f>G172</f>
        <v>48000</v>
      </c>
      <c r="H171" s="25"/>
      <c r="I171" s="26">
        <f t="shared" si="1"/>
        <v>48000</v>
      </c>
      <c r="J171" s="90">
        <f>J172</f>
        <v>48000</v>
      </c>
    </row>
    <row r="172" spans="1:10" ht="27.75" customHeight="1">
      <c r="A172" s="151" t="s">
        <v>501</v>
      </c>
      <c r="B172" s="22" t="s">
        <v>76</v>
      </c>
      <c r="C172" s="22" t="s">
        <v>87</v>
      </c>
      <c r="D172" s="22" t="s">
        <v>144</v>
      </c>
      <c r="E172" s="32"/>
      <c r="F172" s="29"/>
      <c r="G172" s="90">
        <f>G173</f>
        <v>48000</v>
      </c>
      <c r="H172" s="25"/>
      <c r="I172" s="26">
        <f t="shared" si="1"/>
        <v>48000</v>
      </c>
      <c r="J172" s="90">
        <f>J173</f>
        <v>48000</v>
      </c>
    </row>
    <row r="173" spans="1:10" ht="54.75" customHeight="1">
      <c r="A173" s="109" t="s">
        <v>499</v>
      </c>
      <c r="B173" s="22" t="s">
        <v>76</v>
      </c>
      <c r="C173" s="22" t="s">
        <v>87</v>
      </c>
      <c r="D173" s="22" t="s">
        <v>144</v>
      </c>
      <c r="E173" s="61" t="s">
        <v>502</v>
      </c>
      <c r="F173" s="29"/>
      <c r="G173" s="90">
        <f>G174</f>
        <v>48000</v>
      </c>
      <c r="H173" s="25"/>
      <c r="I173" s="26">
        <f t="shared" si="1"/>
        <v>48000</v>
      </c>
      <c r="J173" s="90">
        <f>J174</f>
        <v>48000</v>
      </c>
    </row>
    <row r="174" spans="1:10" ht="86.25" customHeight="1">
      <c r="A174" s="111" t="s">
        <v>500</v>
      </c>
      <c r="B174" s="22" t="s">
        <v>76</v>
      </c>
      <c r="C174" s="43" t="s">
        <v>87</v>
      </c>
      <c r="D174" s="43" t="s">
        <v>144</v>
      </c>
      <c r="E174" s="61" t="s">
        <v>503</v>
      </c>
      <c r="F174" s="57"/>
      <c r="G174" s="94">
        <f>G175+G178+G181+G184</f>
        <v>48000</v>
      </c>
      <c r="H174" s="25"/>
      <c r="I174" s="26">
        <f t="shared" si="1"/>
        <v>48000</v>
      </c>
      <c r="J174" s="94">
        <f>J175+J178+J181+J184</f>
        <v>48000</v>
      </c>
    </row>
    <row r="175" spans="1:10" ht="0.75" customHeight="1" hidden="1">
      <c r="A175" s="112" t="s">
        <v>504</v>
      </c>
      <c r="B175" s="22" t="s">
        <v>76</v>
      </c>
      <c r="C175" s="22" t="s">
        <v>87</v>
      </c>
      <c r="D175" s="22" t="s">
        <v>144</v>
      </c>
      <c r="E175" s="36" t="s">
        <v>505</v>
      </c>
      <c r="F175" s="29"/>
      <c r="G175" s="90">
        <f>G176</f>
        <v>0</v>
      </c>
      <c r="H175" s="25"/>
      <c r="I175" s="26">
        <f t="shared" si="1"/>
        <v>0</v>
      </c>
      <c r="J175" s="90">
        <f>J176</f>
        <v>0</v>
      </c>
    </row>
    <row r="176" spans="1:10" ht="39" customHeight="1" hidden="1">
      <c r="A176" s="28" t="s">
        <v>511</v>
      </c>
      <c r="B176" s="22" t="s">
        <v>76</v>
      </c>
      <c r="C176" s="22" t="s">
        <v>87</v>
      </c>
      <c r="D176" s="22" t="s">
        <v>144</v>
      </c>
      <c r="E176" s="36" t="s">
        <v>512</v>
      </c>
      <c r="F176" s="29"/>
      <c r="G176" s="90">
        <f>G177</f>
        <v>0</v>
      </c>
      <c r="H176" s="25"/>
      <c r="I176" s="26">
        <f t="shared" si="1"/>
        <v>0</v>
      </c>
      <c r="J176" s="90">
        <f>J177</f>
        <v>0</v>
      </c>
    </row>
    <row r="177" spans="1:10" ht="26.25" customHeight="1" hidden="1">
      <c r="A177" s="28" t="s">
        <v>39</v>
      </c>
      <c r="B177" s="22" t="s">
        <v>76</v>
      </c>
      <c r="C177" s="22" t="s">
        <v>87</v>
      </c>
      <c r="D177" s="22" t="s">
        <v>144</v>
      </c>
      <c r="E177" s="36" t="s">
        <v>512</v>
      </c>
      <c r="F177" s="29" t="s">
        <v>92</v>
      </c>
      <c r="G177" s="90"/>
      <c r="H177" s="25"/>
      <c r="I177" s="26">
        <f t="shared" si="1"/>
        <v>0</v>
      </c>
      <c r="J177" s="90"/>
    </row>
    <row r="178" spans="1:10" ht="60.75" customHeight="1">
      <c r="A178" s="112" t="s">
        <v>521</v>
      </c>
      <c r="B178" s="22" t="s">
        <v>76</v>
      </c>
      <c r="C178" s="22" t="s">
        <v>87</v>
      </c>
      <c r="D178" s="22" t="s">
        <v>144</v>
      </c>
      <c r="E178" s="36" t="s">
        <v>506</v>
      </c>
      <c r="F178" s="29"/>
      <c r="G178" s="90">
        <f>G179</f>
        <v>48000</v>
      </c>
      <c r="H178" s="25"/>
      <c r="I178" s="26">
        <f t="shared" si="1"/>
        <v>48000</v>
      </c>
      <c r="J178" s="90">
        <f>J179</f>
        <v>48000</v>
      </c>
    </row>
    <row r="179" spans="1:10" ht="43.5" customHeight="1">
      <c r="A179" s="28" t="s">
        <v>511</v>
      </c>
      <c r="B179" s="22" t="s">
        <v>76</v>
      </c>
      <c r="C179" s="22" t="s">
        <v>87</v>
      </c>
      <c r="D179" s="22" t="s">
        <v>144</v>
      </c>
      <c r="E179" s="36" t="s">
        <v>513</v>
      </c>
      <c r="F179" s="29"/>
      <c r="G179" s="90">
        <f>G180</f>
        <v>48000</v>
      </c>
      <c r="H179" s="25"/>
      <c r="I179" s="26">
        <f t="shared" si="1"/>
        <v>48000</v>
      </c>
      <c r="J179" s="90">
        <f>J180</f>
        <v>48000</v>
      </c>
    </row>
    <row r="180" spans="1:10" ht="33" customHeight="1">
      <c r="A180" s="28" t="s">
        <v>39</v>
      </c>
      <c r="B180" s="22" t="s">
        <v>76</v>
      </c>
      <c r="C180" s="22" t="s">
        <v>87</v>
      </c>
      <c r="D180" s="22" t="s">
        <v>144</v>
      </c>
      <c r="E180" s="36" t="s">
        <v>513</v>
      </c>
      <c r="F180" s="29" t="s">
        <v>92</v>
      </c>
      <c r="G180" s="90">
        <v>48000</v>
      </c>
      <c r="H180" s="78"/>
      <c r="I180" s="26">
        <f t="shared" si="1"/>
        <v>48000</v>
      </c>
      <c r="J180" s="90">
        <v>48000</v>
      </c>
    </row>
    <row r="181" spans="1:10" ht="28.5" customHeight="1" hidden="1">
      <c r="A181" s="112" t="s">
        <v>507</v>
      </c>
      <c r="B181" s="22" t="s">
        <v>76</v>
      </c>
      <c r="C181" s="22" t="s">
        <v>87</v>
      </c>
      <c r="D181" s="22" t="s">
        <v>144</v>
      </c>
      <c r="E181" s="36" t="s">
        <v>508</v>
      </c>
      <c r="F181" s="29"/>
      <c r="G181" s="90">
        <f>G182</f>
        <v>0</v>
      </c>
      <c r="H181" s="25"/>
      <c r="I181" s="26">
        <f t="shared" si="1"/>
        <v>0</v>
      </c>
      <c r="J181" s="90">
        <f>J182</f>
        <v>0</v>
      </c>
    </row>
    <row r="182" spans="1:10" ht="30" customHeight="1" hidden="1">
      <c r="A182" s="28" t="s">
        <v>511</v>
      </c>
      <c r="B182" s="22" t="s">
        <v>76</v>
      </c>
      <c r="C182" s="22" t="s">
        <v>87</v>
      </c>
      <c r="D182" s="22" t="s">
        <v>144</v>
      </c>
      <c r="E182" s="36" t="s">
        <v>514</v>
      </c>
      <c r="F182" s="29"/>
      <c r="G182" s="90">
        <f>G183</f>
        <v>0</v>
      </c>
      <c r="H182" s="25"/>
      <c r="I182" s="26">
        <f t="shared" si="1"/>
        <v>0</v>
      </c>
      <c r="J182" s="90">
        <f>J183</f>
        <v>0</v>
      </c>
    </row>
    <row r="183" spans="1:10" ht="15.75" customHeight="1" hidden="1">
      <c r="A183" s="28" t="s">
        <v>39</v>
      </c>
      <c r="B183" s="22" t="s">
        <v>76</v>
      </c>
      <c r="C183" s="22" t="s">
        <v>87</v>
      </c>
      <c r="D183" s="22" t="s">
        <v>144</v>
      </c>
      <c r="E183" s="36" t="s">
        <v>514</v>
      </c>
      <c r="F183" s="29" t="s">
        <v>92</v>
      </c>
      <c r="G183" s="90"/>
      <c r="H183" s="25"/>
      <c r="I183" s="26">
        <f t="shared" si="1"/>
        <v>0</v>
      </c>
      <c r="J183" s="90"/>
    </row>
    <row r="184" spans="1:10" ht="17.25" customHeight="1" hidden="1">
      <c r="A184" s="112" t="s">
        <v>509</v>
      </c>
      <c r="B184" s="22" t="s">
        <v>76</v>
      </c>
      <c r="C184" s="22" t="s">
        <v>87</v>
      </c>
      <c r="D184" s="22" t="s">
        <v>144</v>
      </c>
      <c r="E184" s="36" t="s">
        <v>510</v>
      </c>
      <c r="F184" s="29"/>
      <c r="G184" s="90">
        <f>G185</f>
        <v>0</v>
      </c>
      <c r="H184" s="25"/>
      <c r="I184" s="26">
        <f t="shared" si="1"/>
        <v>0</v>
      </c>
      <c r="J184" s="90">
        <f>J185</f>
        <v>0</v>
      </c>
    </row>
    <row r="185" spans="1:10" ht="39" hidden="1">
      <c r="A185" s="28" t="s">
        <v>511</v>
      </c>
      <c r="B185" s="22" t="s">
        <v>76</v>
      </c>
      <c r="C185" s="22" t="s">
        <v>87</v>
      </c>
      <c r="D185" s="22" t="s">
        <v>144</v>
      </c>
      <c r="E185" s="36" t="s">
        <v>517</v>
      </c>
      <c r="F185" s="29"/>
      <c r="G185" s="90">
        <f>G186</f>
        <v>0</v>
      </c>
      <c r="H185" s="25"/>
      <c r="I185" s="26">
        <f t="shared" si="1"/>
        <v>0</v>
      </c>
      <c r="J185" s="90">
        <f>J186</f>
        <v>0</v>
      </c>
    </row>
    <row r="186" spans="1:10" ht="44.25" customHeight="1" hidden="1">
      <c r="A186" s="28" t="s">
        <v>39</v>
      </c>
      <c r="B186" s="22" t="s">
        <v>76</v>
      </c>
      <c r="C186" s="22" t="s">
        <v>87</v>
      </c>
      <c r="D186" s="22" t="s">
        <v>144</v>
      </c>
      <c r="E186" s="36" t="s">
        <v>517</v>
      </c>
      <c r="F186" s="29" t="s">
        <v>92</v>
      </c>
      <c r="G186" s="90"/>
      <c r="H186" s="25"/>
      <c r="I186" s="26">
        <f t="shared" si="1"/>
        <v>0</v>
      </c>
      <c r="J186" s="90"/>
    </row>
    <row r="187" spans="1:13" ht="24.75" customHeight="1">
      <c r="A187" s="21" t="s">
        <v>138</v>
      </c>
      <c r="B187" s="22" t="s">
        <v>76</v>
      </c>
      <c r="C187" s="22" t="s">
        <v>97</v>
      </c>
      <c r="D187" s="22"/>
      <c r="E187" s="22"/>
      <c r="F187" s="24"/>
      <c r="G187" s="90">
        <f>G188+G194+G203</f>
        <v>7368554.71</v>
      </c>
      <c r="H187" s="25"/>
      <c r="I187" s="26">
        <f t="shared" si="1"/>
        <v>7368554.71</v>
      </c>
      <c r="J187" s="90">
        <f>J188+J194+J203</f>
        <v>6148090.4399999995</v>
      </c>
      <c r="K187" s="20"/>
      <c r="M187" s="20"/>
    </row>
    <row r="188" spans="1:10" ht="15">
      <c r="A188" s="21" t="s">
        <v>139</v>
      </c>
      <c r="B188" s="22" t="s">
        <v>76</v>
      </c>
      <c r="C188" s="22" t="s">
        <v>97</v>
      </c>
      <c r="D188" s="22" t="s">
        <v>140</v>
      </c>
      <c r="E188" s="22"/>
      <c r="F188" s="24"/>
      <c r="G188" s="90">
        <f>G189</f>
        <v>1100000</v>
      </c>
      <c r="H188" s="25"/>
      <c r="I188" s="26">
        <f t="shared" si="1"/>
        <v>1100000</v>
      </c>
      <c r="J188" s="90">
        <f>J189</f>
        <v>1100000</v>
      </c>
    </row>
    <row r="189" spans="1:10" ht="56.25" customHeight="1">
      <c r="A189" s="149" t="s">
        <v>565</v>
      </c>
      <c r="B189" s="22" t="s">
        <v>76</v>
      </c>
      <c r="C189" s="22" t="s">
        <v>97</v>
      </c>
      <c r="D189" s="22" t="s">
        <v>140</v>
      </c>
      <c r="E189" s="36" t="s">
        <v>339</v>
      </c>
      <c r="F189" s="24"/>
      <c r="G189" s="90">
        <f>G190</f>
        <v>1100000</v>
      </c>
      <c r="H189" s="25"/>
      <c r="I189" s="26">
        <f t="shared" si="1"/>
        <v>1100000</v>
      </c>
      <c r="J189" s="90">
        <f>J190</f>
        <v>1100000</v>
      </c>
    </row>
    <row r="190" spans="1:10" ht="73.5" customHeight="1">
      <c r="A190" s="104" t="s">
        <v>569</v>
      </c>
      <c r="B190" s="22" t="s">
        <v>76</v>
      </c>
      <c r="C190" s="43" t="s">
        <v>97</v>
      </c>
      <c r="D190" s="43" t="s">
        <v>140</v>
      </c>
      <c r="E190" s="61" t="s">
        <v>345</v>
      </c>
      <c r="F190" s="44"/>
      <c r="G190" s="94">
        <f>G191</f>
        <v>1100000</v>
      </c>
      <c r="H190" s="25"/>
      <c r="I190" s="26">
        <f t="shared" si="1"/>
        <v>1100000</v>
      </c>
      <c r="J190" s="94">
        <f>J191</f>
        <v>1100000</v>
      </c>
    </row>
    <row r="191" spans="1:10" ht="32.25" customHeight="1">
      <c r="A191" s="30" t="s">
        <v>475</v>
      </c>
      <c r="B191" s="22" t="s">
        <v>76</v>
      </c>
      <c r="C191" s="22" t="s">
        <v>97</v>
      </c>
      <c r="D191" s="22" t="s">
        <v>140</v>
      </c>
      <c r="E191" s="36" t="s">
        <v>346</v>
      </c>
      <c r="F191" s="24"/>
      <c r="G191" s="90">
        <f>G192</f>
        <v>1100000</v>
      </c>
      <c r="H191" s="25"/>
      <c r="I191" s="26">
        <f t="shared" si="1"/>
        <v>1100000</v>
      </c>
      <c r="J191" s="90">
        <f>J192</f>
        <v>1100000</v>
      </c>
    </row>
    <row r="192" spans="1:10" ht="15">
      <c r="A192" s="21" t="s">
        <v>142</v>
      </c>
      <c r="B192" s="22" t="s">
        <v>76</v>
      </c>
      <c r="C192" s="22" t="s">
        <v>97</v>
      </c>
      <c r="D192" s="22" t="s">
        <v>140</v>
      </c>
      <c r="E192" s="36" t="s">
        <v>347</v>
      </c>
      <c r="F192" s="24"/>
      <c r="G192" s="90">
        <f>G193</f>
        <v>1100000</v>
      </c>
      <c r="H192" s="25"/>
      <c r="I192" s="26">
        <f t="shared" si="1"/>
        <v>1100000</v>
      </c>
      <c r="J192" s="90">
        <f>J193</f>
        <v>1100000</v>
      </c>
    </row>
    <row r="193" spans="1:10" ht="15">
      <c r="A193" s="28" t="s">
        <v>93</v>
      </c>
      <c r="B193" s="22" t="s">
        <v>76</v>
      </c>
      <c r="C193" s="22" t="s">
        <v>97</v>
      </c>
      <c r="D193" s="22" t="s">
        <v>140</v>
      </c>
      <c r="E193" s="36" t="s">
        <v>347</v>
      </c>
      <c r="F193" s="24" t="s">
        <v>94</v>
      </c>
      <c r="G193" s="90">
        <f>600000+700000-200000</f>
        <v>1100000</v>
      </c>
      <c r="H193" s="78"/>
      <c r="I193" s="26">
        <f t="shared" si="1"/>
        <v>1100000</v>
      </c>
      <c r="J193" s="90">
        <f>600000+700000-200000</f>
        <v>1100000</v>
      </c>
    </row>
    <row r="194" spans="1:10" ht="15">
      <c r="A194" s="21" t="s">
        <v>143</v>
      </c>
      <c r="B194" s="22" t="s">
        <v>76</v>
      </c>
      <c r="C194" s="22" t="s">
        <v>97</v>
      </c>
      <c r="D194" s="22" t="s">
        <v>144</v>
      </c>
      <c r="E194" s="22"/>
      <c r="F194" s="24"/>
      <c r="G194" s="90">
        <f>G195</f>
        <v>5379544.71</v>
      </c>
      <c r="H194" s="25"/>
      <c r="I194" s="26">
        <f t="shared" si="1"/>
        <v>5379544.71</v>
      </c>
      <c r="J194" s="90">
        <f>J195</f>
        <v>4362993.92</v>
      </c>
    </row>
    <row r="195" spans="1:10" ht="57" customHeight="1">
      <c r="A195" s="149" t="s">
        <v>565</v>
      </c>
      <c r="B195" s="22" t="s">
        <v>76</v>
      </c>
      <c r="C195" s="22" t="s">
        <v>97</v>
      </c>
      <c r="D195" s="22" t="s">
        <v>144</v>
      </c>
      <c r="E195" s="36" t="s">
        <v>339</v>
      </c>
      <c r="F195" s="24"/>
      <c r="G195" s="90">
        <f>G196</f>
        <v>5379544.71</v>
      </c>
      <c r="H195" s="25"/>
      <c r="I195" s="26">
        <f t="shared" si="1"/>
        <v>5379544.71</v>
      </c>
      <c r="J195" s="90">
        <f>J196</f>
        <v>4362993.92</v>
      </c>
    </row>
    <row r="196" spans="1:10" ht="72.75" customHeight="1">
      <c r="A196" s="60" t="s">
        <v>570</v>
      </c>
      <c r="B196" s="22" t="s">
        <v>76</v>
      </c>
      <c r="C196" s="43" t="s">
        <v>97</v>
      </c>
      <c r="D196" s="43" t="s">
        <v>144</v>
      </c>
      <c r="E196" s="61" t="s">
        <v>340</v>
      </c>
      <c r="F196" s="44"/>
      <c r="G196" s="94">
        <f>G197+G200</f>
        <v>5379544.71</v>
      </c>
      <c r="H196" s="25"/>
      <c r="I196" s="26">
        <f t="shared" si="1"/>
        <v>5379544.71</v>
      </c>
      <c r="J196" s="94">
        <f>J197+J200</f>
        <v>4362993.92</v>
      </c>
    </row>
    <row r="197" spans="1:10" ht="28.5" customHeight="1">
      <c r="A197" s="30" t="s">
        <v>342</v>
      </c>
      <c r="B197" s="22" t="s">
        <v>76</v>
      </c>
      <c r="C197" s="22" t="s">
        <v>97</v>
      </c>
      <c r="D197" s="22" t="s">
        <v>144</v>
      </c>
      <c r="E197" s="36" t="s">
        <v>341</v>
      </c>
      <c r="F197" s="24"/>
      <c r="G197" s="90">
        <f>G198</f>
        <v>1200000</v>
      </c>
      <c r="H197" s="25"/>
      <c r="I197" s="26">
        <f t="shared" si="1"/>
        <v>1200000</v>
      </c>
      <c r="J197" s="90">
        <f>J198</f>
        <v>1117245</v>
      </c>
    </row>
    <row r="198" spans="1:10" ht="26.25">
      <c r="A198" s="28" t="s">
        <v>484</v>
      </c>
      <c r="B198" s="22" t="s">
        <v>76</v>
      </c>
      <c r="C198" s="22" t="s">
        <v>97</v>
      </c>
      <c r="D198" s="22" t="s">
        <v>144</v>
      </c>
      <c r="E198" s="36" t="s">
        <v>485</v>
      </c>
      <c r="F198" s="24"/>
      <c r="G198" s="90">
        <f>G199</f>
        <v>1200000</v>
      </c>
      <c r="H198" s="25"/>
      <c r="I198" s="26">
        <f t="shared" si="1"/>
        <v>1200000</v>
      </c>
      <c r="J198" s="90">
        <f>J199</f>
        <v>1117245</v>
      </c>
    </row>
    <row r="199" spans="1:10" ht="15">
      <c r="A199" s="28" t="s">
        <v>91</v>
      </c>
      <c r="B199" s="22" t="s">
        <v>76</v>
      </c>
      <c r="C199" s="22" t="s">
        <v>97</v>
      </c>
      <c r="D199" s="22" t="s">
        <v>144</v>
      </c>
      <c r="E199" s="36" t="s">
        <v>485</v>
      </c>
      <c r="F199" s="24" t="s">
        <v>92</v>
      </c>
      <c r="G199" s="90">
        <v>1200000</v>
      </c>
      <c r="H199" s="25"/>
      <c r="I199" s="26">
        <f t="shared" si="1"/>
        <v>1200000</v>
      </c>
      <c r="J199" s="90">
        <v>1117245</v>
      </c>
    </row>
    <row r="200" spans="1:10" ht="25.5">
      <c r="A200" s="30" t="s">
        <v>343</v>
      </c>
      <c r="B200" s="22" t="s">
        <v>76</v>
      </c>
      <c r="C200" s="22" t="s">
        <v>97</v>
      </c>
      <c r="D200" s="22" t="s">
        <v>144</v>
      </c>
      <c r="E200" s="36" t="s">
        <v>344</v>
      </c>
      <c r="F200" s="24"/>
      <c r="G200" s="90">
        <f>G201</f>
        <v>4179544.71</v>
      </c>
      <c r="H200" s="25"/>
      <c r="I200" s="26">
        <f t="shared" si="1"/>
        <v>4179544.71</v>
      </c>
      <c r="J200" s="90">
        <f>J201</f>
        <v>3245748.92</v>
      </c>
    </row>
    <row r="201" spans="1:10" ht="26.25">
      <c r="A201" s="28" t="s">
        <v>528</v>
      </c>
      <c r="B201" s="22" t="s">
        <v>76</v>
      </c>
      <c r="C201" s="22" t="s">
        <v>97</v>
      </c>
      <c r="D201" s="22" t="s">
        <v>144</v>
      </c>
      <c r="E201" s="36" t="s">
        <v>526</v>
      </c>
      <c r="F201" s="24"/>
      <c r="G201" s="90">
        <f>G202</f>
        <v>4179544.71</v>
      </c>
      <c r="H201" s="25"/>
      <c r="I201" s="26">
        <f t="shared" si="1"/>
        <v>4179544.71</v>
      </c>
      <c r="J201" s="90">
        <f>J202</f>
        <v>3245748.92</v>
      </c>
    </row>
    <row r="202" spans="1:10" ht="30">
      <c r="A202" s="103" t="s">
        <v>530</v>
      </c>
      <c r="B202" s="22" t="s">
        <v>76</v>
      </c>
      <c r="C202" s="22" t="s">
        <v>97</v>
      </c>
      <c r="D202" s="22" t="s">
        <v>144</v>
      </c>
      <c r="E202" s="36" t="s">
        <v>526</v>
      </c>
      <c r="F202" s="24" t="s">
        <v>529</v>
      </c>
      <c r="G202" s="90">
        <f>4662790+716754.71-1200000</f>
        <v>4179544.71</v>
      </c>
      <c r="H202" s="25"/>
      <c r="I202" s="26">
        <f t="shared" si="1"/>
        <v>4179544.71</v>
      </c>
      <c r="J202" s="90">
        <v>3245748.92</v>
      </c>
    </row>
    <row r="203" spans="1:10" ht="20.25" customHeight="1">
      <c r="A203" s="21" t="s">
        <v>151</v>
      </c>
      <c r="B203" s="22" t="s">
        <v>76</v>
      </c>
      <c r="C203" s="22" t="s">
        <v>97</v>
      </c>
      <c r="D203" s="22" t="s">
        <v>152</v>
      </c>
      <c r="E203" s="22"/>
      <c r="F203" s="24"/>
      <c r="G203" s="90">
        <f>G204+G216+G225+G211</f>
        <v>889010</v>
      </c>
      <c r="H203" s="25"/>
      <c r="I203" s="26">
        <f t="shared" si="1"/>
        <v>889010</v>
      </c>
      <c r="J203" s="90">
        <f>J204+J216+J225+J211</f>
        <v>685096.52</v>
      </c>
    </row>
    <row r="204" spans="1:10" ht="45" customHeight="1">
      <c r="A204" s="134" t="s">
        <v>153</v>
      </c>
      <c r="B204" s="22" t="s">
        <v>76</v>
      </c>
      <c r="C204" s="22" t="s">
        <v>97</v>
      </c>
      <c r="D204" s="22" t="s">
        <v>152</v>
      </c>
      <c r="E204" s="22" t="s">
        <v>54</v>
      </c>
      <c r="F204" s="24"/>
      <c r="G204" s="90">
        <f>G205</f>
        <v>100000</v>
      </c>
      <c r="H204" s="25"/>
      <c r="I204" s="26">
        <f t="shared" si="1"/>
        <v>100000</v>
      </c>
      <c r="J204" s="90">
        <f>J205</f>
        <v>58681.52</v>
      </c>
    </row>
    <row r="205" spans="1:10" ht="69" customHeight="1">
      <c r="A205" s="102" t="s">
        <v>154</v>
      </c>
      <c r="B205" s="22" t="s">
        <v>76</v>
      </c>
      <c r="C205" s="43" t="s">
        <v>97</v>
      </c>
      <c r="D205" s="43" t="s">
        <v>152</v>
      </c>
      <c r="E205" s="43" t="s">
        <v>55</v>
      </c>
      <c r="F205" s="44"/>
      <c r="G205" s="94">
        <f>G206</f>
        <v>100000</v>
      </c>
      <c r="H205" s="25"/>
      <c r="I205" s="26">
        <f t="shared" si="1"/>
        <v>100000</v>
      </c>
      <c r="J205" s="94">
        <f>J206</f>
        <v>58681.52</v>
      </c>
    </row>
    <row r="206" spans="1:10" ht="41.25" customHeight="1">
      <c r="A206" s="30" t="s">
        <v>533</v>
      </c>
      <c r="B206" s="22" t="s">
        <v>76</v>
      </c>
      <c r="C206" s="22" t="s">
        <v>97</v>
      </c>
      <c r="D206" s="22" t="s">
        <v>152</v>
      </c>
      <c r="E206" s="22" t="s">
        <v>56</v>
      </c>
      <c r="F206" s="24"/>
      <c r="G206" s="90">
        <f>G207+G209</f>
        <v>100000</v>
      </c>
      <c r="H206" s="25"/>
      <c r="I206" s="26">
        <f t="shared" si="1"/>
        <v>100000</v>
      </c>
      <c r="J206" s="90">
        <f>J207+J209</f>
        <v>58681.52</v>
      </c>
    </row>
    <row r="207" spans="1:10" ht="0.75" customHeight="1" hidden="1">
      <c r="A207" s="27" t="s">
        <v>53</v>
      </c>
      <c r="B207" s="22" t="s">
        <v>76</v>
      </c>
      <c r="C207" s="22" t="s">
        <v>97</v>
      </c>
      <c r="D207" s="22" t="s">
        <v>152</v>
      </c>
      <c r="E207" s="22" t="s">
        <v>57</v>
      </c>
      <c r="F207" s="24"/>
      <c r="G207" s="90">
        <f>G208</f>
        <v>0</v>
      </c>
      <c r="H207" s="25"/>
      <c r="I207" s="26">
        <f t="shared" si="1"/>
        <v>0</v>
      </c>
      <c r="J207" s="90">
        <f>J208</f>
        <v>0</v>
      </c>
    </row>
    <row r="208" spans="1:10" ht="26.25" hidden="1">
      <c r="A208" s="28" t="s">
        <v>39</v>
      </c>
      <c r="B208" s="22" t="s">
        <v>76</v>
      </c>
      <c r="C208" s="22" t="s">
        <v>97</v>
      </c>
      <c r="D208" s="22" t="s">
        <v>152</v>
      </c>
      <c r="E208" s="22" t="s">
        <v>57</v>
      </c>
      <c r="F208" s="24" t="s">
        <v>92</v>
      </c>
      <c r="G208" s="90"/>
      <c r="H208" s="25"/>
      <c r="I208" s="26">
        <f t="shared" si="1"/>
        <v>0</v>
      </c>
      <c r="J208" s="90"/>
    </row>
    <row r="209" spans="1:10" ht="15">
      <c r="A209" s="27" t="s">
        <v>524</v>
      </c>
      <c r="B209" s="22" t="s">
        <v>76</v>
      </c>
      <c r="C209" s="22" t="s">
        <v>97</v>
      </c>
      <c r="D209" s="22" t="s">
        <v>152</v>
      </c>
      <c r="E209" s="22" t="s">
        <v>531</v>
      </c>
      <c r="F209" s="24"/>
      <c r="G209" s="90">
        <f>G210</f>
        <v>100000</v>
      </c>
      <c r="H209" s="25"/>
      <c r="I209" s="26">
        <f t="shared" si="1"/>
        <v>100000</v>
      </c>
      <c r="J209" s="90">
        <f>J210</f>
        <v>58681.52</v>
      </c>
    </row>
    <row r="210" spans="1:10" ht="29.25" customHeight="1">
      <c r="A210" s="28" t="s">
        <v>39</v>
      </c>
      <c r="B210" s="22" t="s">
        <v>76</v>
      </c>
      <c r="C210" s="22" t="s">
        <v>97</v>
      </c>
      <c r="D210" s="22" t="s">
        <v>152</v>
      </c>
      <c r="E210" s="22" t="s">
        <v>531</v>
      </c>
      <c r="F210" s="24" t="s">
        <v>92</v>
      </c>
      <c r="G210" s="90">
        <v>100000</v>
      </c>
      <c r="H210" s="25"/>
      <c r="I210" s="26">
        <f t="shared" si="1"/>
        <v>100000</v>
      </c>
      <c r="J210" s="90">
        <v>58681.52</v>
      </c>
    </row>
    <row r="211" spans="1:10" ht="54" customHeight="1" hidden="1">
      <c r="A211" s="142" t="s">
        <v>222</v>
      </c>
      <c r="B211" s="22" t="s">
        <v>76</v>
      </c>
      <c r="C211" s="22" t="s">
        <v>97</v>
      </c>
      <c r="D211" s="22" t="s">
        <v>152</v>
      </c>
      <c r="E211" s="48" t="s">
        <v>294</v>
      </c>
      <c r="F211" s="24"/>
      <c r="G211" s="90">
        <f>G212</f>
        <v>0</v>
      </c>
      <c r="H211" s="25"/>
      <c r="I211" s="26">
        <f t="shared" si="1"/>
        <v>0</v>
      </c>
      <c r="J211" s="90">
        <f>J212</f>
        <v>0</v>
      </c>
    </row>
    <row r="212" spans="1:10" ht="69.75" customHeight="1" hidden="1">
      <c r="A212" s="135" t="s">
        <v>223</v>
      </c>
      <c r="B212" s="22" t="s">
        <v>76</v>
      </c>
      <c r="C212" s="22" t="s">
        <v>97</v>
      </c>
      <c r="D212" s="22" t="s">
        <v>152</v>
      </c>
      <c r="E212" s="48" t="s">
        <v>295</v>
      </c>
      <c r="F212" s="24"/>
      <c r="G212" s="90">
        <f>G213</f>
        <v>0</v>
      </c>
      <c r="H212" s="25"/>
      <c r="I212" s="26">
        <f t="shared" si="1"/>
        <v>0</v>
      </c>
      <c r="J212" s="90">
        <f>J213</f>
        <v>0</v>
      </c>
    </row>
    <row r="213" spans="1:10" ht="27" customHeight="1" hidden="1">
      <c r="A213" s="30" t="s">
        <v>297</v>
      </c>
      <c r="B213" s="22" t="s">
        <v>76</v>
      </c>
      <c r="C213" s="22" t="s">
        <v>97</v>
      </c>
      <c r="D213" s="22" t="s">
        <v>152</v>
      </c>
      <c r="E213" s="48" t="s">
        <v>296</v>
      </c>
      <c r="F213" s="24"/>
      <c r="G213" s="90">
        <f>G214</f>
        <v>0</v>
      </c>
      <c r="H213" s="25"/>
      <c r="I213" s="26">
        <f>I214</f>
        <v>0</v>
      </c>
      <c r="J213" s="90">
        <f>J214</f>
        <v>0</v>
      </c>
    </row>
    <row r="214" spans="1:10" ht="15.75" customHeight="1" hidden="1">
      <c r="A214" s="41" t="s">
        <v>155</v>
      </c>
      <c r="B214" s="22" t="s">
        <v>76</v>
      </c>
      <c r="C214" s="22" t="s">
        <v>97</v>
      </c>
      <c r="D214" s="22" t="s">
        <v>152</v>
      </c>
      <c r="E214" s="48" t="s">
        <v>298</v>
      </c>
      <c r="F214" s="24"/>
      <c r="G214" s="90">
        <f>G215</f>
        <v>0</v>
      </c>
      <c r="H214" s="25"/>
      <c r="I214" s="26">
        <f>G214+H214</f>
        <v>0</v>
      </c>
      <c r="J214" s="90">
        <f>J215</f>
        <v>0</v>
      </c>
    </row>
    <row r="215" spans="1:10" ht="26.25" customHeight="1" hidden="1">
      <c r="A215" s="140" t="s">
        <v>39</v>
      </c>
      <c r="B215" s="22" t="s">
        <v>76</v>
      </c>
      <c r="C215" s="22" t="s">
        <v>97</v>
      </c>
      <c r="D215" s="22" t="s">
        <v>152</v>
      </c>
      <c r="E215" s="48" t="s">
        <v>298</v>
      </c>
      <c r="F215" s="24" t="s">
        <v>92</v>
      </c>
      <c r="G215" s="90"/>
      <c r="H215" s="25"/>
      <c r="I215" s="26">
        <f>G215+H215</f>
        <v>0</v>
      </c>
      <c r="J215" s="90"/>
    </row>
    <row r="216" spans="1:10" ht="51.75" customHeight="1">
      <c r="A216" s="134" t="s">
        <v>156</v>
      </c>
      <c r="B216" s="22" t="s">
        <v>76</v>
      </c>
      <c r="C216" s="22" t="s">
        <v>97</v>
      </c>
      <c r="D216" s="22" t="s">
        <v>152</v>
      </c>
      <c r="E216" s="37" t="s">
        <v>19</v>
      </c>
      <c r="F216" s="24"/>
      <c r="G216" s="90">
        <f>G217</f>
        <v>769010</v>
      </c>
      <c r="H216" s="25"/>
      <c r="I216" s="26">
        <f t="shared" si="1"/>
        <v>769010</v>
      </c>
      <c r="J216" s="90">
        <f>J217</f>
        <v>606415</v>
      </c>
    </row>
    <row r="217" spans="1:10" ht="72" customHeight="1">
      <c r="A217" s="60" t="s">
        <v>157</v>
      </c>
      <c r="B217" s="22" t="s">
        <v>76</v>
      </c>
      <c r="C217" s="43" t="s">
        <v>97</v>
      </c>
      <c r="D217" s="43" t="s">
        <v>152</v>
      </c>
      <c r="E217" s="63" t="s">
        <v>276</v>
      </c>
      <c r="F217" s="44"/>
      <c r="G217" s="94">
        <f>G218</f>
        <v>769010</v>
      </c>
      <c r="H217" s="25"/>
      <c r="I217" s="26">
        <f t="shared" si="1"/>
        <v>769010</v>
      </c>
      <c r="J217" s="94">
        <f>J218</f>
        <v>606415</v>
      </c>
    </row>
    <row r="218" spans="1:10" ht="36" customHeight="1">
      <c r="A218" s="30" t="s">
        <v>532</v>
      </c>
      <c r="B218" s="22" t="s">
        <v>76</v>
      </c>
      <c r="C218" s="22" t="s">
        <v>97</v>
      </c>
      <c r="D218" s="22" t="s">
        <v>152</v>
      </c>
      <c r="E218" s="32" t="s">
        <v>486</v>
      </c>
      <c r="F218" s="29"/>
      <c r="G218" s="90">
        <f>G223+G219+G221</f>
        <v>769010</v>
      </c>
      <c r="H218" s="25"/>
      <c r="I218" s="26">
        <f t="shared" si="1"/>
        <v>769010</v>
      </c>
      <c r="J218" s="90">
        <f>J223+J219+J221</f>
        <v>606415</v>
      </c>
    </row>
    <row r="219" spans="1:10" ht="35.25" customHeight="1">
      <c r="A219" s="30" t="s">
        <v>591</v>
      </c>
      <c r="B219" s="22" t="s">
        <v>76</v>
      </c>
      <c r="C219" s="22" t="s">
        <v>97</v>
      </c>
      <c r="D219" s="22" t="s">
        <v>152</v>
      </c>
      <c r="E219" s="32" t="s">
        <v>589</v>
      </c>
      <c r="F219" s="29"/>
      <c r="G219" s="90">
        <f>G220</f>
        <v>424491</v>
      </c>
      <c r="H219" s="78"/>
      <c r="I219" s="26">
        <f t="shared" si="1"/>
        <v>424491</v>
      </c>
      <c r="J219" s="90">
        <f>J220</f>
        <v>424491</v>
      </c>
    </row>
    <row r="220" spans="1:10" ht="15">
      <c r="A220" s="40" t="s">
        <v>132</v>
      </c>
      <c r="B220" s="22" t="s">
        <v>76</v>
      </c>
      <c r="C220" s="22" t="s">
        <v>97</v>
      </c>
      <c r="D220" s="22" t="s">
        <v>152</v>
      </c>
      <c r="E220" s="32" t="s">
        <v>589</v>
      </c>
      <c r="F220" s="29" t="s">
        <v>133</v>
      </c>
      <c r="G220" s="90">
        <f>424491</f>
        <v>424491</v>
      </c>
      <c r="H220" s="78"/>
      <c r="I220" s="26">
        <f>G220+H220</f>
        <v>424491</v>
      </c>
      <c r="J220" s="90">
        <v>424491</v>
      </c>
    </row>
    <row r="221" spans="1:10" ht="30" customHeight="1">
      <c r="A221" s="30" t="s">
        <v>592</v>
      </c>
      <c r="B221" s="22" t="s">
        <v>76</v>
      </c>
      <c r="C221" s="22" t="s">
        <v>97</v>
      </c>
      <c r="D221" s="22" t="s">
        <v>152</v>
      </c>
      <c r="E221" s="32" t="s">
        <v>590</v>
      </c>
      <c r="F221" s="29"/>
      <c r="G221" s="90">
        <f>G222</f>
        <v>344519</v>
      </c>
      <c r="H221" s="78"/>
      <c r="I221" s="26">
        <f>G221+H221</f>
        <v>344519</v>
      </c>
      <c r="J221" s="90">
        <f>J222</f>
        <v>181924</v>
      </c>
    </row>
    <row r="222" spans="1:10" ht="21" customHeight="1">
      <c r="A222" s="40" t="s">
        <v>132</v>
      </c>
      <c r="B222" s="22" t="s">
        <v>76</v>
      </c>
      <c r="C222" s="22" t="s">
        <v>97</v>
      </c>
      <c r="D222" s="22" t="s">
        <v>152</v>
      </c>
      <c r="E222" s="32" t="s">
        <v>590</v>
      </c>
      <c r="F222" s="29" t="s">
        <v>133</v>
      </c>
      <c r="G222" s="90">
        <v>344519</v>
      </c>
      <c r="H222" s="78"/>
      <c r="I222" s="26">
        <f>G222+H222</f>
        <v>344519</v>
      </c>
      <c r="J222" s="90">
        <v>181924</v>
      </c>
    </row>
    <row r="223" spans="1:10" ht="45.75" customHeight="1" hidden="1">
      <c r="A223" s="40" t="s">
        <v>488</v>
      </c>
      <c r="B223" s="22" t="s">
        <v>76</v>
      </c>
      <c r="C223" s="22" t="s">
        <v>97</v>
      </c>
      <c r="D223" s="22" t="s">
        <v>152</v>
      </c>
      <c r="E223" s="32" t="s">
        <v>487</v>
      </c>
      <c r="F223" s="29"/>
      <c r="G223" s="90">
        <f>G224</f>
        <v>0</v>
      </c>
      <c r="H223" s="25"/>
      <c r="I223" s="26">
        <f aca="true" t="shared" si="2" ref="I223:I283">G223+H223</f>
        <v>0</v>
      </c>
      <c r="J223" s="90">
        <f>J224</f>
        <v>0</v>
      </c>
    </row>
    <row r="224" spans="1:10" ht="15" hidden="1">
      <c r="A224" s="40" t="s">
        <v>132</v>
      </c>
      <c r="B224" s="22" t="s">
        <v>76</v>
      </c>
      <c r="C224" s="22" t="s">
        <v>97</v>
      </c>
      <c r="D224" s="22" t="s">
        <v>152</v>
      </c>
      <c r="E224" s="32" t="s">
        <v>487</v>
      </c>
      <c r="F224" s="29" t="s">
        <v>133</v>
      </c>
      <c r="G224" s="90">
        <f>400000-400000</f>
        <v>0</v>
      </c>
      <c r="H224" s="25"/>
      <c r="I224" s="26">
        <f t="shared" si="2"/>
        <v>0</v>
      </c>
      <c r="J224" s="90">
        <f>400000-400000</f>
        <v>0</v>
      </c>
    </row>
    <row r="225" spans="1:10" ht="38.25">
      <c r="A225" s="135" t="s">
        <v>158</v>
      </c>
      <c r="B225" s="22" t="s">
        <v>76</v>
      </c>
      <c r="C225" s="22" t="s">
        <v>97</v>
      </c>
      <c r="D225" s="22" t="s">
        <v>152</v>
      </c>
      <c r="E225" s="22" t="s">
        <v>329</v>
      </c>
      <c r="F225" s="29"/>
      <c r="G225" s="90">
        <f>G226+G230</f>
        <v>20000</v>
      </c>
      <c r="H225" s="25"/>
      <c r="I225" s="26">
        <f t="shared" si="2"/>
        <v>20000</v>
      </c>
      <c r="J225" s="90">
        <f>J226+J230</f>
        <v>20000</v>
      </c>
    </row>
    <row r="226" spans="1:10" ht="63.75">
      <c r="A226" s="102" t="s">
        <v>159</v>
      </c>
      <c r="B226" s="22" t="s">
        <v>76</v>
      </c>
      <c r="C226" s="43" t="s">
        <v>97</v>
      </c>
      <c r="D226" s="43" t="s">
        <v>152</v>
      </c>
      <c r="E226" s="43" t="s">
        <v>330</v>
      </c>
      <c r="F226" s="57"/>
      <c r="G226" s="94">
        <f>G227</f>
        <v>20000</v>
      </c>
      <c r="H226" s="25"/>
      <c r="I226" s="26">
        <f t="shared" si="2"/>
        <v>20000</v>
      </c>
      <c r="J226" s="94">
        <f>J227</f>
        <v>20000</v>
      </c>
    </row>
    <row r="227" spans="1:10" ht="38.25">
      <c r="A227" s="138" t="s">
        <v>522</v>
      </c>
      <c r="B227" s="22" t="s">
        <v>76</v>
      </c>
      <c r="C227" s="22" t="s">
        <v>97</v>
      </c>
      <c r="D227" s="22" t="s">
        <v>152</v>
      </c>
      <c r="E227" s="22" t="s">
        <v>579</v>
      </c>
      <c r="F227" s="29"/>
      <c r="G227" s="90">
        <f>G228</f>
        <v>20000</v>
      </c>
      <c r="H227" s="25"/>
      <c r="I227" s="26">
        <f t="shared" si="2"/>
        <v>20000</v>
      </c>
      <c r="J227" s="90">
        <f>J228</f>
        <v>20000</v>
      </c>
    </row>
    <row r="228" spans="1:10" ht="26.25">
      <c r="A228" s="27" t="s">
        <v>331</v>
      </c>
      <c r="B228" s="22" t="s">
        <v>76</v>
      </c>
      <c r="C228" s="22" t="s">
        <v>97</v>
      </c>
      <c r="D228" s="22" t="s">
        <v>152</v>
      </c>
      <c r="E228" s="22" t="s">
        <v>578</v>
      </c>
      <c r="F228" s="29"/>
      <c r="G228" s="90">
        <f>G229</f>
        <v>20000</v>
      </c>
      <c r="H228" s="25"/>
      <c r="I228" s="26">
        <f t="shared" si="2"/>
        <v>20000</v>
      </c>
      <c r="J228" s="90">
        <f>J229</f>
        <v>20000</v>
      </c>
    </row>
    <row r="229" spans="1:10" ht="26.25">
      <c r="A229" s="28" t="s">
        <v>39</v>
      </c>
      <c r="B229" s="22" t="s">
        <v>76</v>
      </c>
      <c r="C229" s="22" t="s">
        <v>97</v>
      </c>
      <c r="D229" s="22" t="s">
        <v>152</v>
      </c>
      <c r="E229" s="22" t="s">
        <v>578</v>
      </c>
      <c r="F229" s="29" t="s">
        <v>92</v>
      </c>
      <c r="G229" s="90">
        <f>30000-10000</f>
        <v>20000</v>
      </c>
      <c r="H229" s="25"/>
      <c r="I229" s="26">
        <f t="shared" si="2"/>
        <v>20000</v>
      </c>
      <c r="J229" s="90">
        <f>30000-10000</f>
        <v>20000</v>
      </c>
    </row>
    <row r="230" spans="1:10" ht="70.5" customHeight="1" hidden="1">
      <c r="A230" s="98" t="s">
        <v>519</v>
      </c>
      <c r="B230" s="22" t="s">
        <v>76</v>
      </c>
      <c r="C230" s="43" t="s">
        <v>97</v>
      </c>
      <c r="D230" s="43" t="s">
        <v>152</v>
      </c>
      <c r="E230" s="43" t="s">
        <v>520</v>
      </c>
      <c r="F230" s="29"/>
      <c r="G230" s="90">
        <f>G231</f>
        <v>0</v>
      </c>
      <c r="H230" s="25"/>
      <c r="I230" s="26">
        <f t="shared" si="2"/>
        <v>0</v>
      </c>
      <c r="J230" s="90">
        <f>J231</f>
        <v>0</v>
      </c>
    </row>
    <row r="231" spans="1:10" ht="47.25" customHeight="1" hidden="1">
      <c r="A231" s="138" t="s">
        <v>523</v>
      </c>
      <c r="B231" s="22" t="s">
        <v>76</v>
      </c>
      <c r="C231" s="22" t="s">
        <v>97</v>
      </c>
      <c r="D231" s="22" t="s">
        <v>152</v>
      </c>
      <c r="E231" s="22" t="s">
        <v>580</v>
      </c>
      <c r="F231" s="29"/>
      <c r="G231" s="90">
        <f>G232</f>
        <v>0</v>
      </c>
      <c r="H231" s="25"/>
      <c r="I231" s="26">
        <f t="shared" si="2"/>
        <v>0</v>
      </c>
      <c r="J231" s="90">
        <f>J232</f>
        <v>0</v>
      </c>
    </row>
    <row r="232" spans="1:10" ht="26.25" hidden="1">
      <c r="A232" s="28" t="s">
        <v>518</v>
      </c>
      <c r="B232" s="22" t="s">
        <v>76</v>
      </c>
      <c r="C232" s="22" t="s">
        <v>97</v>
      </c>
      <c r="D232" s="22" t="s">
        <v>152</v>
      </c>
      <c r="E232" s="22" t="s">
        <v>581</v>
      </c>
      <c r="F232" s="29"/>
      <c r="G232" s="90">
        <f>G233</f>
        <v>0</v>
      </c>
      <c r="H232" s="25"/>
      <c r="I232" s="26">
        <f t="shared" si="2"/>
        <v>0</v>
      </c>
      <c r="J232" s="90">
        <f>J233</f>
        <v>0</v>
      </c>
    </row>
    <row r="233" spans="1:10" ht="32.25" customHeight="1" hidden="1">
      <c r="A233" s="28" t="s">
        <v>39</v>
      </c>
      <c r="B233" s="22" t="s">
        <v>76</v>
      </c>
      <c r="C233" s="22" t="s">
        <v>97</v>
      </c>
      <c r="D233" s="22" t="s">
        <v>152</v>
      </c>
      <c r="E233" s="22" t="s">
        <v>581</v>
      </c>
      <c r="F233" s="29" t="s">
        <v>92</v>
      </c>
      <c r="G233" s="90">
        <f>5000-5000</f>
        <v>0</v>
      </c>
      <c r="H233" s="78"/>
      <c r="I233" s="26">
        <f t="shared" si="2"/>
        <v>0</v>
      </c>
      <c r="J233" s="90">
        <f>5000-5000</f>
        <v>0</v>
      </c>
    </row>
    <row r="234" spans="1:10" ht="20.25" customHeight="1">
      <c r="A234" s="28" t="s">
        <v>164</v>
      </c>
      <c r="B234" s="22" t="s">
        <v>76</v>
      </c>
      <c r="C234" s="22" t="s">
        <v>165</v>
      </c>
      <c r="D234" s="22"/>
      <c r="E234" s="22"/>
      <c r="F234" s="29"/>
      <c r="G234" s="90">
        <f>G244+G235</f>
        <v>5269595</v>
      </c>
      <c r="H234" s="25"/>
      <c r="I234" s="26">
        <f t="shared" si="2"/>
        <v>5269595</v>
      </c>
      <c r="J234" s="90">
        <f>J244+J235</f>
        <v>4244750</v>
      </c>
    </row>
    <row r="235" spans="1:10" ht="15">
      <c r="A235" s="28" t="s">
        <v>622</v>
      </c>
      <c r="B235" s="22" t="s">
        <v>76</v>
      </c>
      <c r="C235" s="22" t="s">
        <v>165</v>
      </c>
      <c r="D235" s="22" t="s">
        <v>78</v>
      </c>
      <c r="E235" s="22"/>
      <c r="F235" s="29"/>
      <c r="G235" s="90">
        <f>G236</f>
        <v>1034845</v>
      </c>
      <c r="H235" s="78"/>
      <c r="I235" s="26">
        <f t="shared" si="2"/>
        <v>1034845</v>
      </c>
      <c r="J235" s="90">
        <f>J236</f>
        <v>10000</v>
      </c>
    </row>
    <row r="236" spans="1:10" ht="39">
      <c r="A236" s="28" t="s">
        <v>156</v>
      </c>
      <c r="B236" s="22" t="s">
        <v>76</v>
      </c>
      <c r="C236" s="22" t="s">
        <v>165</v>
      </c>
      <c r="D236" s="22" t="s">
        <v>78</v>
      </c>
      <c r="E236" s="22" t="s">
        <v>19</v>
      </c>
      <c r="F236" s="29"/>
      <c r="G236" s="90">
        <f>G237</f>
        <v>1034845</v>
      </c>
      <c r="H236" s="78"/>
      <c r="I236" s="26">
        <f t="shared" si="2"/>
        <v>1034845</v>
      </c>
      <c r="J236" s="90">
        <f>J237</f>
        <v>10000</v>
      </c>
    </row>
    <row r="237" spans="1:10" ht="64.5">
      <c r="A237" s="28" t="s">
        <v>157</v>
      </c>
      <c r="B237" s="22" t="s">
        <v>76</v>
      </c>
      <c r="C237" s="22" t="s">
        <v>165</v>
      </c>
      <c r="D237" s="22" t="s">
        <v>78</v>
      </c>
      <c r="E237" s="22" t="s">
        <v>276</v>
      </c>
      <c r="F237" s="29"/>
      <c r="G237" s="90">
        <f>G238</f>
        <v>1034845</v>
      </c>
      <c r="H237" s="78"/>
      <c r="I237" s="26">
        <f t="shared" si="2"/>
        <v>1034845</v>
      </c>
      <c r="J237" s="90">
        <f>J238</f>
        <v>10000</v>
      </c>
    </row>
    <row r="238" spans="1:10" ht="64.5">
      <c r="A238" s="28" t="s">
        <v>623</v>
      </c>
      <c r="B238" s="22" t="s">
        <v>76</v>
      </c>
      <c r="C238" s="22" t="s">
        <v>165</v>
      </c>
      <c r="D238" s="22" t="s">
        <v>78</v>
      </c>
      <c r="E238" s="22" t="s">
        <v>624</v>
      </c>
      <c r="F238" s="29"/>
      <c r="G238" s="90">
        <f>G239+G241</f>
        <v>1034845</v>
      </c>
      <c r="H238" s="78"/>
      <c r="I238" s="26">
        <f t="shared" si="2"/>
        <v>1034845</v>
      </c>
      <c r="J238" s="90">
        <f>J239+J241</f>
        <v>10000</v>
      </c>
    </row>
    <row r="239" spans="1:10" ht="26.25">
      <c r="A239" s="28" t="s">
        <v>625</v>
      </c>
      <c r="B239" s="22" t="s">
        <v>76</v>
      </c>
      <c r="C239" s="22" t="s">
        <v>165</v>
      </c>
      <c r="D239" s="22" t="s">
        <v>78</v>
      </c>
      <c r="E239" s="22" t="s">
        <v>626</v>
      </c>
      <c r="F239" s="29"/>
      <c r="G239" s="90">
        <f>G240</f>
        <v>954845</v>
      </c>
      <c r="H239" s="78"/>
      <c r="I239" s="26">
        <f t="shared" si="2"/>
        <v>954845</v>
      </c>
      <c r="J239" s="90">
        <f>J240</f>
        <v>0</v>
      </c>
    </row>
    <row r="240" spans="1:10" ht="26.25">
      <c r="A240" s="40" t="s">
        <v>530</v>
      </c>
      <c r="B240" s="22" t="s">
        <v>76</v>
      </c>
      <c r="C240" s="22" t="s">
        <v>165</v>
      </c>
      <c r="D240" s="22" t="s">
        <v>78</v>
      </c>
      <c r="E240" s="22" t="s">
        <v>626</v>
      </c>
      <c r="F240" s="29" t="s">
        <v>529</v>
      </c>
      <c r="G240" s="90">
        <f>954845</f>
        <v>954845</v>
      </c>
      <c r="H240" s="78"/>
      <c r="I240" s="26">
        <f t="shared" si="2"/>
        <v>954845</v>
      </c>
      <c r="J240" s="90"/>
    </row>
    <row r="241" spans="1:10" ht="26.25">
      <c r="A241" s="40" t="s">
        <v>628</v>
      </c>
      <c r="B241" s="22" t="s">
        <v>76</v>
      </c>
      <c r="C241" s="22" t="s">
        <v>165</v>
      </c>
      <c r="D241" s="22" t="s">
        <v>78</v>
      </c>
      <c r="E241" s="22" t="s">
        <v>627</v>
      </c>
      <c r="F241" s="29"/>
      <c r="G241" s="90">
        <f>G243+G242</f>
        <v>80000</v>
      </c>
      <c r="H241" s="78"/>
      <c r="I241" s="26">
        <f t="shared" si="2"/>
        <v>80000</v>
      </c>
      <c r="J241" s="90">
        <f>J243+J242</f>
        <v>10000</v>
      </c>
    </row>
    <row r="242" spans="1:10" ht="31.5" customHeight="1">
      <c r="A242" s="28" t="s">
        <v>39</v>
      </c>
      <c r="B242" s="22" t="s">
        <v>76</v>
      </c>
      <c r="C242" s="22" t="s">
        <v>165</v>
      </c>
      <c r="D242" s="22" t="s">
        <v>78</v>
      </c>
      <c r="E242" s="22" t="s">
        <v>627</v>
      </c>
      <c r="F242" s="29" t="s">
        <v>92</v>
      </c>
      <c r="G242" s="90">
        <f>10000</f>
        <v>10000</v>
      </c>
      <c r="H242" s="78"/>
      <c r="I242" s="26">
        <f t="shared" si="2"/>
        <v>10000</v>
      </c>
      <c r="J242" s="90">
        <f>10000</f>
        <v>10000</v>
      </c>
    </row>
    <row r="243" spans="1:10" ht="26.25">
      <c r="A243" s="40" t="s">
        <v>530</v>
      </c>
      <c r="B243" s="22" t="s">
        <v>76</v>
      </c>
      <c r="C243" s="22" t="s">
        <v>165</v>
      </c>
      <c r="D243" s="22" t="s">
        <v>78</v>
      </c>
      <c r="E243" s="22" t="s">
        <v>627</v>
      </c>
      <c r="F243" s="29" t="s">
        <v>529</v>
      </c>
      <c r="G243" s="90">
        <f>80000-10000</f>
        <v>70000</v>
      </c>
      <c r="H243" s="78"/>
      <c r="I243" s="26">
        <f t="shared" si="2"/>
        <v>70000</v>
      </c>
      <c r="J243" s="90"/>
    </row>
    <row r="244" spans="1:10" ht="18" customHeight="1">
      <c r="A244" s="28" t="s">
        <v>166</v>
      </c>
      <c r="B244" s="22" t="s">
        <v>76</v>
      </c>
      <c r="C244" s="22" t="s">
        <v>165</v>
      </c>
      <c r="D244" s="22" t="s">
        <v>80</v>
      </c>
      <c r="E244" s="22"/>
      <c r="F244" s="29"/>
      <c r="G244" s="90">
        <f>G245+G256+G266+G258</f>
        <v>4234750</v>
      </c>
      <c r="H244" s="25"/>
      <c r="I244" s="26">
        <f t="shared" si="2"/>
        <v>4234750</v>
      </c>
      <c r="J244" s="90">
        <f>J245+J256+J266+J258</f>
        <v>4234750</v>
      </c>
    </row>
    <row r="245" spans="1:10" ht="44.25" customHeight="1" hidden="1">
      <c r="A245" s="41" t="s">
        <v>167</v>
      </c>
      <c r="B245" s="22" t="s">
        <v>76</v>
      </c>
      <c r="C245" s="22" t="s">
        <v>165</v>
      </c>
      <c r="D245" s="22" t="s">
        <v>80</v>
      </c>
      <c r="E245" s="36" t="s">
        <v>244</v>
      </c>
      <c r="F245" s="29"/>
      <c r="G245" s="90">
        <f>G246</f>
        <v>0</v>
      </c>
      <c r="H245" s="25"/>
      <c r="I245" s="26">
        <f t="shared" si="2"/>
        <v>0</v>
      </c>
      <c r="J245" s="90">
        <f>J246</f>
        <v>0</v>
      </c>
    </row>
    <row r="246" spans="1:10" ht="59.25" customHeight="1" hidden="1">
      <c r="A246" s="64" t="s">
        <v>177</v>
      </c>
      <c r="B246" s="22" t="s">
        <v>76</v>
      </c>
      <c r="C246" s="43" t="s">
        <v>165</v>
      </c>
      <c r="D246" s="43" t="s">
        <v>80</v>
      </c>
      <c r="E246" s="115" t="s">
        <v>299</v>
      </c>
      <c r="F246" s="57"/>
      <c r="G246" s="94">
        <f>G247</f>
        <v>0</v>
      </c>
      <c r="H246" s="25"/>
      <c r="I246" s="26">
        <f t="shared" si="2"/>
        <v>0</v>
      </c>
      <c r="J246" s="94">
        <f>J247</f>
        <v>0</v>
      </c>
    </row>
    <row r="247" spans="1:10" ht="28.5" customHeight="1" hidden="1">
      <c r="A247" s="30" t="s">
        <v>51</v>
      </c>
      <c r="B247" s="22" t="s">
        <v>76</v>
      </c>
      <c r="C247" s="22" t="s">
        <v>165</v>
      </c>
      <c r="D247" s="22" t="s">
        <v>80</v>
      </c>
      <c r="E247" s="36" t="s">
        <v>300</v>
      </c>
      <c r="F247" s="29"/>
      <c r="G247" s="90">
        <f>G248+G250+G252+G254</f>
        <v>0</v>
      </c>
      <c r="H247" s="25"/>
      <c r="I247" s="26">
        <f t="shared" si="2"/>
        <v>0</v>
      </c>
      <c r="J247" s="90">
        <f>J248+J250+J252+J254</f>
        <v>0</v>
      </c>
    </row>
    <row r="248" spans="1:10" ht="44.25" customHeight="1" hidden="1">
      <c r="A248" s="42" t="s">
        <v>46</v>
      </c>
      <c r="B248" s="22" t="s">
        <v>76</v>
      </c>
      <c r="C248" s="22" t="s">
        <v>165</v>
      </c>
      <c r="D248" s="22" t="s">
        <v>80</v>
      </c>
      <c r="E248" s="36" t="s">
        <v>40</v>
      </c>
      <c r="F248" s="29"/>
      <c r="G248" s="90">
        <f>G249</f>
        <v>0</v>
      </c>
      <c r="H248" s="25"/>
      <c r="I248" s="26">
        <f t="shared" si="2"/>
        <v>0</v>
      </c>
      <c r="J248" s="90">
        <f>J249</f>
        <v>0</v>
      </c>
    </row>
    <row r="249" spans="1:10" ht="22.5" customHeight="1" hidden="1">
      <c r="A249" s="40" t="s">
        <v>132</v>
      </c>
      <c r="B249" s="22" t="s">
        <v>76</v>
      </c>
      <c r="C249" s="22" t="s">
        <v>165</v>
      </c>
      <c r="D249" s="22" t="s">
        <v>80</v>
      </c>
      <c r="E249" s="36" t="s">
        <v>40</v>
      </c>
      <c r="F249" s="29" t="s">
        <v>133</v>
      </c>
      <c r="G249" s="90"/>
      <c r="H249" s="25"/>
      <c r="I249" s="26">
        <f t="shared" si="2"/>
        <v>0</v>
      </c>
      <c r="J249" s="90"/>
    </row>
    <row r="250" spans="1:10" ht="51.75" hidden="1">
      <c r="A250" s="42" t="s">
        <v>47</v>
      </c>
      <c r="B250" s="22" t="s">
        <v>76</v>
      </c>
      <c r="C250" s="22" t="s">
        <v>165</v>
      </c>
      <c r="D250" s="22" t="s">
        <v>80</v>
      </c>
      <c r="E250" s="36" t="s">
        <v>41</v>
      </c>
      <c r="F250" s="29"/>
      <c r="G250" s="90">
        <f>G251</f>
        <v>0</v>
      </c>
      <c r="H250" s="25"/>
      <c r="I250" s="26">
        <f t="shared" si="2"/>
        <v>0</v>
      </c>
      <c r="J250" s="90">
        <f>J251</f>
        <v>0</v>
      </c>
    </row>
    <row r="251" spans="1:10" ht="25.5" customHeight="1" hidden="1">
      <c r="A251" s="40" t="s">
        <v>132</v>
      </c>
      <c r="B251" s="22" t="s">
        <v>76</v>
      </c>
      <c r="C251" s="22" t="s">
        <v>165</v>
      </c>
      <c r="D251" s="22" t="s">
        <v>80</v>
      </c>
      <c r="E251" s="36" t="s">
        <v>41</v>
      </c>
      <c r="F251" s="29" t="s">
        <v>133</v>
      </c>
      <c r="G251" s="90"/>
      <c r="H251" s="25"/>
      <c r="I251" s="26">
        <f t="shared" si="2"/>
        <v>0</v>
      </c>
      <c r="J251" s="90"/>
    </row>
    <row r="252" spans="1:10" ht="25.5" hidden="1">
      <c r="A252" s="112" t="s">
        <v>595</v>
      </c>
      <c r="B252" s="22" t="s">
        <v>76</v>
      </c>
      <c r="C252" s="22" t="s">
        <v>165</v>
      </c>
      <c r="D252" s="22" t="s">
        <v>80</v>
      </c>
      <c r="E252" s="36" t="s">
        <v>596</v>
      </c>
      <c r="F252" s="29"/>
      <c r="G252" s="90">
        <f>G253</f>
        <v>0</v>
      </c>
      <c r="H252" s="25"/>
      <c r="I252" s="26">
        <f t="shared" si="2"/>
        <v>0</v>
      </c>
      <c r="J252" s="90">
        <f>J253</f>
        <v>0</v>
      </c>
    </row>
    <row r="253" spans="1:10" ht="16.5" customHeight="1" hidden="1">
      <c r="A253" s="40" t="s">
        <v>132</v>
      </c>
      <c r="B253" s="22"/>
      <c r="C253" s="22" t="s">
        <v>165</v>
      </c>
      <c r="D253" s="22" t="s">
        <v>80</v>
      </c>
      <c r="E253" s="36" t="s">
        <v>596</v>
      </c>
      <c r="F253" s="29" t="s">
        <v>133</v>
      </c>
      <c r="G253" s="90"/>
      <c r="H253" s="78"/>
      <c r="I253" s="26">
        <f t="shared" si="2"/>
        <v>0</v>
      </c>
      <c r="J253" s="90"/>
    </row>
    <row r="254" spans="1:10" ht="25.5" hidden="1">
      <c r="A254" s="112" t="s">
        <v>597</v>
      </c>
      <c r="B254" s="22" t="s">
        <v>76</v>
      </c>
      <c r="C254" s="22" t="s">
        <v>165</v>
      </c>
      <c r="D254" s="22" t="s">
        <v>80</v>
      </c>
      <c r="E254" s="36" t="s">
        <v>583</v>
      </c>
      <c r="F254" s="29"/>
      <c r="G254" s="90">
        <f>G255</f>
        <v>0</v>
      </c>
      <c r="H254" s="25"/>
      <c r="I254" s="26">
        <f t="shared" si="2"/>
        <v>0</v>
      </c>
      <c r="J254" s="90">
        <f>J255</f>
        <v>0</v>
      </c>
    </row>
    <row r="255" spans="1:10" ht="18.75" customHeight="1" hidden="1">
      <c r="A255" s="40" t="s">
        <v>132</v>
      </c>
      <c r="B255" s="22" t="s">
        <v>76</v>
      </c>
      <c r="C255" s="22" t="s">
        <v>165</v>
      </c>
      <c r="D255" s="22" t="s">
        <v>80</v>
      </c>
      <c r="E255" s="36" t="s">
        <v>583</v>
      </c>
      <c r="F255" s="29" t="s">
        <v>133</v>
      </c>
      <c r="G255" s="90">
        <f>1500000-80000-100000-200000-1120000</f>
        <v>0</v>
      </c>
      <c r="H255" s="25"/>
      <c r="I255" s="26">
        <f>G255+H255</f>
        <v>0</v>
      </c>
      <c r="J255" s="90">
        <f>1500000-80000-100000-200000-1120000</f>
        <v>0</v>
      </c>
    </row>
    <row r="256" spans="1:10" ht="52.5" customHeight="1">
      <c r="A256" s="139" t="s">
        <v>45</v>
      </c>
      <c r="B256" s="22" t="s">
        <v>76</v>
      </c>
      <c r="C256" s="22" t="s">
        <v>165</v>
      </c>
      <c r="D256" s="22" t="s">
        <v>80</v>
      </c>
      <c r="E256" s="36" t="s">
        <v>19</v>
      </c>
      <c r="F256" s="29"/>
      <c r="G256" s="90">
        <f>G257</f>
        <v>2695300</v>
      </c>
      <c r="H256" s="25"/>
      <c r="I256" s="26">
        <f t="shared" si="2"/>
        <v>2695300</v>
      </c>
      <c r="J256" s="90">
        <f>J257</f>
        <v>2695300</v>
      </c>
    </row>
    <row r="257" spans="1:10" ht="84" customHeight="1">
      <c r="A257" s="65" t="s">
        <v>178</v>
      </c>
      <c r="B257" s="22" t="s">
        <v>76</v>
      </c>
      <c r="C257" s="43" t="s">
        <v>165</v>
      </c>
      <c r="D257" s="43" t="s">
        <v>80</v>
      </c>
      <c r="E257" s="61" t="s">
        <v>255</v>
      </c>
      <c r="F257" s="57"/>
      <c r="G257" s="94">
        <f>G263</f>
        <v>2695300</v>
      </c>
      <c r="H257" s="25"/>
      <c r="I257" s="26">
        <f t="shared" si="2"/>
        <v>2695300</v>
      </c>
      <c r="J257" s="94">
        <f>J263</f>
        <v>2695300</v>
      </c>
    </row>
    <row r="258" spans="1:10" ht="38.25" hidden="1">
      <c r="A258" s="30" t="s">
        <v>263</v>
      </c>
      <c r="B258" s="22" t="s">
        <v>76</v>
      </c>
      <c r="C258" s="22" t="s">
        <v>165</v>
      </c>
      <c r="D258" s="22" t="s">
        <v>80</v>
      </c>
      <c r="E258" s="32" t="s">
        <v>264</v>
      </c>
      <c r="F258" s="57"/>
      <c r="G258" s="94">
        <f>G259+G261</f>
        <v>0</v>
      </c>
      <c r="H258" s="25"/>
      <c r="I258" s="26">
        <f t="shared" si="2"/>
        <v>0</v>
      </c>
      <c r="J258" s="94">
        <f>J259+J261</f>
        <v>0</v>
      </c>
    </row>
    <row r="259" spans="1:10" ht="24" hidden="1">
      <c r="A259" s="171" t="s">
        <v>593</v>
      </c>
      <c r="B259" s="22" t="s">
        <v>76</v>
      </c>
      <c r="C259" s="22" t="s">
        <v>165</v>
      </c>
      <c r="D259" s="22" t="s">
        <v>80</v>
      </c>
      <c r="E259" s="32" t="s">
        <v>585</v>
      </c>
      <c r="F259" s="29"/>
      <c r="G259" s="94">
        <f>G260</f>
        <v>0</v>
      </c>
      <c r="H259" s="25"/>
      <c r="I259" s="26">
        <f t="shared" si="2"/>
        <v>0</v>
      </c>
      <c r="J259" s="94">
        <f>J260</f>
        <v>0</v>
      </c>
    </row>
    <row r="260" spans="1:10" ht="15" hidden="1">
      <c r="A260" s="40" t="s">
        <v>132</v>
      </c>
      <c r="B260" s="22" t="s">
        <v>76</v>
      </c>
      <c r="C260" s="22" t="s">
        <v>165</v>
      </c>
      <c r="D260" s="22" t="s">
        <v>80</v>
      </c>
      <c r="E260" s="32" t="s">
        <v>585</v>
      </c>
      <c r="F260" s="29" t="s">
        <v>133</v>
      </c>
      <c r="G260" s="94"/>
      <c r="H260" s="25"/>
      <c r="I260" s="26">
        <f t="shared" si="2"/>
        <v>0</v>
      </c>
      <c r="J260" s="94"/>
    </row>
    <row r="261" spans="1:10" ht="30" customHeight="1" hidden="1">
      <c r="A261" s="171" t="s">
        <v>594</v>
      </c>
      <c r="B261" s="22" t="s">
        <v>76</v>
      </c>
      <c r="C261" s="22" t="s">
        <v>165</v>
      </c>
      <c r="D261" s="22" t="s">
        <v>80</v>
      </c>
      <c r="E261" s="32" t="s">
        <v>584</v>
      </c>
      <c r="F261" s="29"/>
      <c r="G261" s="94">
        <f>G262</f>
        <v>0</v>
      </c>
      <c r="H261" s="25"/>
      <c r="I261" s="26">
        <f t="shared" si="2"/>
        <v>0</v>
      </c>
      <c r="J261" s="94">
        <f>J262</f>
        <v>0</v>
      </c>
    </row>
    <row r="262" spans="1:10" ht="15.75" customHeight="1" hidden="1">
      <c r="A262" s="40" t="s">
        <v>132</v>
      </c>
      <c r="B262" s="22" t="s">
        <v>76</v>
      </c>
      <c r="C262" s="22" t="s">
        <v>165</v>
      </c>
      <c r="D262" s="22" t="s">
        <v>80</v>
      </c>
      <c r="E262" s="32" t="s">
        <v>584</v>
      </c>
      <c r="F262" s="29" t="s">
        <v>133</v>
      </c>
      <c r="G262" s="94"/>
      <c r="H262" s="25"/>
      <c r="I262" s="26">
        <f t="shared" si="2"/>
        <v>0</v>
      </c>
      <c r="J262" s="94"/>
    </row>
    <row r="263" spans="1:10" ht="29.25" customHeight="1">
      <c r="A263" s="30" t="s">
        <v>256</v>
      </c>
      <c r="B263" s="22" t="s">
        <v>76</v>
      </c>
      <c r="C263" s="22" t="s">
        <v>165</v>
      </c>
      <c r="D263" s="22" t="s">
        <v>80</v>
      </c>
      <c r="E263" s="32" t="s">
        <v>268</v>
      </c>
      <c r="F263" s="29"/>
      <c r="G263" s="90">
        <f>G264</f>
        <v>2695300</v>
      </c>
      <c r="H263" s="25"/>
      <c r="I263" s="26">
        <f t="shared" si="2"/>
        <v>2695300</v>
      </c>
      <c r="J263" s="90">
        <f>J264</f>
        <v>2695300</v>
      </c>
    </row>
    <row r="264" spans="1:10" ht="39">
      <c r="A264" s="27" t="s">
        <v>257</v>
      </c>
      <c r="B264" s="22" t="s">
        <v>76</v>
      </c>
      <c r="C264" s="22" t="s">
        <v>165</v>
      </c>
      <c r="D264" s="22" t="s">
        <v>80</v>
      </c>
      <c r="E264" s="32" t="s">
        <v>258</v>
      </c>
      <c r="F264" s="29"/>
      <c r="G264" s="90">
        <f>G265</f>
        <v>2695300</v>
      </c>
      <c r="H264" s="25"/>
      <c r="I264" s="26">
        <f t="shared" si="2"/>
        <v>2695300</v>
      </c>
      <c r="J264" s="90">
        <f>J265</f>
        <v>2695300</v>
      </c>
    </row>
    <row r="265" spans="1:10" ht="15">
      <c r="A265" s="40" t="s">
        <v>132</v>
      </c>
      <c r="B265" s="22" t="s">
        <v>76</v>
      </c>
      <c r="C265" s="22" t="s">
        <v>165</v>
      </c>
      <c r="D265" s="22" t="s">
        <v>80</v>
      </c>
      <c r="E265" s="32" t="s">
        <v>258</v>
      </c>
      <c r="F265" s="29" t="s">
        <v>133</v>
      </c>
      <c r="G265" s="90">
        <f>2000000+80000+165300+100000+350000</f>
        <v>2695300</v>
      </c>
      <c r="H265" s="78"/>
      <c r="I265" s="26">
        <f t="shared" si="2"/>
        <v>2695300</v>
      </c>
      <c r="J265" s="90">
        <f>2000000+80000+165300+100000+350000</f>
        <v>2695300</v>
      </c>
    </row>
    <row r="266" spans="1:10" ht="43.5" customHeight="1">
      <c r="A266" s="135" t="s">
        <v>15</v>
      </c>
      <c r="B266" s="22" t="s">
        <v>76</v>
      </c>
      <c r="C266" s="22" t="s">
        <v>165</v>
      </c>
      <c r="D266" s="22" t="s">
        <v>80</v>
      </c>
      <c r="E266" s="36" t="s">
        <v>161</v>
      </c>
      <c r="F266" s="29"/>
      <c r="G266" s="90">
        <f>G267</f>
        <v>1539450</v>
      </c>
      <c r="H266" s="25"/>
      <c r="I266" s="26">
        <f t="shared" si="2"/>
        <v>1539450</v>
      </c>
      <c r="J266" s="90">
        <f>J267</f>
        <v>1539450</v>
      </c>
    </row>
    <row r="267" spans="1:10" ht="80.25" customHeight="1">
      <c r="A267" s="106" t="s">
        <v>16</v>
      </c>
      <c r="B267" s="22" t="s">
        <v>76</v>
      </c>
      <c r="C267" s="43" t="s">
        <v>165</v>
      </c>
      <c r="D267" s="43" t="s">
        <v>80</v>
      </c>
      <c r="E267" s="61" t="s">
        <v>162</v>
      </c>
      <c r="F267" s="57"/>
      <c r="G267" s="94">
        <f>G275+G268</f>
        <v>1539450</v>
      </c>
      <c r="H267" s="25"/>
      <c r="I267" s="26">
        <f t="shared" si="2"/>
        <v>1539450</v>
      </c>
      <c r="J267" s="94">
        <f>J275+J268</f>
        <v>1539450</v>
      </c>
    </row>
    <row r="268" spans="1:10" ht="34.5" customHeight="1" hidden="1">
      <c r="A268" s="112" t="s">
        <v>478</v>
      </c>
      <c r="B268" s="22" t="s">
        <v>76</v>
      </c>
      <c r="C268" s="22" t="s">
        <v>165</v>
      </c>
      <c r="D268" s="22" t="s">
        <v>80</v>
      </c>
      <c r="E268" s="36" t="s">
        <v>479</v>
      </c>
      <c r="F268" s="57"/>
      <c r="G268" s="94">
        <f>G269+G271+G273</f>
        <v>0</v>
      </c>
      <c r="H268" s="25"/>
      <c r="I268" s="26">
        <f t="shared" si="2"/>
        <v>0</v>
      </c>
      <c r="J268" s="94">
        <f>J269+J271+J273</f>
        <v>0</v>
      </c>
    </row>
    <row r="269" spans="1:10" ht="45" hidden="1">
      <c r="A269" s="107" t="s">
        <v>20</v>
      </c>
      <c r="B269" s="22" t="s">
        <v>76</v>
      </c>
      <c r="C269" s="22" t="s">
        <v>165</v>
      </c>
      <c r="D269" s="22" t="s">
        <v>80</v>
      </c>
      <c r="E269" s="22" t="s">
        <v>480</v>
      </c>
      <c r="F269" s="57"/>
      <c r="G269" s="94">
        <f>G270</f>
        <v>0</v>
      </c>
      <c r="H269" s="25"/>
      <c r="I269" s="26">
        <f t="shared" si="2"/>
        <v>0</v>
      </c>
      <c r="J269" s="94">
        <f>J270</f>
        <v>0</v>
      </c>
    </row>
    <row r="270" spans="1:10" ht="30" hidden="1">
      <c r="A270" s="108" t="s">
        <v>132</v>
      </c>
      <c r="B270" s="22" t="s">
        <v>76</v>
      </c>
      <c r="C270" s="22" t="s">
        <v>165</v>
      </c>
      <c r="D270" s="22" t="s">
        <v>80</v>
      </c>
      <c r="E270" s="22" t="s">
        <v>480</v>
      </c>
      <c r="F270" s="57" t="s">
        <v>133</v>
      </c>
      <c r="G270" s="94"/>
      <c r="H270" s="25"/>
      <c r="I270" s="26">
        <f t="shared" si="2"/>
        <v>0</v>
      </c>
      <c r="J270" s="94"/>
    </row>
    <row r="271" spans="1:10" ht="30" hidden="1">
      <c r="A271" s="107" t="s">
        <v>460</v>
      </c>
      <c r="B271" s="22" t="s">
        <v>76</v>
      </c>
      <c r="C271" s="22" t="s">
        <v>165</v>
      </c>
      <c r="D271" s="22" t="s">
        <v>80</v>
      </c>
      <c r="E271" s="22" t="s">
        <v>481</v>
      </c>
      <c r="F271" s="57"/>
      <c r="G271" s="94">
        <f>G272</f>
        <v>0</v>
      </c>
      <c r="H271" s="25"/>
      <c r="I271" s="26">
        <f t="shared" si="2"/>
        <v>0</v>
      </c>
      <c r="J271" s="94">
        <f>J272</f>
        <v>0</v>
      </c>
    </row>
    <row r="272" spans="1:10" ht="22.5" customHeight="1" hidden="1">
      <c r="A272" s="108" t="s">
        <v>132</v>
      </c>
      <c r="B272" s="22" t="s">
        <v>76</v>
      </c>
      <c r="C272" s="22" t="s">
        <v>165</v>
      </c>
      <c r="D272" s="22" t="s">
        <v>80</v>
      </c>
      <c r="E272" s="22" t="s">
        <v>481</v>
      </c>
      <c r="F272" s="57" t="s">
        <v>133</v>
      </c>
      <c r="G272" s="94"/>
      <c r="H272" s="25"/>
      <c r="I272" s="26">
        <f t="shared" si="2"/>
        <v>0</v>
      </c>
      <c r="J272" s="94"/>
    </row>
    <row r="273" spans="1:10" ht="30" hidden="1">
      <c r="A273" s="107" t="s">
        <v>18</v>
      </c>
      <c r="B273" s="22" t="s">
        <v>76</v>
      </c>
      <c r="C273" s="22" t="s">
        <v>165</v>
      </c>
      <c r="D273" s="22" t="s">
        <v>80</v>
      </c>
      <c r="E273" s="22" t="s">
        <v>482</v>
      </c>
      <c r="F273" s="57"/>
      <c r="G273" s="94">
        <f>G274</f>
        <v>0</v>
      </c>
      <c r="H273" s="25"/>
      <c r="I273" s="26">
        <f t="shared" si="2"/>
        <v>0</v>
      </c>
      <c r="J273" s="94">
        <f>J274</f>
        <v>0</v>
      </c>
    </row>
    <row r="274" spans="1:10" ht="30" hidden="1">
      <c r="A274" s="108" t="s">
        <v>132</v>
      </c>
      <c r="B274" s="22" t="s">
        <v>76</v>
      </c>
      <c r="C274" s="22" t="s">
        <v>165</v>
      </c>
      <c r="D274" s="22" t="s">
        <v>80</v>
      </c>
      <c r="E274" s="22" t="s">
        <v>482</v>
      </c>
      <c r="F274" s="57" t="s">
        <v>133</v>
      </c>
      <c r="G274" s="94"/>
      <c r="H274" s="25"/>
      <c r="I274" s="26">
        <f t="shared" si="2"/>
        <v>0</v>
      </c>
      <c r="J274" s="94"/>
    </row>
    <row r="275" spans="1:10" ht="18.75" customHeight="1">
      <c r="A275" s="40" t="s">
        <v>17</v>
      </c>
      <c r="B275" s="22" t="s">
        <v>76</v>
      </c>
      <c r="C275" s="22" t="s">
        <v>165</v>
      </c>
      <c r="D275" s="22" t="s">
        <v>80</v>
      </c>
      <c r="E275" s="36" t="s">
        <v>629</v>
      </c>
      <c r="F275" s="29"/>
      <c r="G275" s="90">
        <f>G280+G278+G276+G282</f>
        <v>1539450</v>
      </c>
      <c r="H275" s="25"/>
      <c r="I275" s="26">
        <f t="shared" si="2"/>
        <v>1539450</v>
      </c>
      <c r="J275" s="90">
        <f>J280+J278+J276+J282</f>
        <v>1539450</v>
      </c>
    </row>
    <row r="276" spans="1:10" ht="39" hidden="1">
      <c r="A276" s="31" t="s">
        <v>20</v>
      </c>
      <c r="B276" s="22" t="s">
        <v>76</v>
      </c>
      <c r="C276" s="22" t="s">
        <v>165</v>
      </c>
      <c r="D276" s="22" t="s">
        <v>80</v>
      </c>
      <c r="E276" s="36" t="s">
        <v>21</v>
      </c>
      <c r="F276" s="29"/>
      <c r="G276" s="90">
        <f>G277</f>
        <v>0</v>
      </c>
      <c r="H276" s="25"/>
      <c r="I276" s="26">
        <f t="shared" si="2"/>
        <v>0</v>
      </c>
      <c r="J276" s="90">
        <f>J277</f>
        <v>0</v>
      </c>
    </row>
    <row r="277" spans="1:10" ht="15" hidden="1">
      <c r="A277" s="108" t="s">
        <v>132</v>
      </c>
      <c r="B277" s="22" t="s">
        <v>76</v>
      </c>
      <c r="C277" s="22" t="s">
        <v>165</v>
      </c>
      <c r="D277" s="22" t="s">
        <v>80</v>
      </c>
      <c r="E277" s="36" t="s">
        <v>21</v>
      </c>
      <c r="F277" s="29" t="s">
        <v>133</v>
      </c>
      <c r="G277" s="90"/>
      <c r="H277" s="25"/>
      <c r="I277" s="26">
        <f t="shared" si="2"/>
        <v>0</v>
      </c>
      <c r="J277" s="90"/>
    </row>
    <row r="278" spans="1:10" ht="25.5">
      <c r="A278" s="112" t="s">
        <v>632</v>
      </c>
      <c r="B278" s="22" t="s">
        <v>76</v>
      </c>
      <c r="C278" s="22" t="s">
        <v>165</v>
      </c>
      <c r="D278" s="22" t="s">
        <v>80</v>
      </c>
      <c r="E278" s="36" t="s">
        <v>634</v>
      </c>
      <c r="F278" s="29"/>
      <c r="G278" s="90">
        <f>G279</f>
        <v>879750</v>
      </c>
      <c r="H278" s="25"/>
      <c r="I278" s="26">
        <f t="shared" si="2"/>
        <v>879750</v>
      </c>
      <c r="J278" s="90">
        <f>J279</f>
        <v>879750</v>
      </c>
    </row>
    <row r="279" spans="1:10" ht="15">
      <c r="A279" s="40" t="s">
        <v>132</v>
      </c>
      <c r="B279" s="22" t="s">
        <v>76</v>
      </c>
      <c r="C279" s="22" t="s">
        <v>165</v>
      </c>
      <c r="D279" s="22" t="s">
        <v>80</v>
      </c>
      <c r="E279" s="36" t="s">
        <v>634</v>
      </c>
      <c r="F279" s="29" t="s">
        <v>133</v>
      </c>
      <c r="G279" s="90">
        <v>879750</v>
      </c>
      <c r="H279" s="25"/>
      <c r="I279" s="26">
        <f t="shared" si="2"/>
        <v>879750</v>
      </c>
      <c r="J279" s="90">
        <v>879750</v>
      </c>
    </row>
    <row r="280" spans="1:10" ht="25.5">
      <c r="A280" s="112" t="s">
        <v>633</v>
      </c>
      <c r="B280" s="22" t="s">
        <v>76</v>
      </c>
      <c r="C280" s="22" t="s">
        <v>165</v>
      </c>
      <c r="D280" s="22" t="s">
        <v>80</v>
      </c>
      <c r="E280" s="36" t="s">
        <v>635</v>
      </c>
      <c r="F280" s="29"/>
      <c r="G280" s="90">
        <f>G281</f>
        <v>155250</v>
      </c>
      <c r="H280" s="25"/>
      <c r="I280" s="26">
        <f t="shared" si="2"/>
        <v>155250</v>
      </c>
      <c r="J280" s="90">
        <f>J281</f>
        <v>155250</v>
      </c>
    </row>
    <row r="281" spans="1:10" ht="15">
      <c r="A281" s="40" t="s">
        <v>132</v>
      </c>
      <c r="B281" s="22" t="s">
        <v>76</v>
      </c>
      <c r="C281" s="22" t="s">
        <v>165</v>
      </c>
      <c r="D281" s="22" t="s">
        <v>80</v>
      </c>
      <c r="E281" s="36" t="s">
        <v>635</v>
      </c>
      <c r="F281" s="29" t="s">
        <v>133</v>
      </c>
      <c r="G281" s="90">
        <v>155250</v>
      </c>
      <c r="H281" s="78"/>
      <c r="I281" s="26">
        <f t="shared" si="2"/>
        <v>155250</v>
      </c>
      <c r="J281" s="90">
        <v>155250</v>
      </c>
    </row>
    <row r="282" spans="1:10" ht="39">
      <c r="A282" s="27" t="s">
        <v>257</v>
      </c>
      <c r="B282" s="22" t="s">
        <v>76</v>
      </c>
      <c r="C282" s="22" t="s">
        <v>165</v>
      </c>
      <c r="D282" s="22" t="s">
        <v>80</v>
      </c>
      <c r="E282" s="36" t="s">
        <v>630</v>
      </c>
      <c r="F282" s="29"/>
      <c r="G282" s="90">
        <f>G283</f>
        <v>504450</v>
      </c>
      <c r="H282" s="78"/>
      <c r="I282" s="26">
        <f t="shared" si="2"/>
        <v>504450</v>
      </c>
      <c r="J282" s="90">
        <f>J283</f>
        <v>504450</v>
      </c>
    </row>
    <row r="283" spans="1:10" ht="15">
      <c r="A283" s="40" t="s">
        <v>132</v>
      </c>
      <c r="B283" s="22" t="s">
        <v>76</v>
      </c>
      <c r="C283" s="22" t="s">
        <v>165</v>
      </c>
      <c r="D283" s="22" t="s">
        <v>80</v>
      </c>
      <c r="E283" s="36" t="s">
        <v>630</v>
      </c>
      <c r="F283" s="29" t="s">
        <v>133</v>
      </c>
      <c r="G283" s="121">
        <f>300000+1144750-290300-150000-500000</f>
        <v>504450</v>
      </c>
      <c r="H283" s="25"/>
      <c r="I283" s="26">
        <f t="shared" si="2"/>
        <v>504450</v>
      </c>
      <c r="J283" s="121">
        <f>300000+1144750-290300-150000-500000</f>
        <v>504450</v>
      </c>
    </row>
    <row r="284" spans="1:10" ht="13.5" customHeight="1">
      <c r="A284" s="128" t="s">
        <v>182</v>
      </c>
      <c r="B284" s="22" t="s">
        <v>76</v>
      </c>
      <c r="C284" s="22" t="s">
        <v>113</v>
      </c>
      <c r="D284" s="22"/>
      <c r="E284" s="36"/>
      <c r="F284" s="35"/>
      <c r="G284" s="90">
        <f>G285</f>
        <v>1022062</v>
      </c>
      <c r="H284" s="25"/>
      <c r="I284" s="26">
        <f>G284+H284</f>
        <v>1022062</v>
      </c>
      <c r="J284" s="90">
        <f>J285</f>
        <v>1022062</v>
      </c>
    </row>
    <row r="285" spans="1:10" ht="15">
      <c r="A285" s="21" t="s">
        <v>543</v>
      </c>
      <c r="B285" s="22" t="s">
        <v>76</v>
      </c>
      <c r="C285" s="22" t="s">
        <v>113</v>
      </c>
      <c r="D285" s="22" t="s">
        <v>113</v>
      </c>
      <c r="E285" s="22"/>
      <c r="F285" s="24"/>
      <c r="G285" s="90">
        <f>G286</f>
        <v>1022062</v>
      </c>
      <c r="H285" s="25"/>
      <c r="I285" s="26">
        <f>G285+H285</f>
        <v>1022062</v>
      </c>
      <c r="J285" s="90">
        <f>J286</f>
        <v>1022062</v>
      </c>
    </row>
    <row r="286" spans="1:10" ht="57" customHeight="1">
      <c r="A286" s="30" t="s">
        <v>304</v>
      </c>
      <c r="B286" s="22" t="s">
        <v>76</v>
      </c>
      <c r="C286" s="22" t="s">
        <v>113</v>
      </c>
      <c r="D286" s="22" t="s">
        <v>113</v>
      </c>
      <c r="E286" s="36" t="s">
        <v>301</v>
      </c>
      <c r="F286" s="24"/>
      <c r="G286" s="90">
        <f>G287+G292</f>
        <v>1022062</v>
      </c>
      <c r="H286" s="25"/>
      <c r="I286" s="26">
        <f aca="true" t="shared" si="3" ref="I286:I353">G286+H286</f>
        <v>1022062</v>
      </c>
      <c r="J286" s="90">
        <f>J287+J292</f>
        <v>1022062</v>
      </c>
    </row>
    <row r="287" spans="1:13" ht="76.5" customHeight="1">
      <c r="A287" s="116" t="s">
        <v>305</v>
      </c>
      <c r="B287" s="22" t="s">
        <v>76</v>
      </c>
      <c r="C287" s="43" t="s">
        <v>113</v>
      </c>
      <c r="D287" s="43" t="s">
        <v>113</v>
      </c>
      <c r="E287" s="61" t="s">
        <v>302</v>
      </c>
      <c r="F287" s="62"/>
      <c r="G287" s="94">
        <f>G288</f>
        <v>85000</v>
      </c>
      <c r="H287" s="25"/>
      <c r="I287" s="26">
        <f t="shared" si="3"/>
        <v>85000</v>
      </c>
      <c r="J287" s="94">
        <f>J288</f>
        <v>85000</v>
      </c>
      <c r="M287" s="20">
        <f>J285+J368+J523</f>
        <v>379551934.02</v>
      </c>
    </row>
    <row r="288" spans="1:10" ht="39.75" customHeight="1">
      <c r="A288" s="30" t="s">
        <v>613</v>
      </c>
      <c r="B288" s="22" t="s">
        <v>76</v>
      </c>
      <c r="C288" s="22" t="s">
        <v>113</v>
      </c>
      <c r="D288" s="22" t="s">
        <v>113</v>
      </c>
      <c r="E288" s="36" t="s">
        <v>303</v>
      </c>
      <c r="F288" s="35"/>
      <c r="G288" s="90">
        <f>G289</f>
        <v>85000</v>
      </c>
      <c r="H288" s="25"/>
      <c r="I288" s="26">
        <f t="shared" si="3"/>
        <v>85000</v>
      </c>
      <c r="J288" s="90">
        <f>J289</f>
        <v>85000</v>
      </c>
    </row>
    <row r="289" spans="1:10" ht="19.5" customHeight="1">
      <c r="A289" s="30" t="s">
        <v>183</v>
      </c>
      <c r="B289" s="22" t="s">
        <v>76</v>
      </c>
      <c r="C289" s="22" t="s">
        <v>113</v>
      </c>
      <c r="D289" s="22" t="s">
        <v>113</v>
      </c>
      <c r="E289" s="36" t="s">
        <v>306</v>
      </c>
      <c r="F289" s="35"/>
      <c r="G289" s="90">
        <f>G290+G291</f>
        <v>85000</v>
      </c>
      <c r="H289" s="25"/>
      <c r="I289" s="26">
        <f t="shared" si="3"/>
        <v>85000</v>
      </c>
      <c r="J289" s="90">
        <f>J290+J291</f>
        <v>85000</v>
      </c>
    </row>
    <row r="290" spans="1:10" ht="27.75" customHeight="1">
      <c r="A290" s="28" t="s">
        <v>39</v>
      </c>
      <c r="B290" s="22" t="s">
        <v>76</v>
      </c>
      <c r="C290" s="22" t="s">
        <v>113</v>
      </c>
      <c r="D290" s="22" t="s">
        <v>113</v>
      </c>
      <c r="E290" s="36" t="s">
        <v>306</v>
      </c>
      <c r="F290" s="35" t="s">
        <v>92</v>
      </c>
      <c r="G290" s="90">
        <f>85000-20000</f>
        <v>65000</v>
      </c>
      <c r="H290" s="78"/>
      <c r="I290" s="26">
        <f t="shared" si="3"/>
        <v>65000</v>
      </c>
      <c r="J290" s="90">
        <f>85000-20000</f>
        <v>65000</v>
      </c>
    </row>
    <row r="291" spans="1:10" ht="19.5" customHeight="1">
      <c r="A291" s="21" t="s">
        <v>136</v>
      </c>
      <c r="B291" s="22" t="s">
        <v>76</v>
      </c>
      <c r="C291" s="22" t="s">
        <v>113</v>
      </c>
      <c r="D291" s="22" t="s">
        <v>113</v>
      </c>
      <c r="E291" s="36" t="s">
        <v>306</v>
      </c>
      <c r="F291" s="35" t="s">
        <v>137</v>
      </c>
      <c r="G291" s="90">
        <f>20000</f>
        <v>20000</v>
      </c>
      <c r="H291" s="78"/>
      <c r="I291" s="26">
        <f t="shared" si="3"/>
        <v>20000</v>
      </c>
      <c r="J291" s="90">
        <f>20000</f>
        <v>20000</v>
      </c>
    </row>
    <row r="292" spans="1:10" ht="55.5" customHeight="1">
      <c r="A292" s="135" t="s">
        <v>323</v>
      </c>
      <c r="B292" s="22" t="s">
        <v>76</v>
      </c>
      <c r="C292" s="22" t="s">
        <v>113</v>
      </c>
      <c r="D292" s="22" t="s">
        <v>113</v>
      </c>
      <c r="E292" s="36" t="s">
        <v>324</v>
      </c>
      <c r="F292" s="35"/>
      <c r="G292" s="90">
        <f>G293</f>
        <v>937062</v>
      </c>
      <c r="H292" s="25"/>
      <c r="I292" s="26">
        <f t="shared" si="3"/>
        <v>937062</v>
      </c>
      <c r="J292" s="90">
        <f>J293</f>
        <v>937062</v>
      </c>
    </row>
    <row r="293" spans="1:10" ht="25.5">
      <c r="A293" s="30" t="s">
        <v>168</v>
      </c>
      <c r="B293" s="22" t="s">
        <v>76</v>
      </c>
      <c r="C293" s="22" t="s">
        <v>113</v>
      </c>
      <c r="D293" s="22" t="s">
        <v>113</v>
      </c>
      <c r="E293" s="36" t="s">
        <v>325</v>
      </c>
      <c r="F293" s="35"/>
      <c r="G293" s="90">
        <f>G294+G296</f>
        <v>937062</v>
      </c>
      <c r="H293" s="25"/>
      <c r="I293" s="26">
        <f t="shared" si="3"/>
        <v>937062</v>
      </c>
      <c r="J293" s="90">
        <f>J294+J296</f>
        <v>937062</v>
      </c>
    </row>
    <row r="294" spans="1:10" ht="15">
      <c r="A294" s="21" t="s">
        <v>184</v>
      </c>
      <c r="B294" s="22" t="s">
        <v>76</v>
      </c>
      <c r="C294" s="22" t="s">
        <v>113</v>
      </c>
      <c r="D294" s="22" t="s">
        <v>113</v>
      </c>
      <c r="E294" s="36" t="s">
        <v>36</v>
      </c>
      <c r="F294" s="24"/>
      <c r="G294" s="90">
        <f>G295</f>
        <v>335664</v>
      </c>
      <c r="H294" s="25"/>
      <c r="I294" s="26">
        <f t="shared" si="3"/>
        <v>335664</v>
      </c>
      <c r="J294" s="90">
        <f>J295</f>
        <v>335664</v>
      </c>
    </row>
    <row r="295" spans="1:10" ht="15">
      <c r="A295" s="21" t="s">
        <v>136</v>
      </c>
      <c r="B295" s="22" t="s">
        <v>76</v>
      </c>
      <c r="C295" s="22" t="s">
        <v>113</v>
      </c>
      <c r="D295" s="22" t="s">
        <v>113</v>
      </c>
      <c r="E295" s="36" t="s">
        <v>36</v>
      </c>
      <c r="F295" s="35" t="s">
        <v>137</v>
      </c>
      <c r="G295" s="90">
        <v>335664</v>
      </c>
      <c r="H295" s="25"/>
      <c r="I295" s="26">
        <f t="shared" si="3"/>
        <v>335664</v>
      </c>
      <c r="J295" s="90">
        <v>335664</v>
      </c>
    </row>
    <row r="296" spans="1:10" ht="18.75" customHeight="1">
      <c r="A296" s="120" t="s">
        <v>37</v>
      </c>
      <c r="B296" s="22" t="s">
        <v>76</v>
      </c>
      <c r="C296" s="22" t="s">
        <v>113</v>
      </c>
      <c r="D296" s="22" t="s">
        <v>113</v>
      </c>
      <c r="E296" s="36" t="s">
        <v>38</v>
      </c>
      <c r="F296" s="24"/>
      <c r="G296" s="90">
        <f>G297</f>
        <v>601398</v>
      </c>
      <c r="H296" s="25"/>
      <c r="I296" s="26">
        <f>G296+H296</f>
        <v>601398</v>
      </c>
      <c r="J296" s="90">
        <f>J297</f>
        <v>601398</v>
      </c>
    </row>
    <row r="297" spans="1:10" ht="15">
      <c r="A297" s="21" t="s">
        <v>136</v>
      </c>
      <c r="B297" s="22" t="s">
        <v>76</v>
      </c>
      <c r="C297" s="22" t="s">
        <v>113</v>
      </c>
      <c r="D297" s="22" t="s">
        <v>113</v>
      </c>
      <c r="E297" s="36" t="s">
        <v>38</v>
      </c>
      <c r="F297" s="35" t="s">
        <v>137</v>
      </c>
      <c r="G297" s="90">
        <f>600000+4800-3402</f>
        <v>601398</v>
      </c>
      <c r="H297" s="78"/>
      <c r="I297" s="26">
        <f>G297+H297</f>
        <v>601398</v>
      </c>
      <c r="J297" s="90">
        <f>600000+4800-3402</f>
        <v>601398</v>
      </c>
    </row>
    <row r="298" spans="1:10" ht="15">
      <c r="A298" s="21" t="s">
        <v>476</v>
      </c>
      <c r="B298" s="22" t="s">
        <v>76</v>
      </c>
      <c r="C298" s="22" t="s">
        <v>144</v>
      </c>
      <c r="D298" s="22"/>
      <c r="E298" s="36"/>
      <c r="F298" s="35"/>
      <c r="G298" s="90">
        <f>G299</f>
        <v>9200</v>
      </c>
      <c r="H298" s="25"/>
      <c r="I298" s="26">
        <f t="shared" si="3"/>
        <v>9200</v>
      </c>
      <c r="J298" s="90">
        <f>J299</f>
        <v>9200</v>
      </c>
    </row>
    <row r="299" spans="1:10" ht="15">
      <c r="A299" s="151" t="s">
        <v>477</v>
      </c>
      <c r="B299" s="22" t="s">
        <v>76</v>
      </c>
      <c r="C299" s="22" t="s">
        <v>144</v>
      </c>
      <c r="D299" s="22" t="s">
        <v>113</v>
      </c>
      <c r="E299" s="22"/>
      <c r="F299" s="24"/>
      <c r="G299" s="90">
        <f>G300</f>
        <v>9200</v>
      </c>
      <c r="H299" s="25"/>
      <c r="I299" s="26">
        <f t="shared" si="3"/>
        <v>9200</v>
      </c>
      <c r="J299" s="90">
        <f>J300</f>
        <v>9200</v>
      </c>
    </row>
    <row r="300" spans="1:10" ht="15">
      <c r="A300" s="21" t="s">
        <v>106</v>
      </c>
      <c r="B300" s="22" t="s">
        <v>76</v>
      </c>
      <c r="C300" s="22" t="s">
        <v>144</v>
      </c>
      <c r="D300" s="22" t="s">
        <v>113</v>
      </c>
      <c r="E300" s="32" t="s">
        <v>368</v>
      </c>
      <c r="F300" s="29"/>
      <c r="G300" s="90">
        <f>G301</f>
        <v>9200</v>
      </c>
      <c r="H300" s="25"/>
      <c r="I300" s="26">
        <f t="shared" si="3"/>
        <v>9200</v>
      </c>
      <c r="J300" s="90">
        <f>J301</f>
        <v>9200</v>
      </c>
    </row>
    <row r="301" spans="1:10" ht="15">
      <c r="A301" s="21" t="s">
        <v>107</v>
      </c>
      <c r="B301" s="22" t="s">
        <v>76</v>
      </c>
      <c r="C301" s="22" t="s">
        <v>144</v>
      </c>
      <c r="D301" s="22" t="s">
        <v>113</v>
      </c>
      <c r="E301" s="22" t="s">
        <v>369</v>
      </c>
      <c r="F301" s="24"/>
      <c r="G301" s="90">
        <f>G302+G304</f>
        <v>9200</v>
      </c>
      <c r="H301" s="25"/>
      <c r="I301" s="26">
        <f t="shared" si="3"/>
        <v>9200</v>
      </c>
      <c r="J301" s="90">
        <f>J302+J304</f>
        <v>9200</v>
      </c>
    </row>
    <row r="302" spans="1:10" ht="25.5">
      <c r="A302" s="30" t="s">
        <v>604</v>
      </c>
      <c r="B302" s="22" t="s">
        <v>76</v>
      </c>
      <c r="C302" s="22" t="s">
        <v>144</v>
      </c>
      <c r="D302" s="22" t="s">
        <v>113</v>
      </c>
      <c r="E302" s="22" t="s">
        <v>449</v>
      </c>
      <c r="F302" s="24"/>
      <c r="G302" s="90">
        <f>G303</f>
        <v>9200</v>
      </c>
      <c r="H302" s="25"/>
      <c r="I302" s="26">
        <f t="shared" si="3"/>
        <v>9200</v>
      </c>
      <c r="J302" s="90">
        <f>J303</f>
        <v>9200</v>
      </c>
    </row>
    <row r="303" spans="1:10" ht="26.25">
      <c r="A303" s="28" t="s">
        <v>39</v>
      </c>
      <c r="B303" s="22" t="s">
        <v>76</v>
      </c>
      <c r="C303" s="22" t="s">
        <v>144</v>
      </c>
      <c r="D303" s="22" t="s">
        <v>113</v>
      </c>
      <c r="E303" s="22" t="s">
        <v>449</v>
      </c>
      <c r="F303" s="29" t="s">
        <v>92</v>
      </c>
      <c r="G303" s="90">
        <f>5053+4147</f>
        <v>9200</v>
      </c>
      <c r="H303" s="78"/>
      <c r="I303" s="26">
        <f t="shared" si="3"/>
        <v>9200</v>
      </c>
      <c r="J303" s="90">
        <f>5053+4147</f>
        <v>9200</v>
      </c>
    </row>
    <row r="304" spans="1:10" ht="46.5" customHeight="1" hidden="1">
      <c r="A304" s="30" t="s">
        <v>458</v>
      </c>
      <c r="B304" s="22" t="s">
        <v>76</v>
      </c>
      <c r="C304" s="22" t="s">
        <v>144</v>
      </c>
      <c r="D304" s="22" t="s">
        <v>113</v>
      </c>
      <c r="E304" s="22" t="s">
        <v>450</v>
      </c>
      <c r="F304" s="24"/>
      <c r="G304" s="90">
        <f>G305</f>
        <v>0</v>
      </c>
      <c r="H304" s="25"/>
      <c r="I304" s="26">
        <f t="shared" si="3"/>
        <v>0</v>
      </c>
      <c r="J304" s="90">
        <f>J305</f>
        <v>0</v>
      </c>
    </row>
    <row r="305" spans="1:10" ht="26.25" hidden="1">
      <c r="A305" s="28" t="s">
        <v>39</v>
      </c>
      <c r="B305" s="22" t="s">
        <v>76</v>
      </c>
      <c r="C305" s="22" t="s">
        <v>144</v>
      </c>
      <c r="D305" s="22" t="s">
        <v>113</v>
      </c>
      <c r="E305" s="22" t="s">
        <v>450</v>
      </c>
      <c r="F305" s="29" t="s">
        <v>85</v>
      </c>
      <c r="G305" s="90"/>
      <c r="H305" s="25"/>
      <c r="I305" s="26">
        <f t="shared" si="3"/>
        <v>0</v>
      </c>
      <c r="J305" s="90"/>
    </row>
    <row r="306" spans="1:10" ht="17.25" customHeight="1">
      <c r="A306" s="21" t="s">
        <v>189</v>
      </c>
      <c r="B306" s="22" t="s">
        <v>76</v>
      </c>
      <c r="C306" s="22" t="s">
        <v>190</v>
      </c>
      <c r="D306" s="22"/>
      <c r="E306" s="36"/>
      <c r="F306" s="35"/>
      <c r="G306" s="90">
        <f>G307+G313+G329</f>
        <v>13299153</v>
      </c>
      <c r="H306" s="25"/>
      <c r="I306" s="26">
        <f t="shared" si="3"/>
        <v>13299153</v>
      </c>
      <c r="J306" s="90">
        <f>J307+J313+J329</f>
        <v>12725270.850000001</v>
      </c>
    </row>
    <row r="307" spans="1:10" ht="15">
      <c r="A307" s="21" t="s">
        <v>191</v>
      </c>
      <c r="B307" s="22" t="s">
        <v>76</v>
      </c>
      <c r="C307" s="22" t="s">
        <v>190</v>
      </c>
      <c r="D307" s="22" t="s">
        <v>78</v>
      </c>
      <c r="E307" s="22"/>
      <c r="F307" s="24"/>
      <c r="G307" s="90">
        <f>G308</f>
        <v>273300</v>
      </c>
      <c r="H307" s="25"/>
      <c r="I307" s="26">
        <f t="shared" si="3"/>
        <v>273300</v>
      </c>
      <c r="J307" s="90">
        <f>J308</f>
        <v>273299.27</v>
      </c>
    </row>
    <row r="308" spans="1:10" ht="44.25" customHeight="1">
      <c r="A308" s="21" t="s">
        <v>551</v>
      </c>
      <c r="B308" s="22" t="s">
        <v>76</v>
      </c>
      <c r="C308" s="22" t="s">
        <v>190</v>
      </c>
      <c r="D308" s="22" t="s">
        <v>78</v>
      </c>
      <c r="E308" s="22" t="s">
        <v>356</v>
      </c>
      <c r="F308" s="24"/>
      <c r="G308" s="90">
        <f>G309</f>
        <v>273300</v>
      </c>
      <c r="H308" s="25"/>
      <c r="I308" s="26">
        <f t="shared" si="3"/>
        <v>273300</v>
      </c>
      <c r="J308" s="90">
        <f>J309</f>
        <v>273299.27</v>
      </c>
    </row>
    <row r="309" spans="1:10" ht="51.75" customHeight="1">
      <c r="A309" s="117" t="s">
        <v>559</v>
      </c>
      <c r="B309" s="22" t="s">
        <v>76</v>
      </c>
      <c r="C309" s="43" t="s">
        <v>190</v>
      </c>
      <c r="D309" s="43" t="s">
        <v>78</v>
      </c>
      <c r="E309" s="43" t="s">
        <v>387</v>
      </c>
      <c r="F309" s="44"/>
      <c r="G309" s="94">
        <f>G311</f>
        <v>273300</v>
      </c>
      <c r="H309" s="25"/>
      <c r="I309" s="26">
        <f t="shared" si="3"/>
        <v>273300</v>
      </c>
      <c r="J309" s="94">
        <f>J311</f>
        <v>273299.27</v>
      </c>
    </row>
    <row r="310" spans="1:10" ht="30.75" customHeight="1">
      <c r="A310" s="137" t="s">
        <v>388</v>
      </c>
      <c r="B310" s="22" t="s">
        <v>76</v>
      </c>
      <c r="C310" s="22" t="s">
        <v>190</v>
      </c>
      <c r="D310" s="22" t="s">
        <v>78</v>
      </c>
      <c r="E310" s="22" t="s">
        <v>390</v>
      </c>
      <c r="F310" s="24"/>
      <c r="G310" s="90">
        <f>G311</f>
        <v>273300</v>
      </c>
      <c r="H310" s="25"/>
      <c r="I310" s="26">
        <f t="shared" si="3"/>
        <v>273300</v>
      </c>
      <c r="J310" s="90">
        <f>J311</f>
        <v>273299.27</v>
      </c>
    </row>
    <row r="311" spans="1:10" ht="21.75" customHeight="1">
      <c r="A311" s="152" t="s">
        <v>201</v>
      </c>
      <c r="B311" s="22" t="s">
        <v>76</v>
      </c>
      <c r="C311" s="22" t="s">
        <v>202</v>
      </c>
      <c r="D311" s="22" t="s">
        <v>78</v>
      </c>
      <c r="E311" s="22" t="s">
        <v>193</v>
      </c>
      <c r="F311" s="24"/>
      <c r="G311" s="90">
        <f>G312</f>
        <v>273300</v>
      </c>
      <c r="H311" s="25"/>
      <c r="I311" s="26">
        <f t="shared" si="3"/>
        <v>273300</v>
      </c>
      <c r="J311" s="90">
        <f>J312</f>
        <v>273299.27</v>
      </c>
    </row>
    <row r="312" spans="1:10" ht="15">
      <c r="A312" s="38" t="s">
        <v>136</v>
      </c>
      <c r="B312" s="22" t="s">
        <v>76</v>
      </c>
      <c r="C312" s="22" t="s">
        <v>202</v>
      </c>
      <c r="D312" s="22" t="s">
        <v>78</v>
      </c>
      <c r="E312" s="22" t="s">
        <v>193</v>
      </c>
      <c r="F312" s="24" t="s">
        <v>137</v>
      </c>
      <c r="G312" s="90">
        <f>206600+66700</f>
        <v>273300</v>
      </c>
      <c r="H312" s="78"/>
      <c r="I312" s="26">
        <f t="shared" si="3"/>
        <v>273300</v>
      </c>
      <c r="J312" s="90">
        <v>273299.27</v>
      </c>
    </row>
    <row r="313" spans="1:10" ht="17.25" customHeight="1">
      <c r="A313" s="21" t="s">
        <v>203</v>
      </c>
      <c r="B313" s="22" t="s">
        <v>76</v>
      </c>
      <c r="C313" s="22">
        <v>10</v>
      </c>
      <c r="D313" s="22" t="s">
        <v>87</v>
      </c>
      <c r="E313" s="22"/>
      <c r="F313" s="24"/>
      <c r="G313" s="90">
        <f>G314</f>
        <v>11112868</v>
      </c>
      <c r="H313" s="25"/>
      <c r="I313" s="26">
        <f t="shared" si="3"/>
        <v>11112868</v>
      </c>
      <c r="J313" s="90">
        <f>J314</f>
        <v>11077007.170000002</v>
      </c>
    </row>
    <row r="314" spans="1:10" ht="44.25" customHeight="1">
      <c r="A314" s="21" t="s">
        <v>551</v>
      </c>
      <c r="B314" s="22" t="s">
        <v>76</v>
      </c>
      <c r="C314" s="22">
        <v>10</v>
      </c>
      <c r="D314" s="22" t="s">
        <v>87</v>
      </c>
      <c r="E314" s="22" t="s">
        <v>356</v>
      </c>
      <c r="F314" s="24"/>
      <c r="G314" s="90">
        <f>G315</f>
        <v>11112868</v>
      </c>
      <c r="H314" s="25"/>
      <c r="I314" s="26">
        <f t="shared" si="3"/>
        <v>11112868</v>
      </c>
      <c r="J314" s="90">
        <f>J315</f>
        <v>11077007.170000002</v>
      </c>
    </row>
    <row r="315" spans="1:10" ht="59.25" customHeight="1">
      <c r="A315" s="70" t="s">
        <v>552</v>
      </c>
      <c r="B315" s="22" t="s">
        <v>76</v>
      </c>
      <c r="C315" s="43">
        <v>10</v>
      </c>
      <c r="D315" s="43" t="s">
        <v>87</v>
      </c>
      <c r="E315" s="43" t="s">
        <v>387</v>
      </c>
      <c r="F315" s="44"/>
      <c r="G315" s="94">
        <f>G316</f>
        <v>11112868</v>
      </c>
      <c r="H315" s="25"/>
      <c r="I315" s="26">
        <f t="shared" si="3"/>
        <v>11112868</v>
      </c>
      <c r="J315" s="94">
        <f>J316</f>
        <v>11077007.170000002</v>
      </c>
    </row>
    <row r="316" spans="1:10" ht="35.25" customHeight="1">
      <c r="A316" s="101" t="s">
        <v>192</v>
      </c>
      <c r="B316" s="22" t="s">
        <v>76</v>
      </c>
      <c r="C316" s="22">
        <v>10</v>
      </c>
      <c r="D316" s="22" t="s">
        <v>87</v>
      </c>
      <c r="E316" s="22" t="s">
        <v>389</v>
      </c>
      <c r="F316" s="24"/>
      <c r="G316" s="90">
        <f>G317+G320+G323+G326</f>
        <v>11112868</v>
      </c>
      <c r="H316" s="25"/>
      <c r="I316" s="26">
        <f t="shared" si="3"/>
        <v>11112868</v>
      </c>
      <c r="J316" s="90">
        <f>J317+J320+J323+J326</f>
        <v>11077007.170000002</v>
      </c>
    </row>
    <row r="317" spans="1:10" ht="26.25">
      <c r="A317" s="27" t="s">
        <v>205</v>
      </c>
      <c r="B317" s="22" t="s">
        <v>76</v>
      </c>
      <c r="C317" s="22">
        <v>10</v>
      </c>
      <c r="D317" s="22" t="s">
        <v>87</v>
      </c>
      <c r="E317" s="22" t="s">
        <v>194</v>
      </c>
      <c r="F317" s="24"/>
      <c r="G317" s="90">
        <f>G319+G318</f>
        <v>70994</v>
      </c>
      <c r="H317" s="25"/>
      <c r="I317" s="26">
        <f t="shared" si="3"/>
        <v>70994</v>
      </c>
      <c r="J317" s="90">
        <f>J319+J318</f>
        <v>63921.270000000004</v>
      </c>
    </row>
    <row r="318" spans="1:10" ht="15" customHeight="1">
      <c r="A318" s="28" t="s">
        <v>39</v>
      </c>
      <c r="B318" s="22" t="s">
        <v>76</v>
      </c>
      <c r="C318" s="22">
        <v>10</v>
      </c>
      <c r="D318" s="22" t="s">
        <v>87</v>
      </c>
      <c r="E318" s="22" t="s">
        <v>194</v>
      </c>
      <c r="F318" s="24" t="s">
        <v>92</v>
      </c>
      <c r="G318" s="90">
        <f>880+780-560</f>
        <v>1100</v>
      </c>
      <c r="H318" s="78"/>
      <c r="I318" s="26">
        <f t="shared" si="3"/>
        <v>1100</v>
      </c>
      <c r="J318" s="90">
        <v>1028.37</v>
      </c>
    </row>
    <row r="319" spans="1:10" ht="17.25" customHeight="1">
      <c r="A319" s="33" t="s">
        <v>136</v>
      </c>
      <c r="B319" s="22" t="s">
        <v>76</v>
      </c>
      <c r="C319" s="22">
        <v>10</v>
      </c>
      <c r="D319" s="22" t="s">
        <v>87</v>
      </c>
      <c r="E319" s="22" t="s">
        <v>194</v>
      </c>
      <c r="F319" s="24" t="s">
        <v>137</v>
      </c>
      <c r="G319" s="90">
        <f>69334+560</f>
        <v>69894</v>
      </c>
      <c r="H319" s="78"/>
      <c r="I319" s="26">
        <f t="shared" si="3"/>
        <v>69894</v>
      </c>
      <c r="J319" s="90">
        <v>62892.9</v>
      </c>
    </row>
    <row r="320" spans="1:10" ht="34.5" customHeight="1">
      <c r="A320" s="27" t="s">
        <v>206</v>
      </c>
      <c r="B320" s="22" t="s">
        <v>76</v>
      </c>
      <c r="C320" s="22">
        <v>10</v>
      </c>
      <c r="D320" s="22" t="s">
        <v>87</v>
      </c>
      <c r="E320" s="22" t="s">
        <v>195</v>
      </c>
      <c r="F320" s="24"/>
      <c r="G320" s="90">
        <f>G322+G321</f>
        <v>299608</v>
      </c>
      <c r="H320" s="25"/>
      <c r="I320" s="26">
        <f t="shared" si="3"/>
        <v>299608</v>
      </c>
      <c r="J320" s="90">
        <f>J322+J321</f>
        <v>295097.02</v>
      </c>
    </row>
    <row r="321" spans="1:10" ht="15.75" customHeight="1">
      <c r="A321" s="28" t="s">
        <v>39</v>
      </c>
      <c r="B321" s="22" t="s">
        <v>76</v>
      </c>
      <c r="C321" s="22">
        <v>10</v>
      </c>
      <c r="D321" s="22" t="s">
        <v>87</v>
      </c>
      <c r="E321" s="22" t="s">
        <v>195</v>
      </c>
      <c r="F321" s="24" t="s">
        <v>92</v>
      </c>
      <c r="G321" s="90">
        <f>4060+1730-490</f>
        <v>5300</v>
      </c>
      <c r="H321" s="78"/>
      <c r="I321" s="26">
        <f t="shared" si="3"/>
        <v>5300</v>
      </c>
      <c r="J321" s="90">
        <v>5115.09</v>
      </c>
    </row>
    <row r="322" spans="1:10" ht="24.75" customHeight="1">
      <c r="A322" s="33" t="s">
        <v>136</v>
      </c>
      <c r="B322" s="22" t="s">
        <v>76</v>
      </c>
      <c r="C322" s="22">
        <v>10</v>
      </c>
      <c r="D322" s="22" t="s">
        <v>87</v>
      </c>
      <c r="E322" s="22" t="s">
        <v>195</v>
      </c>
      <c r="F322" s="24" t="s">
        <v>137</v>
      </c>
      <c r="G322" s="90">
        <f>326419-32111</f>
        <v>294308</v>
      </c>
      <c r="H322" s="78"/>
      <c r="I322" s="26">
        <f t="shared" si="3"/>
        <v>294308</v>
      </c>
      <c r="J322" s="90">
        <v>289981.93</v>
      </c>
    </row>
    <row r="323" spans="1:10" ht="18.75" customHeight="1">
      <c r="A323" s="21" t="s">
        <v>207</v>
      </c>
      <c r="B323" s="22" t="s">
        <v>76</v>
      </c>
      <c r="C323" s="22">
        <v>10</v>
      </c>
      <c r="D323" s="22" t="s">
        <v>87</v>
      </c>
      <c r="E323" s="22" t="s">
        <v>196</v>
      </c>
      <c r="F323" s="24"/>
      <c r="G323" s="90">
        <f>G325+G324</f>
        <v>9262266</v>
      </c>
      <c r="H323" s="25"/>
      <c r="I323" s="26">
        <f t="shared" si="3"/>
        <v>9262266</v>
      </c>
      <c r="J323" s="90">
        <f>J325+J324</f>
        <v>9251689.99</v>
      </c>
    </row>
    <row r="324" spans="1:10" ht="39.75" customHeight="1">
      <c r="A324" s="28" t="s">
        <v>39</v>
      </c>
      <c r="B324" s="22" t="s">
        <v>76</v>
      </c>
      <c r="C324" s="22">
        <v>10</v>
      </c>
      <c r="D324" s="22" t="s">
        <v>87</v>
      </c>
      <c r="E324" s="22" t="s">
        <v>196</v>
      </c>
      <c r="F324" s="24" t="s">
        <v>92</v>
      </c>
      <c r="G324" s="90">
        <f>98760+58520-5980</f>
        <v>151300</v>
      </c>
      <c r="H324" s="78"/>
      <c r="I324" s="26">
        <f t="shared" si="3"/>
        <v>151300</v>
      </c>
      <c r="J324" s="90">
        <v>150597.4</v>
      </c>
    </row>
    <row r="325" spans="1:10" ht="20.25" customHeight="1">
      <c r="A325" s="33" t="s">
        <v>136</v>
      </c>
      <c r="B325" s="22" t="s">
        <v>76</v>
      </c>
      <c r="C325" s="22">
        <v>10</v>
      </c>
      <c r="D325" s="22" t="s">
        <v>87</v>
      </c>
      <c r="E325" s="22" t="s">
        <v>196</v>
      </c>
      <c r="F325" s="24" t="s">
        <v>137</v>
      </c>
      <c r="G325" s="90">
        <f>8986705-317494+372708+69047</f>
        <v>9110966</v>
      </c>
      <c r="H325" s="78"/>
      <c r="I325" s="26">
        <f t="shared" si="3"/>
        <v>9110966</v>
      </c>
      <c r="J325" s="90">
        <v>9101092.59</v>
      </c>
    </row>
    <row r="326" spans="1:10" s="7" customFormat="1" ht="15">
      <c r="A326" s="21" t="s">
        <v>208</v>
      </c>
      <c r="B326" s="22" t="s">
        <v>76</v>
      </c>
      <c r="C326" s="22">
        <v>10</v>
      </c>
      <c r="D326" s="22" t="s">
        <v>87</v>
      </c>
      <c r="E326" s="22" t="s">
        <v>197</v>
      </c>
      <c r="F326" s="24"/>
      <c r="G326" s="90">
        <f>G328+G327</f>
        <v>1480000</v>
      </c>
      <c r="H326" s="25"/>
      <c r="I326" s="26">
        <f t="shared" si="3"/>
        <v>1480000</v>
      </c>
      <c r="J326" s="90">
        <f>J328+J327</f>
        <v>1466298.8900000001</v>
      </c>
    </row>
    <row r="327" spans="1:10" ht="26.25">
      <c r="A327" s="28" t="s">
        <v>39</v>
      </c>
      <c r="B327" s="22" t="s">
        <v>76</v>
      </c>
      <c r="C327" s="22">
        <v>10</v>
      </c>
      <c r="D327" s="22" t="s">
        <v>87</v>
      </c>
      <c r="E327" s="22" t="s">
        <v>197</v>
      </c>
      <c r="F327" s="24" t="s">
        <v>92</v>
      </c>
      <c r="G327" s="90">
        <f>26460+5680-7240</f>
        <v>24900</v>
      </c>
      <c r="H327" s="78"/>
      <c r="I327" s="26">
        <f t="shared" si="3"/>
        <v>24900</v>
      </c>
      <c r="J327" s="90">
        <v>24735.35</v>
      </c>
    </row>
    <row r="328" spans="1:10" ht="15">
      <c r="A328" s="33" t="s">
        <v>136</v>
      </c>
      <c r="B328" s="22" t="s">
        <v>76</v>
      </c>
      <c r="C328" s="22">
        <v>10</v>
      </c>
      <c r="D328" s="22" t="s">
        <v>87</v>
      </c>
      <c r="E328" s="22" t="s">
        <v>197</v>
      </c>
      <c r="F328" s="24" t="s">
        <v>137</v>
      </c>
      <c r="G328" s="90">
        <f>1743368-205508-62760-20000</f>
        <v>1455100</v>
      </c>
      <c r="H328" s="78"/>
      <c r="I328" s="26">
        <f t="shared" si="3"/>
        <v>1455100</v>
      </c>
      <c r="J328" s="90">
        <v>1441563.54</v>
      </c>
    </row>
    <row r="329" spans="1:10" ht="24" customHeight="1">
      <c r="A329" s="21" t="s">
        <v>254</v>
      </c>
      <c r="B329" s="22" t="s">
        <v>76</v>
      </c>
      <c r="C329" s="22">
        <v>10</v>
      </c>
      <c r="D329" s="22" t="s">
        <v>97</v>
      </c>
      <c r="E329" s="22"/>
      <c r="F329" s="24"/>
      <c r="G329" s="90">
        <f>G330</f>
        <v>1912985</v>
      </c>
      <c r="H329" s="90">
        <f>H330</f>
        <v>0</v>
      </c>
      <c r="I329" s="26">
        <f t="shared" si="3"/>
        <v>1912985</v>
      </c>
      <c r="J329" s="90">
        <f>J330</f>
        <v>1374964.41</v>
      </c>
    </row>
    <row r="330" spans="1:10" ht="44.25" customHeight="1">
      <c r="A330" s="21" t="s">
        <v>557</v>
      </c>
      <c r="B330" s="22" t="s">
        <v>76</v>
      </c>
      <c r="C330" s="22">
        <v>10</v>
      </c>
      <c r="D330" s="22" t="s">
        <v>97</v>
      </c>
      <c r="E330" s="50" t="s">
        <v>356</v>
      </c>
      <c r="F330" s="24"/>
      <c r="G330" s="90">
        <f>G331</f>
        <v>1912985</v>
      </c>
      <c r="H330" s="90">
        <f>H331</f>
        <v>0</v>
      </c>
      <c r="I330" s="26">
        <f t="shared" si="3"/>
        <v>1912985</v>
      </c>
      <c r="J330" s="90">
        <f>J331</f>
        <v>1374964.41</v>
      </c>
    </row>
    <row r="331" spans="1:10" ht="54.75" customHeight="1">
      <c r="A331" s="70" t="s">
        <v>552</v>
      </c>
      <c r="B331" s="22" t="s">
        <v>76</v>
      </c>
      <c r="C331" s="22">
        <v>10</v>
      </c>
      <c r="D331" s="22" t="s">
        <v>97</v>
      </c>
      <c r="E331" s="50" t="s">
        <v>387</v>
      </c>
      <c r="F331" s="24"/>
      <c r="G331" s="90">
        <f>G332</f>
        <v>1912985</v>
      </c>
      <c r="H331" s="90">
        <f>H333+H334</f>
        <v>0</v>
      </c>
      <c r="I331" s="26">
        <f t="shared" si="3"/>
        <v>1912985</v>
      </c>
      <c r="J331" s="90">
        <f>J332</f>
        <v>1374964.41</v>
      </c>
    </row>
    <row r="332" spans="1:10" ht="30.75" customHeight="1">
      <c r="A332" s="101" t="s">
        <v>192</v>
      </c>
      <c r="B332" s="22" t="s">
        <v>76</v>
      </c>
      <c r="C332" s="22">
        <v>10</v>
      </c>
      <c r="D332" s="22" t="s">
        <v>87</v>
      </c>
      <c r="E332" s="22" t="s">
        <v>389</v>
      </c>
      <c r="F332" s="24"/>
      <c r="G332" s="90">
        <f>G333+G334</f>
        <v>1912985</v>
      </c>
      <c r="H332" s="164"/>
      <c r="I332" s="26">
        <f t="shared" si="3"/>
        <v>1912985</v>
      </c>
      <c r="J332" s="90">
        <f>J333+J334</f>
        <v>1374964.41</v>
      </c>
    </row>
    <row r="333" spans="1:10" ht="24" customHeight="1">
      <c r="A333" s="21" t="s">
        <v>204</v>
      </c>
      <c r="B333" s="22" t="s">
        <v>76</v>
      </c>
      <c r="C333" s="22" t="s">
        <v>190</v>
      </c>
      <c r="D333" s="22" t="s">
        <v>97</v>
      </c>
      <c r="E333" s="22" t="s">
        <v>391</v>
      </c>
      <c r="F333" s="24" t="s">
        <v>92</v>
      </c>
      <c r="G333" s="90">
        <f>570-270</f>
        <v>300</v>
      </c>
      <c r="H333" s="78"/>
      <c r="I333" s="26">
        <f t="shared" si="3"/>
        <v>300</v>
      </c>
      <c r="J333" s="90">
        <v>166.43</v>
      </c>
    </row>
    <row r="334" spans="1:10" ht="26.25">
      <c r="A334" s="28" t="s">
        <v>39</v>
      </c>
      <c r="B334" s="22" t="s">
        <v>76</v>
      </c>
      <c r="C334" s="22" t="s">
        <v>190</v>
      </c>
      <c r="D334" s="22" t="s">
        <v>97</v>
      </c>
      <c r="E334" s="22" t="s">
        <v>391</v>
      </c>
      <c r="F334" s="24" t="s">
        <v>137</v>
      </c>
      <c r="G334" s="90">
        <f>1910237+2448</f>
        <v>1912685</v>
      </c>
      <c r="H334" s="78"/>
      <c r="I334" s="26">
        <f t="shared" si="3"/>
        <v>1912685</v>
      </c>
      <c r="J334" s="90">
        <v>1374797.98</v>
      </c>
    </row>
    <row r="335" spans="1:10" ht="15">
      <c r="A335" s="21" t="s">
        <v>209</v>
      </c>
      <c r="B335" s="22" t="s">
        <v>76</v>
      </c>
      <c r="C335" s="22" t="s">
        <v>117</v>
      </c>
      <c r="D335" s="22"/>
      <c r="E335" s="22"/>
      <c r="F335" s="24"/>
      <c r="G335" s="90">
        <f>G336</f>
        <v>150000</v>
      </c>
      <c r="H335" s="25"/>
      <c r="I335" s="26">
        <f t="shared" si="3"/>
        <v>150000</v>
      </c>
      <c r="J335" s="90">
        <f>J336</f>
        <v>149905</v>
      </c>
    </row>
    <row r="336" spans="1:10" ht="15">
      <c r="A336" s="21" t="s">
        <v>210</v>
      </c>
      <c r="B336" s="22" t="s">
        <v>76</v>
      </c>
      <c r="C336" s="22" t="s">
        <v>117</v>
      </c>
      <c r="D336" s="22" t="s">
        <v>78</v>
      </c>
      <c r="E336" s="22"/>
      <c r="F336" s="24"/>
      <c r="G336" s="90">
        <f>G337</f>
        <v>150000</v>
      </c>
      <c r="H336" s="25"/>
      <c r="I336" s="26">
        <f t="shared" si="3"/>
        <v>150000</v>
      </c>
      <c r="J336" s="90">
        <f>J337</f>
        <v>149905</v>
      </c>
    </row>
    <row r="337" spans="1:10" ht="54.75" customHeight="1">
      <c r="A337" s="30" t="s">
        <v>304</v>
      </c>
      <c r="B337" s="22" t="s">
        <v>76</v>
      </c>
      <c r="C337" s="22" t="s">
        <v>117</v>
      </c>
      <c r="D337" s="22" t="s">
        <v>78</v>
      </c>
      <c r="E337" s="36" t="s">
        <v>301</v>
      </c>
      <c r="F337" s="24"/>
      <c r="G337" s="90">
        <f>G338</f>
        <v>150000</v>
      </c>
      <c r="H337" s="25"/>
      <c r="I337" s="26">
        <f t="shared" si="3"/>
        <v>150000</v>
      </c>
      <c r="J337" s="90">
        <f>J338</f>
        <v>149905</v>
      </c>
    </row>
    <row r="338" spans="1:10" ht="75" customHeight="1">
      <c r="A338" s="60" t="s">
        <v>308</v>
      </c>
      <c r="B338" s="22" t="s">
        <v>76</v>
      </c>
      <c r="C338" s="43" t="s">
        <v>117</v>
      </c>
      <c r="D338" s="43" t="s">
        <v>78</v>
      </c>
      <c r="E338" s="61" t="s">
        <v>307</v>
      </c>
      <c r="F338" s="44"/>
      <c r="G338" s="94">
        <f>G339</f>
        <v>150000</v>
      </c>
      <c r="H338" s="25"/>
      <c r="I338" s="26">
        <f t="shared" si="3"/>
        <v>150000</v>
      </c>
      <c r="J338" s="94">
        <f>J339</f>
        <v>149905</v>
      </c>
    </row>
    <row r="339" spans="1:10" ht="44.25" customHeight="1">
      <c r="A339" s="135" t="s">
        <v>309</v>
      </c>
      <c r="B339" s="22" t="s">
        <v>76</v>
      </c>
      <c r="C339" s="22" t="s">
        <v>117</v>
      </c>
      <c r="D339" s="22" t="s">
        <v>78</v>
      </c>
      <c r="E339" s="36" t="s">
        <v>310</v>
      </c>
      <c r="F339" s="24"/>
      <c r="G339" s="90">
        <f>G340</f>
        <v>150000</v>
      </c>
      <c r="H339" s="25"/>
      <c r="I339" s="26">
        <f t="shared" si="3"/>
        <v>150000</v>
      </c>
      <c r="J339" s="90">
        <f>J340</f>
        <v>149905</v>
      </c>
    </row>
    <row r="340" spans="1:10" ht="40.5" customHeight="1">
      <c r="A340" s="21" t="s">
        <v>211</v>
      </c>
      <c r="B340" s="22" t="s">
        <v>76</v>
      </c>
      <c r="C340" s="22" t="s">
        <v>117</v>
      </c>
      <c r="D340" s="22" t="s">
        <v>78</v>
      </c>
      <c r="E340" s="36" t="s">
        <v>311</v>
      </c>
      <c r="F340" s="24"/>
      <c r="G340" s="90">
        <f>G342+G341</f>
        <v>150000</v>
      </c>
      <c r="H340" s="25"/>
      <c r="I340" s="26">
        <f t="shared" si="3"/>
        <v>150000</v>
      </c>
      <c r="J340" s="90">
        <f>J342+J341</f>
        <v>149905</v>
      </c>
    </row>
    <row r="341" spans="1:10" ht="43.5" customHeight="1">
      <c r="A341" s="28" t="s">
        <v>84</v>
      </c>
      <c r="B341" s="22" t="s">
        <v>76</v>
      </c>
      <c r="C341" s="22" t="s">
        <v>117</v>
      </c>
      <c r="D341" s="22" t="s">
        <v>78</v>
      </c>
      <c r="E341" s="36" t="s">
        <v>311</v>
      </c>
      <c r="F341" s="24" t="s">
        <v>85</v>
      </c>
      <c r="G341" s="90">
        <f>3195-3195</f>
        <v>0</v>
      </c>
      <c r="H341" s="78"/>
      <c r="I341" s="26">
        <f t="shared" si="3"/>
        <v>0</v>
      </c>
      <c r="J341" s="90">
        <f>3195-3195</f>
        <v>0</v>
      </c>
    </row>
    <row r="342" spans="1:10" ht="30.75" customHeight="1">
      <c r="A342" s="28" t="s">
        <v>39</v>
      </c>
      <c r="B342" s="22" t="s">
        <v>76</v>
      </c>
      <c r="C342" s="22" t="s">
        <v>117</v>
      </c>
      <c r="D342" s="22" t="s">
        <v>78</v>
      </c>
      <c r="E342" s="36" t="s">
        <v>311</v>
      </c>
      <c r="F342" s="24" t="s">
        <v>92</v>
      </c>
      <c r="G342" s="90">
        <f>130000-3195+20000+3195</f>
        <v>150000</v>
      </c>
      <c r="H342" s="78"/>
      <c r="I342" s="26">
        <f t="shared" si="3"/>
        <v>150000</v>
      </c>
      <c r="J342" s="90">
        <v>149905</v>
      </c>
    </row>
    <row r="343" spans="1:10" ht="38.25" hidden="1">
      <c r="A343" s="135" t="s">
        <v>314</v>
      </c>
      <c r="B343" s="22" t="s">
        <v>76</v>
      </c>
      <c r="C343" s="22" t="s">
        <v>117</v>
      </c>
      <c r="D343" s="22" t="s">
        <v>78</v>
      </c>
      <c r="E343" s="36" t="s">
        <v>312</v>
      </c>
      <c r="F343" s="24"/>
      <c r="G343" s="90"/>
      <c r="H343" s="25"/>
      <c r="I343" s="26">
        <f t="shared" si="3"/>
        <v>0</v>
      </c>
      <c r="J343" s="90"/>
    </row>
    <row r="344" spans="1:10" ht="39" hidden="1">
      <c r="A344" s="21" t="s">
        <v>211</v>
      </c>
      <c r="B344" s="43" t="s">
        <v>76</v>
      </c>
      <c r="C344" s="22" t="s">
        <v>117</v>
      </c>
      <c r="D344" s="22" t="s">
        <v>78</v>
      </c>
      <c r="E344" s="36" t="s">
        <v>313</v>
      </c>
      <c r="F344" s="24"/>
      <c r="G344" s="90">
        <f>G345</f>
        <v>0</v>
      </c>
      <c r="H344" s="25"/>
      <c r="I344" s="26">
        <f t="shared" si="3"/>
        <v>0</v>
      </c>
      <c r="J344" s="90">
        <f>J345</f>
        <v>0</v>
      </c>
    </row>
    <row r="345" spans="1:10" ht="26.25" hidden="1">
      <c r="A345" s="28" t="s">
        <v>39</v>
      </c>
      <c r="B345" s="22" t="s">
        <v>76</v>
      </c>
      <c r="C345" s="22" t="s">
        <v>117</v>
      </c>
      <c r="D345" s="22" t="s">
        <v>78</v>
      </c>
      <c r="E345" s="36" t="s">
        <v>313</v>
      </c>
      <c r="F345" s="24" t="s">
        <v>92</v>
      </c>
      <c r="G345" s="90"/>
      <c r="H345" s="25"/>
      <c r="I345" s="26">
        <f t="shared" si="3"/>
        <v>0</v>
      </c>
      <c r="J345" s="90"/>
    </row>
    <row r="346" spans="1:10" ht="20.25" customHeight="1">
      <c r="A346" s="21" t="s">
        <v>212</v>
      </c>
      <c r="B346" s="22" t="s">
        <v>76</v>
      </c>
      <c r="C346" s="22" t="s">
        <v>122</v>
      </c>
      <c r="D346" s="22"/>
      <c r="E346" s="22"/>
      <c r="F346" s="24"/>
      <c r="G346" s="90">
        <f>G347</f>
        <v>11400</v>
      </c>
      <c r="H346" s="25"/>
      <c r="I346" s="26">
        <f t="shared" si="3"/>
        <v>11400</v>
      </c>
      <c r="J346" s="90">
        <f>J347</f>
        <v>11390.57</v>
      </c>
    </row>
    <row r="347" spans="1:10" ht="24" customHeight="1">
      <c r="A347" s="21" t="s">
        <v>213</v>
      </c>
      <c r="B347" s="22" t="s">
        <v>76</v>
      </c>
      <c r="C347" s="22" t="s">
        <v>122</v>
      </c>
      <c r="D347" s="22" t="s">
        <v>78</v>
      </c>
      <c r="E347" s="22"/>
      <c r="F347" s="24"/>
      <c r="G347" s="90">
        <f>G348</f>
        <v>11400</v>
      </c>
      <c r="H347" s="25"/>
      <c r="I347" s="26">
        <f t="shared" si="3"/>
        <v>11400</v>
      </c>
      <c r="J347" s="90">
        <f>J348</f>
        <v>11390.57</v>
      </c>
    </row>
    <row r="348" spans="1:10" s="47" customFormat="1" ht="42" customHeight="1">
      <c r="A348" s="109" t="s">
        <v>544</v>
      </c>
      <c r="B348" s="22" t="s">
        <v>76</v>
      </c>
      <c r="C348" s="22" t="s">
        <v>122</v>
      </c>
      <c r="D348" s="22" t="s">
        <v>78</v>
      </c>
      <c r="E348" s="32" t="s">
        <v>12</v>
      </c>
      <c r="F348" s="24"/>
      <c r="G348" s="90">
        <f>G349</f>
        <v>11400</v>
      </c>
      <c r="H348" s="45"/>
      <c r="I348" s="26">
        <f t="shared" si="3"/>
        <v>11400</v>
      </c>
      <c r="J348" s="90">
        <f>J349</f>
        <v>11390.57</v>
      </c>
    </row>
    <row r="349" spans="1:10" s="47" customFormat="1" ht="62.25" customHeight="1">
      <c r="A349" s="105" t="s">
        <v>545</v>
      </c>
      <c r="B349" s="22" t="s">
        <v>76</v>
      </c>
      <c r="C349" s="43" t="s">
        <v>122</v>
      </c>
      <c r="D349" s="43" t="s">
        <v>78</v>
      </c>
      <c r="E349" s="32" t="s">
        <v>13</v>
      </c>
      <c r="F349" s="44"/>
      <c r="G349" s="94">
        <f>G351</f>
        <v>11400</v>
      </c>
      <c r="H349" s="45"/>
      <c r="I349" s="26">
        <f t="shared" si="3"/>
        <v>11400</v>
      </c>
      <c r="J349" s="94">
        <f>J351</f>
        <v>11390.57</v>
      </c>
    </row>
    <row r="350" spans="1:10" ht="48" customHeight="1">
      <c r="A350" s="41" t="s">
        <v>395</v>
      </c>
      <c r="B350" s="22" t="s">
        <v>76</v>
      </c>
      <c r="C350" s="22" t="s">
        <v>122</v>
      </c>
      <c r="D350" s="22" t="s">
        <v>78</v>
      </c>
      <c r="E350" s="32" t="s">
        <v>14</v>
      </c>
      <c r="F350" s="44"/>
      <c r="G350" s="94">
        <f>G351</f>
        <v>11400</v>
      </c>
      <c r="H350" s="25"/>
      <c r="I350" s="26">
        <f t="shared" si="3"/>
        <v>11400</v>
      </c>
      <c r="J350" s="94">
        <f>J351</f>
        <v>11390.57</v>
      </c>
    </row>
    <row r="351" spans="1:10" ht="20.25" customHeight="1">
      <c r="A351" s="21" t="s">
        <v>214</v>
      </c>
      <c r="B351" s="22" t="s">
        <v>76</v>
      </c>
      <c r="C351" s="22" t="s">
        <v>122</v>
      </c>
      <c r="D351" s="22" t="s">
        <v>78</v>
      </c>
      <c r="E351" s="32" t="s">
        <v>394</v>
      </c>
      <c r="F351" s="24"/>
      <c r="G351" s="90">
        <f>G352</f>
        <v>11400</v>
      </c>
      <c r="H351" s="25"/>
      <c r="I351" s="26">
        <f t="shared" si="3"/>
        <v>11400</v>
      </c>
      <c r="J351" s="90">
        <f>J352</f>
        <v>11390.57</v>
      </c>
    </row>
    <row r="352" spans="1:10" ht="26.25" customHeight="1">
      <c r="A352" s="41" t="s">
        <v>215</v>
      </c>
      <c r="B352" s="22" t="s">
        <v>76</v>
      </c>
      <c r="C352" s="22" t="s">
        <v>122</v>
      </c>
      <c r="D352" s="22" t="s">
        <v>78</v>
      </c>
      <c r="E352" s="32" t="s">
        <v>394</v>
      </c>
      <c r="F352" s="24" t="s">
        <v>216</v>
      </c>
      <c r="G352" s="90">
        <f>4300+6500+600</f>
        <v>11400</v>
      </c>
      <c r="H352" s="25"/>
      <c r="I352" s="26">
        <f t="shared" si="3"/>
        <v>11400</v>
      </c>
      <c r="J352" s="90">
        <v>11390.57</v>
      </c>
    </row>
    <row r="353" spans="1:10" ht="32.25" customHeight="1">
      <c r="A353" s="21" t="s">
        <v>217</v>
      </c>
      <c r="B353" s="43" t="s">
        <v>76</v>
      </c>
      <c r="C353" s="22" t="s">
        <v>218</v>
      </c>
      <c r="D353" s="22"/>
      <c r="E353" s="22"/>
      <c r="F353" s="24"/>
      <c r="G353" s="90">
        <f aca="true" t="shared" si="4" ref="G353:G358">G354</f>
        <v>7816058</v>
      </c>
      <c r="H353" s="25"/>
      <c r="I353" s="26">
        <f t="shared" si="3"/>
        <v>7816058</v>
      </c>
      <c r="J353" s="90">
        <f aca="true" t="shared" si="5" ref="J353:J358">J354</f>
        <v>7816058</v>
      </c>
    </row>
    <row r="354" spans="1:10" ht="41.25" customHeight="1">
      <c r="A354" s="21" t="s">
        <v>219</v>
      </c>
      <c r="B354" s="22" t="s">
        <v>76</v>
      </c>
      <c r="C354" s="22" t="s">
        <v>218</v>
      </c>
      <c r="D354" s="22" t="s">
        <v>78</v>
      </c>
      <c r="E354" s="22"/>
      <c r="F354" s="24"/>
      <c r="G354" s="90">
        <f t="shared" si="4"/>
        <v>7816058</v>
      </c>
      <c r="H354" s="25"/>
      <c r="I354" s="26">
        <f aca="true" t="shared" si="6" ref="I354:I416">G354+H354</f>
        <v>7816058</v>
      </c>
      <c r="J354" s="90">
        <f t="shared" si="5"/>
        <v>7816058</v>
      </c>
    </row>
    <row r="355" spans="1:10" ht="48.75" customHeight="1">
      <c r="A355" s="109" t="s">
        <v>544</v>
      </c>
      <c r="B355" s="22" t="s">
        <v>76</v>
      </c>
      <c r="C355" s="22" t="s">
        <v>218</v>
      </c>
      <c r="D355" s="22" t="s">
        <v>78</v>
      </c>
      <c r="E355" s="22" t="s">
        <v>12</v>
      </c>
      <c r="F355" s="24"/>
      <c r="G355" s="90">
        <f t="shared" si="4"/>
        <v>7816058</v>
      </c>
      <c r="H355" s="25"/>
      <c r="I355" s="26">
        <f t="shared" si="6"/>
        <v>7816058</v>
      </c>
      <c r="J355" s="90">
        <f t="shared" si="5"/>
        <v>7816058</v>
      </c>
    </row>
    <row r="356" spans="1:10" ht="65.25" customHeight="1">
      <c r="A356" s="105" t="s">
        <v>546</v>
      </c>
      <c r="B356" s="22" t="s">
        <v>76</v>
      </c>
      <c r="C356" s="43" t="s">
        <v>218</v>
      </c>
      <c r="D356" s="43" t="s">
        <v>78</v>
      </c>
      <c r="E356" s="43" t="s">
        <v>399</v>
      </c>
      <c r="F356" s="44"/>
      <c r="G356" s="94">
        <f t="shared" si="4"/>
        <v>7816058</v>
      </c>
      <c r="H356" s="25"/>
      <c r="I356" s="26">
        <f t="shared" si="6"/>
        <v>7816058</v>
      </c>
      <c r="J356" s="94">
        <f t="shared" si="5"/>
        <v>7816058</v>
      </c>
    </row>
    <row r="357" spans="1:10" ht="33.75" customHeight="1">
      <c r="A357" s="109" t="s">
        <v>396</v>
      </c>
      <c r="B357" s="22" t="s">
        <v>76</v>
      </c>
      <c r="C357" s="22" t="s">
        <v>218</v>
      </c>
      <c r="D357" s="22" t="s">
        <v>78</v>
      </c>
      <c r="E357" s="22" t="s">
        <v>397</v>
      </c>
      <c r="F357" s="24"/>
      <c r="G357" s="90">
        <f t="shared" si="4"/>
        <v>7816058</v>
      </c>
      <c r="H357" s="25"/>
      <c r="I357" s="26">
        <f t="shared" si="6"/>
        <v>7816058</v>
      </c>
      <c r="J357" s="90">
        <f t="shared" si="5"/>
        <v>7816058</v>
      </c>
    </row>
    <row r="358" spans="1:10" ht="39">
      <c r="A358" s="31" t="s">
        <v>398</v>
      </c>
      <c r="B358" s="22" t="s">
        <v>76</v>
      </c>
      <c r="C358" s="22" t="s">
        <v>218</v>
      </c>
      <c r="D358" s="22" t="s">
        <v>78</v>
      </c>
      <c r="E358" s="22" t="s">
        <v>401</v>
      </c>
      <c r="F358" s="24"/>
      <c r="G358" s="90">
        <f t="shared" si="4"/>
        <v>7816058</v>
      </c>
      <c r="H358" s="25"/>
      <c r="I358" s="26">
        <f t="shared" si="6"/>
        <v>7816058</v>
      </c>
      <c r="J358" s="90">
        <f t="shared" si="5"/>
        <v>7816058</v>
      </c>
    </row>
    <row r="359" spans="1:10" ht="15">
      <c r="A359" s="40" t="s">
        <v>132</v>
      </c>
      <c r="B359" s="22" t="s">
        <v>76</v>
      </c>
      <c r="C359" s="22" t="s">
        <v>218</v>
      </c>
      <c r="D359" s="22" t="s">
        <v>78</v>
      </c>
      <c r="E359" s="22" t="s">
        <v>401</v>
      </c>
      <c r="F359" s="29" t="s">
        <v>133</v>
      </c>
      <c r="G359" s="90">
        <f>7816058</f>
        <v>7816058</v>
      </c>
      <c r="H359" s="78"/>
      <c r="I359" s="26">
        <f t="shared" si="6"/>
        <v>7816058</v>
      </c>
      <c r="J359" s="90">
        <v>7816058</v>
      </c>
    </row>
    <row r="360" spans="1:10" ht="32.25" customHeight="1">
      <c r="A360" s="131" t="s">
        <v>220</v>
      </c>
      <c r="B360" s="22" t="s">
        <v>221</v>
      </c>
      <c r="C360" s="22"/>
      <c r="D360" s="22"/>
      <c r="E360" s="36"/>
      <c r="F360" s="35"/>
      <c r="G360" s="169">
        <f>G361+G368+G490</f>
        <v>377043176.07</v>
      </c>
      <c r="H360" s="78">
        <f>H361+H368+H490</f>
        <v>15695720.39</v>
      </c>
      <c r="I360" s="26">
        <f t="shared" si="6"/>
        <v>392738896.46</v>
      </c>
      <c r="J360" s="169">
        <f>J361+J368+J490</f>
        <v>391015168.95</v>
      </c>
    </row>
    <row r="361" spans="1:10" ht="15">
      <c r="A361" s="21" t="s">
        <v>138</v>
      </c>
      <c r="B361" s="22" t="s">
        <v>221</v>
      </c>
      <c r="C361" s="22" t="s">
        <v>97</v>
      </c>
      <c r="D361" s="22"/>
      <c r="E361" s="22"/>
      <c r="F361" s="24"/>
      <c r="G361" s="90">
        <f>G362</f>
        <v>0</v>
      </c>
      <c r="H361" s="25">
        <f>H362</f>
        <v>0</v>
      </c>
      <c r="I361" s="26">
        <f t="shared" si="6"/>
        <v>0</v>
      </c>
      <c r="J361" s="90">
        <f aca="true" t="shared" si="7" ref="J361:J366">J362</f>
        <v>0</v>
      </c>
    </row>
    <row r="362" spans="1:10" ht="15">
      <c r="A362" s="21" t="s">
        <v>151</v>
      </c>
      <c r="B362" s="22" t="s">
        <v>221</v>
      </c>
      <c r="C362" s="22" t="s">
        <v>97</v>
      </c>
      <c r="D362" s="22" t="s">
        <v>152</v>
      </c>
      <c r="E362" s="22"/>
      <c r="F362" s="24"/>
      <c r="G362" s="90">
        <f>G363</f>
        <v>0</v>
      </c>
      <c r="H362" s="25">
        <f>H363</f>
        <v>0</v>
      </c>
      <c r="I362" s="26">
        <f t="shared" si="6"/>
        <v>0</v>
      </c>
      <c r="J362" s="90">
        <f t="shared" si="7"/>
        <v>0</v>
      </c>
    </row>
    <row r="363" spans="1:10" ht="51.75">
      <c r="A363" s="142" t="s">
        <v>222</v>
      </c>
      <c r="B363" s="22" t="s">
        <v>221</v>
      </c>
      <c r="C363" s="22" t="s">
        <v>97</v>
      </c>
      <c r="D363" s="22" t="s">
        <v>152</v>
      </c>
      <c r="E363" s="48" t="s">
        <v>294</v>
      </c>
      <c r="F363" s="24"/>
      <c r="G363" s="90">
        <f>G364</f>
        <v>0</v>
      </c>
      <c r="H363" s="25"/>
      <c r="I363" s="26">
        <f t="shared" si="6"/>
        <v>0</v>
      </c>
      <c r="J363" s="90">
        <f t="shared" si="7"/>
        <v>0</v>
      </c>
    </row>
    <row r="364" spans="1:10" ht="72" customHeight="1">
      <c r="A364" s="135" t="s">
        <v>223</v>
      </c>
      <c r="B364" s="22" t="s">
        <v>221</v>
      </c>
      <c r="C364" s="22" t="s">
        <v>97</v>
      </c>
      <c r="D364" s="22" t="s">
        <v>152</v>
      </c>
      <c r="E364" s="48" t="s">
        <v>295</v>
      </c>
      <c r="F364" s="24"/>
      <c r="G364" s="90">
        <f>G365</f>
        <v>0</v>
      </c>
      <c r="H364" s="25"/>
      <c r="I364" s="26">
        <f t="shared" si="6"/>
        <v>0</v>
      </c>
      <c r="J364" s="90">
        <f t="shared" si="7"/>
        <v>0</v>
      </c>
    </row>
    <row r="365" spans="1:10" ht="30.75" customHeight="1">
      <c r="A365" s="30" t="s">
        <v>297</v>
      </c>
      <c r="B365" s="22" t="s">
        <v>221</v>
      </c>
      <c r="C365" s="22" t="s">
        <v>97</v>
      </c>
      <c r="D365" s="22" t="s">
        <v>152</v>
      </c>
      <c r="E365" s="48" t="s">
        <v>296</v>
      </c>
      <c r="F365" s="24"/>
      <c r="G365" s="90">
        <f>G366</f>
        <v>0</v>
      </c>
      <c r="H365" s="25"/>
      <c r="I365" s="26">
        <f>I366</f>
        <v>0</v>
      </c>
      <c r="J365" s="90">
        <f t="shared" si="7"/>
        <v>0</v>
      </c>
    </row>
    <row r="366" spans="1:10" ht="19.5" customHeight="1">
      <c r="A366" s="41" t="s">
        <v>155</v>
      </c>
      <c r="B366" s="22" t="s">
        <v>221</v>
      </c>
      <c r="C366" s="22" t="s">
        <v>97</v>
      </c>
      <c r="D366" s="22" t="s">
        <v>152</v>
      </c>
      <c r="E366" s="48" t="s">
        <v>298</v>
      </c>
      <c r="F366" s="24"/>
      <c r="G366" s="90">
        <f>G367</f>
        <v>0</v>
      </c>
      <c r="H366" s="25"/>
      <c r="I366" s="26">
        <f t="shared" si="6"/>
        <v>0</v>
      </c>
      <c r="J366" s="90">
        <f t="shared" si="7"/>
        <v>0</v>
      </c>
    </row>
    <row r="367" spans="1:10" ht="24.75">
      <c r="A367" s="140" t="s">
        <v>39</v>
      </c>
      <c r="B367" s="22" t="s">
        <v>221</v>
      </c>
      <c r="C367" s="22" t="s">
        <v>97</v>
      </c>
      <c r="D367" s="22" t="s">
        <v>152</v>
      </c>
      <c r="E367" s="48" t="s">
        <v>298</v>
      </c>
      <c r="F367" s="24" t="s">
        <v>92</v>
      </c>
      <c r="G367" s="90"/>
      <c r="H367" s="25"/>
      <c r="I367" s="26">
        <f t="shared" si="6"/>
        <v>0</v>
      </c>
      <c r="J367" s="90"/>
    </row>
    <row r="368" spans="1:10" ht="16.5" customHeight="1">
      <c r="A368" s="21" t="s">
        <v>182</v>
      </c>
      <c r="B368" s="22" t="s">
        <v>221</v>
      </c>
      <c r="C368" s="22" t="s">
        <v>113</v>
      </c>
      <c r="D368" s="22"/>
      <c r="E368" s="36"/>
      <c r="F368" s="35"/>
      <c r="G368" s="90">
        <f>G369+G386+G449+G457+G473</f>
        <v>347550665.07</v>
      </c>
      <c r="H368" s="90">
        <f>H369+H386+H449+H457+H473</f>
        <v>15695720.39</v>
      </c>
      <c r="I368" s="26">
        <f t="shared" si="6"/>
        <v>363246385.46</v>
      </c>
      <c r="J368" s="90">
        <f>J369+J386+J449+J457+J473</f>
        <v>361522657.95</v>
      </c>
    </row>
    <row r="369" spans="1:10" ht="18" customHeight="1">
      <c r="A369" s="21" t="s">
        <v>224</v>
      </c>
      <c r="B369" s="22" t="s">
        <v>221</v>
      </c>
      <c r="C369" s="22" t="s">
        <v>113</v>
      </c>
      <c r="D369" s="22" t="s">
        <v>78</v>
      </c>
      <c r="E369" s="36"/>
      <c r="F369" s="35"/>
      <c r="G369" s="90">
        <f aca="true" t="shared" si="8" ref="G369:J371">G370</f>
        <v>81400668.44</v>
      </c>
      <c r="H369" s="90">
        <f t="shared" si="8"/>
        <v>6623114.08</v>
      </c>
      <c r="I369" s="26">
        <f t="shared" si="6"/>
        <v>88023782.52</v>
      </c>
      <c r="J369" s="90">
        <f t="shared" si="8"/>
        <v>87171727.89</v>
      </c>
    </row>
    <row r="370" spans="1:10" ht="29.25" customHeight="1">
      <c r="A370" s="21" t="s">
        <v>225</v>
      </c>
      <c r="B370" s="22" t="s">
        <v>221</v>
      </c>
      <c r="C370" s="22" t="s">
        <v>113</v>
      </c>
      <c r="D370" s="22" t="s">
        <v>78</v>
      </c>
      <c r="E370" s="22" t="s">
        <v>392</v>
      </c>
      <c r="F370" s="24"/>
      <c r="G370" s="90">
        <f t="shared" si="8"/>
        <v>81400668.44</v>
      </c>
      <c r="H370" s="25">
        <f t="shared" si="8"/>
        <v>6623114.08</v>
      </c>
      <c r="I370" s="26">
        <f t="shared" si="6"/>
        <v>88023782.52</v>
      </c>
      <c r="J370" s="90">
        <f t="shared" si="8"/>
        <v>87171727.89</v>
      </c>
    </row>
    <row r="371" spans="1:10" ht="41.25" customHeight="1">
      <c r="A371" s="67" t="s">
        <v>226</v>
      </c>
      <c r="B371" s="22" t="s">
        <v>221</v>
      </c>
      <c r="C371" s="43" t="s">
        <v>113</v>
      </c>
      <c r="D371" s="43" t="s">
        <v>78</v>
      </c>
      <c r="E371" s="43" t="s">
        <v>393</v>
      </c>
      <c r="F371" s="44"/>
      <c r="G371" s="94">
        <f t="shared" si="8"/>
        <v>81400668.44</v>
      </c>
      <c r="H371" s="94">
        <f t="shared" si="8"/>
        <v>6623114.08</v>
      </c>
      <c r="I371" s="26">
        <f t="shared" si="6"/>
        <v>88023782.52</v>
      </c>
      <c r="J371" s="94">
        <f t="shared" si="8"/>
        <v>87171727.89</v>
      </c>
    </row>
    <row r="372" spans="1:10" ht="27.75" customHeight="1">
      <c r="A372" s="30" t="s">
        <v>412</v>
      </c>
      <c r="B372" s="22" t="s">
        <v>221</v>
      </c>
      <c r="C372" s="22" t="s">
        <v>113</v>
      </c>
      <c r="D372" s="22" t="s">
        <v>78</v>
      </c>
      <c r="E372" s="22" t="s">
        <v>198</v>
      </c>
      <c r="F372" s="24"/>
      <c r="G372" s="90">
        <f>G373+G380+G382+G378+G376</f>
        <v>81400668.44</v>
      </c>
      <c r="H372" s="25">
        <f>H373+H382</f>
        <v>6623114.08</v>
      </c>
      <c r="I372" s="26">
        <f t="shared" si="6"/>
        <v>88023782.52</v>
      </c>
      <c r="J372" s="90">
        <f>J373+J380+J382+J378+J376</f>
        <v>87171727.89</v>
      </c>
    </row>
    <row r="373" spans="1:10" ht="67.5" customHeight="1">
      <c r="A373" s="31" t="s">
        <v>199</v>
      </c>
      <c r="B373" s="22" t="s">
        <v>221</v>
      </c>
      <c r="C373" s="22" t="s">
        <v>113</v>
      </c>
      <c r="D373" s="22" t="s">
        <v>78</v>
      </c>
      <c r="E373" s="22" t="s">
        <v>200</v>
      </c>
      <c r="F373" s="24"/>
      <c r="G373" s="90">
        <f>G374+G375</f>
        <v>46494590</v>
      </c>
      <c r="H373" s="25"/>
      <c r="I373" s="26">
        <f t="shared" si="6"/>
        <v>46494590</v>
      </c>
      <c r="J373" s="90">
        <f>J374+J375</f>
        <v>46494590</v>
      </c>
    </row>
    <row r="374" spans="1:10" ht="45" customHeight="1">
      <c r="A374" s="143" t="s">
        <v>84</v>
      </c>
      <c r="B374" s="22" t="s">
        <v>221</v>
      </c>
      <c r="C374" s="22" t="s">
        <v>113</v>
      </c>
      <c r="D374" s="22" t="s">
        <v>78</v>
      </c>
      <c r="E374" s="22" t="s">
        <v>200</v>
      </c>
      <c r="F374" s="24" t="s">
        <v>85</v>
      </c>
      <c r="G374" s="90">
        <f>30620442+9247373+4173130+1225677+258492+426348</f>
        <v>45951462</v>
      </c>
      <c r="H374" s="78"/>
      <c r="I374" s="26">
        <f t="shared" si="6"/>
        <v>45951462</v>
      </c>
      <c r="J374" s="90">
        <v>45951462</v>
      </c>
    </row>
    <row r="375" spans="1:10" ht="25.5" customHeight="1">
      <c r="A375" s="28" t="s">
        <v>39</v>
      </c>
      <c r="B375" s="22" t="s">
        <v>221</v>
      </c>
      <c r="C375" s="22" t="s">
        <v>113</v>
      </c>
      <c r="D375" s="22" t="s">
        <v>78</v>
      </c>
      <c r="E375" s="22" t="s">
        <v>200</v>
      </c>
      <c r="F375" s="24" t="s">
        <v>92</v>
      </c>
      <c r="G375" s="90">
        <f>508520+34608</f>
        <v>543128</v>
      </c>
      <c r="H375" s="78"/>
      <c r="I375" s="26">
        <f t="shared" si="6"/>
        <v>543128</v>
      </c>
      <c r="J375" s="90">
        <f>508520+34608</f>
        <v>543128</v>
      </c>
    </row>
    <row r="376" spans="1:10" ht="0.75" customHeight="1" hidden="1">
      <c r="A376" s="31" t="s">
        <v>453</v>
      </c>
      <c r="B376" s="22" t="s">
        <v>221</v>
      </c>
      <c r="C376" s="22" t="s">
        <v>113</v>
      </c>
      <c r="D376" s="22" t="s">
        <v>78</v>
      </c>
      <c r="E376" s="22" t="s">
        <v>452</v>
      </c>
      <c r="F376" s="24"/>
      <c r="G376" s="90">
        <f>G377</f>
        <v>0</v>
      </c>
      <c r="H376" s="25"/>
      <c r="I376" s="26">
        <f>G376+H376</f>
        <v>0</v>
      </c>
      <c r="J376" s="90">
        <f>J377</f>
        <v>0</v>
      </c>
    </row>
    <row r="377" spans="1:10" ht="26.25" hidden="1">
      <c r="A377" s="28" t="s">
        <v>39</v>
      </c>
      <c r="B377" s="22" t="s">
        <v>221</v>
      </c>
      <c r="C377" s="22" t="s">
        <v>113</v>
      </c>
      <c r="D377" s="22" t="s">
        <v>78</v>
      </c>
      <c r="E377" s="22" t="s">
        <v>452</v>
      </c>
      <c r="F377" s="24" t="s">
        <v>92</v>
      </c>
      <c r="G377" s="90"/>
      <c r="H377" s="25"/>
      <c r="I377" s="26">
        <f>G377+H377</f>
        <v>0</v>
      </c>
      <c r="J377" s="90"/>
    </row>
    <row r="378" spans="1:10" ht="0.75" customHeight="1" hidden="1">
      <c r="A378" s="31" t="s">
        <v>455</v>
      </c>
      <c r="B378" s="22" t="s">
        <v>221</v>
      </c>
      <c r="C378" s="22" t="s">
        <v>113</v>
      </c>
      <c r="D378" s="22" t="s">
        <v>78</v>
      </c>
      <c r="E378" s="22" t="s">
        <v>454</v>
      </c>
      <c r="F378" s="24"/>
      <c r="G378" s="90">
        <f>G379</f>
        <v>0</v>
      </c>
      <c r="H378" s="25"/>
      <c r="I378" s="26">
        <f t="shared" si="6"/>
        <v>0</v>
      </c>
      <c r="J378" s="90">
        <f>J379</f>
        <v>0</v>
      </c>
    </row>
    <row r="379" spans="1:10" ht="26.25" hidden="1">
      <c r="A379" s="28" t="s">
        <v>39</v>
      </c>
      <c r="B379" s="22" t="s">
        <v>221</v>
      </c>
      <c r="C379" s="22" t="s">
        <v>113</v>
      </c>
      <c r="D379" s="22" t="s">
        <v>78</v>
      </c>
      <c r="E379" s="22" t="s">
        <v>454</v>
      </c>
      <c r="F379" s="24" t="s">
        <v>92</v>
      </c>
      <c r="G379" s="90">
        <f>175343-175343</f>
        <v>0</v>
      </c>
      <c r="H379" s="25"/>
      <c r="I379" s="26">
        <f t="shared" si="6"/>
        <v>0</v>
      </c>
      <c r="J379" s="90">
        <f>175343-175343</f>
        <v>0</v>
      </c>
    </row>
    <row r="380" spans="1:10" ht="26.25">
      <c r="A380" s="42" t="s">
        <v>620</v>
      </c>
      <c r="B380" s="22" t="s">
        <v>221</v>
      </c>
      <c r="C380" s="22" t="s">
        <v>113</v>
      </c>
      <c r="D380" s="22" t="s">
        <v>78</v>
      </c>
      <c r="E380" s="22" t="s">
        <v>619</v>
      </c>
      <c r="F380" s="24"/>
      <c r="G380" s="90">
        <f>G381</f>
        <v>2338427.5</v>
      </c>
      <c r="H380" s="78"/>
      <c r="I380" s="26">
        <f t="shared" si="6"/>
        <v>2338427.5</v>
      </c>
      <c r="J380" s="90">
        <f>J381</f>
        <v>2338427.5</v>
      </c>
    </row>
    <row r="381" spans="1:10" ht="26.25">
      <c r="A381" s="28" t="s">
        <v>39</v>
      </c>
      <c r="B381" s="22" t="s">
        <v>221</v>
      </c>
      <c r="C381" s="22" t="s">
        <v>113</v>
      </c>
      <c r="D381" s="22" t="s">
        <v>78</v>
      </c>
      <c r="E381" s="22" t="s">
        <v>619</v>
      </c>
      <c r="F381" s="24" t="s">
        <v>92</v>
      </c>
      <c r="G381" s="90">
        <f>233842.5+2104585</f>
        <v>2338427.5</v>
      </c>
      <c r="H381" s="78"/>
      <c r="I381" s="26">
        <f t="shared" si="6"/>
        <v>2338427.5</v>
      </c>
      <c r="J381" s="90">
        <f>233842.5+2104585</f>
        <v>2338427.5</v>
      </c>
    </row>
    <row r="382" spans="1:10" ht="25.5" customHeight="1">
      <c r="A382" s="30" t="s">
        <v>130</v>
      </c>
      <c r="B382" s="22" t="s">
        <v>221</v>
      </c>
      <c r="C382" s="22" t="s">
        <v>113</v>
      </c>
      <c r="D382" s="22" t="s">
        <v>78</v>
      </c>
      <c r="E382" s="22" t="s">
        <v>423</v>
      </c>
      <c r="F382" s="24"/>
      <c r="G382" s="90">
        <f>G383+G384+G385</f>
        <v>32567650.939999998</v>
      </c>
      <c r="H382" s="25">
        <f>H383+H384+H385</f>
        <v>6623114.08</v>
      </c>
      <c r="I382" s="26">
        <f t="shared" si="6"/>
        <v>39190765.019999996</v>
      </c>
      <c r="J382" s="90">
        <f>J383+J384+J385</f>
        <v>38338710.39</v>
      </c>
    </row>
    <row r="383" spans="1:10" ht="45" customHeight="1">
      <c r="A383" s="28" t="s">
        <v>84</v>
      </c>
      <c r="B383" s="22" t="s">
        <v>221</v>
      </c>
      <c r="C383" s="22" t="s">
        <v>113</v>
      </c>
      <c r="D383" s="22" t="s">
        <v>78</v>
      </c>
      <c r="E383" s="22" t="s">
        <v>423</v>
      </c>
      <c r="F383" s="24" t="s">
        <v>85</v>
      </c>
      <c r="G383" s="90">
        <f>13033000+3936000+2846562+913748+275952-836415</f>
        <v>20168847</v>
      </c>
      <c r="H383" s="78"/>
      <c r="I383" s="26">
        <f t="shared" si="6"/>
        <v>20168847</v>
      </c>
      <c r="J383" s="90">
        <f>13033000+3936000+2846562+913748+275952-836415</f>
        <v>20168847</v>
      </c>
    </row>
    <row r="384" spans="1:10" ht="28.5" customHeight="1">
      <c r="A384" s="28" t="s">
        <v>39</v>
      </c>
      <c r="B384" s="22" t="s">
        <v>221</v>
      </c>
      <c r="C384" s="22" t="s">
        <v>113</v>
      </c>
      <c r="D384" s="22" t="s">
        <v>78</v>
      </c>
      <c r="E384" s="22" t="s">
        <v>423</v>
      </c>
      <c r="F384" s="24" t="s">
        <v>92</v>
      </c>
      <c r="G384" s="90">
        <f>72300+5823900+336100+161800+2047500+273170+406730+260543+123390+92951-544700-12600+728895+35751+247212.94+218500-60170</f>
        <v>10211272.94</v>
      </c>
      <c r="H384" s="78">
        <f>6304871+60000+321543.08+10000-3500-3500+90000-163300</f>
        <v>6616114.08</v>
      </c>
      <c r="I384" s="26">
        <f t="shared" si="6"/>
        <v>16827387.02</v>
      </c>
      <c r="J384" s="90">
        <v>15991675.76</v>
      </c>
    </row>
    <row r="385" spans="1:10" ht="15">
      <c r="A385" s="30" t="s">
        <v>93</v>
      </c>
      <c r="B385" s="22" t="s">
        <v>221</v>
      </c>
      <c r="C385" s="22" t="s">
        <v>113</v>
      </c>
      <c r="D385" s="22" t="s">
        <v>78</v>
      </c>
      <c r="E385" s="22" t="s">
        <v>423</v>
      </c>
      <c r="F385" s="24" t="s">
        <v>94</v>
      </c>
      <c r="G385" s="90">
        <f>1959100+37200+15416+8086+977+4710+160+161882</f>
        <v>2187531</v>
      </c>
      <c r="H385" s="78">
        <f>3500+3500</f>
        <v>7000</v>
      </c>
      <c r="I385" s="26">
        <f t="shared" si="6"/>
        <v>2194531</v>
      </c>
      <c r="J385" s="90">
        <v>2178187.63</v>
      </c>
    </row>
    <row r="386" spans="1:10" ht="15">
      <c r="A386" s="21" t="s">
        <v>227</v>
      </c>
      <c r="B386" s="22" t="s">
        <v>221</v>
      </c>
      <c r="C386" s="22" t="s">
        <v>113</v>
      </c>
      <c r="D386" s="22" t="s">
        <v>80</v>
      </c>
      <c r="E386" s="22"/>
      <c r="F386" s="24"/>
      <c r="G386" s="90">
        <f>G387+G436+G429+G444+G422</f>
        <v>241996843.63</v>
      </c>
      <c r="H386" s="164">
        <f>H387+H436+H429+H444</f>
        <v>7921567.25</v>
      </c>
      <c r="I386" s="26">
        <f>G386+H386</f>
        <v>249918410.88</v>
      </c>
      <c r="J386" s="90">
        <f>J387+J436+J429+J444+J422</f>
        <v>249204892.38</v>
      </c>
    </row>
    <row r="387" spans="1:10" ht="26.25">
      <c r="A387" s="21" t="s">
        <v>225</v>
      </c>
      <c r="B387" s="22" t="s">
        <v>221</v>
      </c>
      <c r="C387" s="22" t="s">
        <v>113</v>
      </c>
      <c r="D387" s="22" t="s">
        <v>80</v>
      </c>
      <c r="E387" s="22" t="s">
        <v>392</v>
      </c>
      <c r="F387" s="24"/>
      <c r="G387" s="90">
        <f>G388</f>
        <v>241565163.63</v>
      </c>
      <c r="H387" s="164">
        <f>H388</f>
        <v>7921567.25</v>
      </c>
      <c r="I387" s="26">
        <f t="shared" si="6"/>
        <v>249486730.88</v>
      </c>
      <c r="J387" s="90">
        <f>J388</f>
        <v>248773212.38</v>
      </c>
    </row>
    <row r="388" spans="1:10" ht="39">
      <c r="A388" s="67" t="s">
        <v>226</v>
      </c>
      <c r="B388" s="22" t="s">
        <v>221</v>
      </c>
      <c r="C388" s="43" t="s">
        <v>113</v>
      </c>
      <c r="D388" s="43" t="s">
        <v>80</v>
      </c>
      <c r="E388" s="43" t="s">
        <v>393</v>
      </c>
      <c r="F388" s="44"/>
      <c r="G388" s="94">
        <f>G389+G417</f>
        <v>241565163.63</v>
      </c>
      <c r="H388" s="165">
        <f>H389+H417</f>
        <v>7921567.25</v>
      </c>
      <c r="I388" s="26">
        <f t="shared" si="6"/>
        <v>249486730.88</v>
      </c>
      <c r="J388" s="94">
        <f>J389+J417</f>
        <v>248773212.38</v>
      </c>
    </row>
    <row r="389" spans="1:10" ht="33.75" customHeight="1">
      <c r="A389" s="30" t="s">
        <v>413</v>
      </c>
      <c r="B389" s="22" t="s">
        <v>221</v>
      </c>
      <c r="C389" s="22" t="s">
        <v>113</v>
      </c>
      <c r="D389" s="22" t="s">
        <v>80</v>
      </c>
      <c r="E389" s="22" t="s">
        <v>414</v>
      </c>
      <c r="F389" s="24"/>
      <c r="G389" s="90">
        <f>G394+G402+G404+G406+G408+G410+G412+G415+G397+G399+G390+G392</f>
        <v>241565163.63</v>
      </c>
      <c r="H389" s="90">
        <f>H394+H402+H404+H406+H408+H410+H412+H415+H397+H399+H390+H392</f>
        <v>7921567.25</v>
      </c>
      <c r="I389" s="26">
        <f t="shared" si="6"/>
        <v>249486730.88</v>
      </c>
      <c r="J389" s="90">
        <f>J394+J402+J404+J406+J408+J410+J412+J415+J397+J399+J390+J392</f>
        <v>248773212.38</v>
      </c>
    </row>
    <row r="390" spans="1:10" ht="38.25" customHeight="1" hidden="1">
      <c r="A390" s="30" t="s">
        <v>587</v>
      </c>
      <c r="B390" s="22" t="s">
        <v>221</v>
      </c>
      <c r="C390" s="22" t="s">
        <v>113</v>
      </c>
      <c r="D390" s="22" t="s">
        <v>80</v>
      </c>
      <c r="E390" s="22" t="s">
        <v>586</v>
      </c>
      <c r="F390" s="24"/>
      <c r="G390" s="90">
        <f>G391</f>
        <v>0</v>
      </c>
      <c r="H390" s="164"/>
      <c r="I390" s="26">
        <f t="shared" si="6"/>
        <v>0</v>
      </c>
      <c r="J390" s="90">
        <f>J391</f>
        <v>0</v>
      </c>
    </row>
    <row r="391" spans="1:10" ht="26.25" hidden="1">
      <c r="A391" s="28" t="s">
        <v>39</v>
      </c>
      <c r="B391" s="22" t="s">
        <v>221</v>
      </c>
      <c r="C391" s="22" t="s">
        <v>113</v>
      </c>
      <c r="D391" s="22" t="s">
        <v>80</v>
      </c>
      <c r="E391" s="22" t="s">
        <v>586</v>
      </c>
      <c r="F391" s="24" t="s">
        <v>92</v>
      </c>
      <c r="G391" s="90"/>
      <c r="H391" s="164"/>
      <c r="I391" s="26">
        <f t="shared" si="6"/>
        <v>0</v>
      </c>
      <c r="J391" s="90"/>
    </row>
    <row r="392" spans="1:10" ht="33" customHeight="1">
      <c r="A392" s="112" t="s">
        <v>621</v>
      </c>
      <c r="B392" s="22" t="s">
        <v>221</v>
      </c>
      <c r="C392" s="22" t="s">
        <v>113</v>
      </c>
      <c r="D392" s="22" t="s">
        <v>80</v>
      </c>
      <c r="E392" s="22" t="s">
        <v>588</v>
      </c>
      <c r="F392" s="24"/>
      <c r="G392" s="90">
        <f>G393</f>
        <v>1834369</v>
      </c>
      <c r="H392" s="90"/>
      <c r="I392" s="26">
        <f t="shared" si="6"/>
        <v>1834369</v>
      </c>
      <c r="J392" s="90">
        <f>J393</f>
        <v>1834320.65</v>
      </c>
    </row>
    <row r="393" spans="1:10" ht="30" customHeight="1">
      <c r="A393" s="28" t="s">
        <v>39</v>
      </c>
      <c r="B393" s="22" t="s">
        <v>221</v>
      </c>
      <c r="C393" s="22" t="s">
        <v>113</v>
      </c>
      <c r="D393" s="22" t="s">
        <v>80</v>
      </c>
      <c r="E393" s="22" t="s">
        <v>588</v>
      </c>
      <c r="F393" s="24" t="s">
        <v>92</v>
      </c>
      <c r="G393" s="90">
        <f>642030+1192340-1</f>
        <v>1834369</v>
      </c>
      <c r="H393" s="90"/>
      <c r="I393" s="26">
        <f t="shared" si="6"/>
        <v>1834369</v>
      </c>
      <c r="J393" s="90">
        <v>1834320.65</v>
      </c>
    </row>
    <row r="394" spans="1:10" ht="81" customHeight="1">
      <c r="A394" s="31" t="s">
        <v>416</v>
      </c>
      <c r="B394" s="22" t="s">
        <v>221</v>
      </c>
      <c r="C394" s="22" t="s">
        <v>113</v>
      </c>
      <c r="D394" s="22" t="s">
        <v>80</v>
      </c>
      <c r="E394" s="22" t="s">
        <v>415</v>
      </c>
      <c r="F394" s="24"/>
      <c r="G394" s="90">
        <f>G395+G396</f>
        <v>211000561</v>
      </c>
      <c r="H394" s="25"/>
      <c r="I394" s="26">
        <f t="shared" si="6"/>
        <v>211000561</v>
      </c>
      <c r="J394" s="90">
        <f>J395+J396</f>
        <v>211000561</v>
      </c>
    </row>
    <row r="395" spans="1:10" ht="47.25" customHeight="1">
      <c r="A395" s="28" t="s">
        <v>84</v>
      </c>
      <c r="B395" s="22" t="s">
        <v>221</v>
      </c>
      <c r="C395" s="22" t="s">
        <v>113</v>
      </c>
      <c r="D395" s="22" t="s">
        <v>80</v>
      </c>
      <c r="E395" s="22" t="s">
        <v>415</v>
      </c>
      <c r="F395" s="24" t="s">
        <v>85</v>
      </c>
      <c r="G395" s="90">
        <f>115939654+35013776+20044281+14320550+16638912+600621</f>
        <v>202557794</v>
      </c>
      <c r="H395" s="78"/>
      <c r="I395" s="26">
        <f t="shared" si="6"/>
        <v>202557794</v>
      </c>
      <c r="J395" s="90">
        <v>202557794</v>
      </c>
    </row>
    <row r="396" spans="1:10" ht="27.75" customHeight="1">
      <c r="A396" s="28" t="s">
        <v>39</v>
      </c>
      <c r="B396" s="22" t="s">
        <v>221</v>
      </c>
      <c r="C396" s="22" t="s">
        <v>113</v>
      </c>
      <c r="D396" s="22" t="s">
        <v>80</v>
      </c>
      <c r="E396" s="22" t="s">
        <v>415</v>
      </c>
      <c r="F396" s="24" t="s">
        <v>92</v>
      </c>
      <c r="G396" s="90">
        <f>745991+5849976+1846800</f>
        <v>8442767</v>
      </c>
      <c r="H396" s="78"/>
      <c r="I396" s="26">
        <f t="shared" si="6"/>
        <v>8442767</v>
      </c>
      <c r="J396" s="90">
        <v>8442767</v>
      </c>
    </row>
    <row r="397" spans="1:10" ht="0.75" customHeight="1" hidden="1">
      <c r="A397" s="42" t="s">
        <v>453</v>
      </c>
      <c r="B397" s="22" t="s">
        <v>221</v>
      </c>
      <c r="C397" s="22" t="s">
        <v>113</v>
      </c>
      <c r="D397" s="22" t="s">
        <v>80</v>
      </c>
      <c r="E397" s="22" t="s">
        <v>456</v>
      </c>
      <c r="F397" s="24"/>
      <c r="G397" s="90">
        <f>G398</f>
        <v>0</v>
      </c>
      <c r="H397" s="25"/>
      <c r="I397" s="26">
        <f t="shared" si="6"/>
        <v>0</v>
      </c>
      <c r="J397" s="90">
        <f>J398</f>
        <v>0</v>
      </c>
    </row>
    <row r="398" spans="1:10" ht="26.25" hidden="1">
      <c r="A398" s="28" t="s">
        <v>39</v>
      </c>
      <c r="B398" s="22" t="s">
        <v>221</v>
      </c>
      <c r="C398" s="22" t="s">
        <v>113</v>
      </c>
      <c r="D398" s="22" t="s">
        <v>80</v>
      </c>
      <c r="E398" s="22" t="s">
        <v>456</v>
      </c>
      <c r="F398" s="24" t="s">
        <v>92</v>
      </c>
      <c r="G398" s="90"/>
      <c r="H398" s="25"/>
      <c r="I398" s="26">
        <f t="shared" si="6"/>
        <v>0</v>
      </c>
      <c r="J398" s="90"/>
    </row>
    <row r="399" spans="1:10" ht="26.25" hidden="1">
      <c r="A399" s="42" t="s">
        <v>455</v>
      </c>
      <c r="B399" s="22" t="s">
        <v>221</v>
      </c>
      <c r="C399" s="22" t="s">
        <v>113</v>
      </c>
      <c r="D399" s="22" t="s">
        <v>80</v>
      </c>
      <c r="E399" s="22" t="s">
        <v>457</v>
      </c>
      <c r="F399" s="24"/>
      <c r="G399" s="90">
        <f>G400</f>
        <v>0</v>
      </c>
      <c r="H399" s="25"/>
      <c r="I399" s="26">
        <f t="shared" si="6"/>
        <v>0</v>
      </c>
      <c r="J399" s="90">
        <f>J400</f>
        <v>0</v>
      </c>
    </row>
    <row r="400" spans="1:10" ht="31.5" customHeight="1" hidden="1">
      <c r="A400" s="28" t="s">
        <v>39</v>
      </c>
      <c r="B400" s="22" t="s">
        <v>221</v>
      </c>
      <c r="C400" s="22" t="s">
        <v>113</v>
      </c>
      <c r="D400" s="22" t="s">
        <v>80</v>
      </c>
      <c r="E400" s="22" t="s">
        <v>457</v>
      </c>
      <c r="F400" s="24" t="s">
        <v>92</v>
      </c>
      <c r="G400" s="90">
        <f>1526555.5-1526555.5</f>
        <v>0</v>
      </c>
      <c r="H400" s="25"/>
      <c r="I400" s="26">
        <f t="shared" si="6"/>
        <v>0</v>
      </c>
      <c r="J400" s="90">
        <f>1526555.5-1526555.5</f>
        <v>0</v>
      </c>
    </row>
    <row r="401" spans="1:10" ht="26.25" hidden="1">
      <c r="A401" s="28" t="s">
        <v>39</v>
      </c>
      <c r="B401" s="22" t="s">
        <v>221</v>
      </c>
      <c r="C401" s="22" t="s">
        <v>113</v>
      </c>
      <c r="D401" s="22" t="s">
        <v>80</v>
      </c>
      <c r="E401" s="22" t="s">
        <v>426</v>
      </c>
      <c r="F401" s="24" t="s">
        <v>92</v>
      </c>
      <c r="G401" s="90"/>
      <c r="H401" s="25"/>
      <c r="I401" s="26">
        <f t="shared" si="6"/>
        <v>0</v>
      </c>
      <c r="J401" s="90"/>
    </row>
    <row r="402" spans="1:10" ht="15" hidden="1">
      <c r="A402" s="42" t="s">
        <v>418</v>
      </c>
      <c r="B402" s="22" t="s">
        <v>221</v>
      </c>
      <c r="C402" s="22" t="s">
        <v>113</v>
      </c>
      <c r="D402" s="22" t="s">
        <v>80</v>
      </c>
      <c r="E402" s="22" t="s">
        <v>417</v>
      </c>
      <c r="F402" s="24"/>
      <c r="G402" s="90">
        <f>G403</f>
        <v>0</v>
      </c>
      <c r="H402" s="25"/>
      <c r="I402" s="26">
        <f t="shared" si="6"/>
        <v>0</v>
      </c>
      <c r="J402" s="90">
        <f>J403</f>
        <v>0</v>
      </c>
    </row>
    <row r="403" spans="1:10" ht="26.25" hidden="1">
      <c r="A403" s="28" t="s">
        <v>39</v>
      </c>
      <c r="B403" s="22"/>
      <c r="C403" s="22" t="s">
        <v>113</v>
      </c>
      <c r="D403" s="22" t="s">
        <v>80</v>
      </c>
      <c r="E403" s="22" t="s">
        <v>417</v>
      </c>
      <c r="F403" s="24" t="s">
        <v>92</v>
      </c>
      <c r="G403" s="90"/>
      <c r="H403" s="25"/>
      <c r="I403" s="26">
        <f t="shared" si="6"/>
        <v>0</v>
      </c>
      <c r="J403" s="90"/>
    </row>
    <row r="404" spans="1:10" ht="15" hidden="1">
      <c r="A404" s="42" t="s">
        <v>420</v>
      </c>
      <c r="B404" s="22"/>
      <c r="C404" s="22" t="s">
        <v>113</v>
      </c>
      <c r="D404" s="22" t="s">
        <v>80</v>
      </c>
      <c r="E404" s="22" t="s">
        <v>419</v>
      </c>
      <c r="F404" s="24"/>
      <c r="G404" s="90">
        <f>G405</f>
        <v>0</v>
      </c>
      <c r="H404" s="25"/>
      <c r="I404" s="26">
        <f t="shared" si="6"/>
        <v>0</v>
      </c>
      <c r="J404" s="90">
        <f>J405</f>
        <v>0</v>
      </c>
    </row>
    <row r="405" spans="1:10" ht="26.25" hidden="1">
      <c r="A405" s="28" t="s">
        <v>39</v>
      </c>
      <c r="B405" s="22"/>
      <c r="C405" s="22" t="s">
        <v>113</v>
      </c>
      <c r="D405" s="22" t="s">
        <v>80</v>
      </c>
      <c r="E405" s="22" t="s">
        <v>419</v>
      </c>
      <c r="F405" s="24" t="s">
        <v>92</v>
      </c>
      <c r="G405" s="90"/>
      <c r="H405" s="25"/>
      <c r="I405" s="26">
        <f t="shared" si="6"/>
        <v>0</v>
      </c>
      <c r="J405" s="90"/>
    </row>
    <row r="406" spans="1:10" ht="51.75">
      <c r="A406" s="42" t="s">
        <v>605</v>
      </c>
      <c r="B406" s="22" t="s">
        <v>221</v>
      </c>
      <c r="C406" s="22" t="s">
        <v>113</v>
      </c>
      <c r="D406" s="22" t="s">
        <v>80</v>
      </c>
      <c r="E406" s="22" t="s">
        <v>421</v>
      </c>
      <c r="F406" s="24"/>
      <c r="G406" s="90">
        <f>G407</f>
        <v>56044</v>
      </c>
      <c r="H406" s="25"/>
      <c r="I406" s="26">
        <f t="shared" si="6"/>
        <v>56044</v>
      </c>
      <c r="J406" s="90">
        <f>J407</f>
        <v>56044</v>
      </c>
    </row>
    <row r="407" spans="1:10" ht="26.25">
      <c r="A407" s="28" t="s">
        <v>39</v>
      </c>
      <c r="B407" s="22" t="s">
        <v>221</v>
      </c>
      <c r="C407" s="22" t="s">
        <v>113</v>
      </c>
      <c r="D407" s="22" t="s">
        <v>80</v>
      </c>
      <c r="E407" s="22" t="s">
        <v>421</v>
      </c>
      <c r="F407" s="24" t="s">
        <v>92</v>
      </c>
      <c r="G407" s="90">
        <v>56044</v>
      </c>
      <c r="H407" s="25"/>
      <c r="I407" s="26">
        <f t="shared" si="6"/>
        <v>56044</v>
      </c>
      <c r="J407" s="90">
        <v>56044</v>
      </c>
    </row>
    <row r="408" spans="1:10" ht="43.5" customHeight="1">
      <c r="A408" s="42" t="s">
        <v>614</v>
      </c>
      <c r="B408" s="22" t="s">
        <v>221</v>
      </c>
      <c r="C408" s="22" t="s">
        <v>113</v>
      </c>
      <c r="D408" s="22" t="s">
        <v>80</v>
      </c>
      <c r="E408" s="22" t="s">
        <v>422</v>
      </c>
      <c r="F408" s="24"/>
      <c r="G408" s="90">
        <f>G409</f>
        <v>500000</v>
      </c>
      <c r="H408" s="25"/>
      <c r="I408" s="26">
        <f t="shared" si="6"/>
        <v>500000</v>
      </c>
      <c r="J408" s="90">
        <f>J409</f>
        <v>500000</v>
      </c>
    </row>
    <row r="409" spans="1:10" ht="26.25">
      <c r="A409" s="28" t="s">
        <v>39</v>
      </c>
      <c r="B409" s="22" t="s">
        <v>221</v>
      </c>
      <c r="C409" s="22" t="s">
        <v>113</v>
      </c>
      <c r="D409" s="22" t="s">
        <v>80</v>
      </c>
      <c r="E409" s="22" t="s">
        <v>422</v>
      </c>
      <c r="F409" s="24" t="s">
        <v>92</v>
      </c>
      <c r="G409" s="90">
        <f>100000+400000</f>
        <v>500000</v>
      </c>
      <c r="H409" s="25"/>
      <c r="I409" s="26">
        <f t="shared" si="6"/>
        <v>500000</v>
      </c>
      <c r="J409" s="90">
        <f>100000+400000</f>
        <v>500000</v>
      </c>
    </row>
    <row r="410" spans="1:10" ht="15">
      <c r="A410" s="40" t="s">
        <v>228</v>
      </c>
      <c r="B410" s="22" t="s">
        <v>221</v>
      </c>
      <c r="C410" s="22" t="s">
        <v>113</v>
      </c>
      <c r="D410" s="22" t="s">
        <v>80</v>
      </c>
      <c r="E410" s="22" t="s">
        <v>427</v>
      </c>
      <c r="F410" s="24"/>
      <c r="G410" s="90">
        <f>G411</f>
        <v>1966544</v>
      </c>
      <c r="H410" s="25"/>
      <c r="I410" s="26">
        <f t="shared" si="6"/>
        <v>1966544</v>
      </c>
      <c r="J410" s="90">
        <f>J411</f>
        <v>1966544</v>
      </c>
    </row>
    <row r="411" spans="1:10" ht="39">
      <c r="A411" s="28" t="s">
        <v>84</v>
      </c>
      <c r="B411" s="22" t="s">
        <v>221</v>
      </c>
      <c r="C411" s="22" t="s">
        <v>113</v>
      </c>
      <c r="D411" s="22" t="s">
        <v>80</v>
      </c>
      <c r="E411" s="22" t="s">
        <v>427</v>
      </c>
      <c r="F411" s="24" t="s">
        <v>85</v>
      </c>
      <c r="G411" s="90">
        <f>1510402+456142</f>
        <v>1966544</v>
      </c>
      <c r="H411" s="78"/>
      <c r="I411" s="26">
        <f t="shared" si="6"/>
        <v>1966544</v>
      </c>
      <c r="J411" s="90">
        <f>1510402+456142</f>
        <v>1966544</v>
      </c>
    </row>
    <row r="412" spans="1:10" ht="27" customHeight="1">
      <c r="A412" s="30" t="s">
        <v>130</v>
      </c>
      <c r="B412" s="22" t="s">
        <v>221</v>
      </c>
      <c r="C412" s="22" t="s">
        <v>113</v>
      </c>
      <c r="D412" s="22" t="s">
        <v>80</v>
      </c>
      <c r="E412" s="22" t="s">
        <v>428</v>
      </c>
      <c r="F412" s="24"/>
      <c r="G412" s="90">
        <f>G413+G414</f>
        <v>26012945.63</v>
      </c>
      <c r="H412" s="85">
        <f>H413+H414</f>
        <v>7921567.25</v>
      </c>
      <c r="I412" s="26">
        <f t="shared" si="6"/>
        <v>33934512.879999995</v>
      </c>
      <c r="J412" s="90">
        <f>J413+J414</f>
        <v>33238142.73</v>
      </c>
    </row>
    <row r="413" spans="1:10" ht="26.25">
      <c r="A413" s="28" t="s">
        <v>39</v>
      </c>
      <c r="B413" s="22" t="s">
        <v>221</v>
      </c>
      <c r="C413" s="22" t="s">
        <v>113</v>
      </c>
      <c r="D413" s="22" t="s">
        <v>80</v>
      </c>
      <c r="E413" s="22" t="s">
        <v>428</v>
      </c>
      <c r="F413" s="24" t="s">
        <v>92</v>
      </c>
      <c r="G413" s="90">
        <f>122200+10844400+380700+182800+5764500+58700+807079+1+1124500+97600+2046796-200750+1246408+537000+1331391+6867+501600-496135.94-98300+60170</f>
        <v>24317526.06</v>
      </c>
      <c r="H413" s="168">
        <f>6241254+932000+101313.32+151699.93+332000+163300</f>
        <v>7921567.25</v>
      </c>
      <c r="I413" s="26">
        <f t="shared" si="6"/>
        <v>32239093.31</v>
      </c>
      <c r="J413" s="90">
        <v>31547575.35</v>
      </c>
    </row>
    <row r="414" spans="1:10" ht="15">
      <c r="A414" s="30" t="s">
        <v>93</v>
      </c>
      <c r="B414" s="22" t="s">
        <v>221</v>
      </c>
      <c r="C414" s="22" t="s">
        <v>113</v>
      </c>
      <c r="D414" s="22" t="s">
        <v>80</v>
      </c>
      <c r="E414" s="22" t="s">
        <v>428</v>
      </c>
      <c r="F414" s="24" t="s">
        <v>94</v>
      </c>
      <c r="G414" s="90">
        <f>1521100+84418.5+59390+22974+142-50000+1464.07+55931</f>
        <v>1695419.57</v>
      </c>
      <c r="H414" s="78"/>
      <c r="I414" s="26">
        <f t="shared" si="6"/>
        <v>1695419.57</v>
      </c>
      <c r="J414" s="90">
        <v>1690567.38</v>
      </c>
    </row>
    <row r="415" spans="1:10" ht="15">
      <c r="A415" s="28" t="s">
        <v>439</v>
      </c>
      <c r="B415" s="22" t="s">
        <v>221</v>
      </c>
      <c r="C415" s="22" t="s">
        <v>113</v>
      </c>
      <c r="D415" s="22" t="s">
        <v>80</v>
      </c>
      <c r="E415" s="22" t="s">
        <v>429</v>
      </c>
      <c r="F415" s="24"/>
      <c r="G415" s="90">
        <f>G416</f>
        <v>194700</v>
      </c>
      <c r="H415" s="25"/>
      <c r="I415" s="26">
        <f t="shared" si="6"/>
        <v>194700</v>
      </c>
      <c r="J415" s="90">
        <f>J416</f>
        <v>177600</v>
      </c>
    </row>
    <row r="416" spans="1:10" ht="26.25">
      <c r="A416" s="28" t="s">
        <v>39</v>
      </c>
      <c r="B416" s="22" t="s">
        <v>221</v>
      </c>
      <c r="C416" s="22" t="s">
        <v>113</v>
      </c>
      <c r="D416" s="22" t="s">
        <v>80</v>
      </c>
      <c r="E416" s="22" t="s">
        <v>429</v>
      </c>
      <c r="F416" s="24" t="s">
        <v>92</v>
      </c>
      <c r="G416" s="90">
        <f>100000-3600+98300</f>
        <v>194700</v>
      </c>
      <c r="H416" s="78"/>
      <c r="I416" s="26">
        <f t="shared" si="6"/>
        <v>194700</v>
      </c>
      <c r="J416" s="90">
        <v>177600</v>
      </c>
    </row>
    <row r="417" spans="1:10" ht="25.5" hidden="1">
      <c r="A417" s="30" t="s">
        <v>444</v>
      </c>
      <c r="B417" s="22" t="s">
        <v>221</v>
      </c>
      <c r="C417" s="22" t="s">
        <v>113</v>
      </c>
      <c r="D417" s="22" t="s">
        <v>80</v>
      </c>
      <c r="E417" s="22" t="s">
        <v>445</v>
      </c>
      <c r="F417" s="24"/>
      <c r="G417" s="90">
        <f>G418+G420</f>
        <v>0</v>
      </c>
      <c r="H417" s="25"/>
      <c r="I417" s="26">
        <f>G417+H417</f>
        <v>0</v>
      </c>
      <c r="J417" s="90">
        <f>J418+J420</f>
        <v>0</v>
      </c>
    </row>
    <row r="418" spans="1:10" ht="26.25" hidden="1">
      <c r="A418" s="42" t="s">
        <v>425</v>
      </c>
      <c r="B418" s="22" t="s">
        <v>221</v>
      </c>
      <c r="C418" s="22" t="s">
        <v>113</v>
      </c>
      <c r="D418" s="22" t="s">
        <v>80</v>
      </c>
      <c r="E418" s="22" t="s">
        <v>461</v>
      </c>
      <c r="F418" s="24"/>
      <c r="G418" s="90">
        <f>G419</f>
        <v>0</v>
      </c>
      <c r="H418" s="25"/>
      <c r="I418" s="26">
        <f>G418+H418</f>
        <v>0</v>
      </c>
      <c r="J418" s="90">
        <f>J419</f>
        <v>0</v>
      </c>
    </row>
    <row r="419" spans="1:10" ht="39" hidden="1">
      <c r="A419" s="28" t="s">
        <v>84</v>
      </c>
      <c r="B419" s="22" t="s">
        <v>221</v>
      </c>
      <c r="C419" s="22" t="s">
        <v>113</v>
      </c>
      <c r="D419" s="22" t="s">
        <v>80</v>
      </c>
      <c r="E419" s="22" t="s">
        <v>461</v>
      </c>
      <c r="F419" s="24" t="s">
        <v>85</v>
      </c>
      <c r="G419" s="90"/>
      <c r="H419" s="25"/>
      <c r="I419" s="26">
        <f>G419+H419</f>
        <v>0</v>
      </c>
      <c r="J419" s="90"/>
    </row>
    <row r="420" spans="1:10" ht="26.25" hidden="1">
      <c r="A420" s="42" t="s">
        <v>332</v>
      </c>
      <c r="B420" s="22" t="s">
        <v>221</v>
      </c>
      <c r="C420" s="22" t="s">
        <v>113</v>
      </c>
      <c r="D420" s="22" t="s">
        <v>80</v>
      </c>
      <c r="E420" s="22" t="s">
        <v>462</v>
      </c>
      <c r="F420" s="24"/>
      <c r="G420" s="90">
        <f>G421</f>
        <v>0</v>
      </c>
      <c r="H420" s="25"/>
      <c r="I420" s="26">
        <f aca="true" t="shared" si="9" ref="I420:I494">G420+H420</f>
        <v>0</v>
      </c>
      <c r="J420" s="90">
        <f>J421</f>
        <v>0</v>
      </c>
    </row>
    <row r="421" spans="1:10" ht="39" hidden="1">
      <c r="A421" s="28" t="s">
        <v>84</v>
      </c>
      <c r="B421" s="22" t="s">
        <v>221</v>
      </c>
      <c r="C421" s="22" t="s">
        <v>113</v>
      </c>
      <c r="D421" s="22" t="s">
        <v>80</v>
      </c>
      <c r="E421" s="22" t="s">
        <v>462</v>
      </c>
      <c r="F421" s="24" t="s">
        <v>85</v>
      </c>
      <c r="G421" s="90">
        <f>100000-100000</f>
        <v>0</v>
      </c>
      <c r="H421" s="25"/>
      <c r="I421" s="26">
        <f>G421+H421</f>
        <v>0</v>
      </c>
      <c r="J421" s="90">
        <f>100000-100000</f>
        <v>0</v>
      </c>
    </row>
    <row r="422" spans="1:10" ht="41.25" customHeight="1" hidden="1">
      <c r="A422" s="139" t="s">
        <v>45</v>
      </c>
      <c r="B422" s="22" t="s">
        <v>221</v>
      </c>
      <c r="C422" s="22" t="s">
        <v>113</v>
      </c>
      <c r="D422" s="22" t="s">
        <v>80</v>
      </c>
      <c r="E422" s="36" t="s">
        <v>19</v>
      </c>
      <c r="F422" s="24"/>
      <c r="G422" s="90">
        <f>G423</f>
        <v>0</v>
      </c>
      <c r="H422" s="25"/>
      <c r="I422" s="26">
        <f aca="true" t="shared" si="10" ref="I422:I429">G422+H422</f>
        <v>0</v>
      </c>
      <c r="J422" s="90">
        <f>J423</f>
        <v>0</v>
      </c>
    </row>
    <row r="423" spans="1:10" ht="82.5" customHeight="1" hidden="1">
      <c r="A423" s="65" t="s">
        <v>178</v>
      </c>
      <c r="B423" s="22" t="s">
        <v>221</v>
      </c>
      <c r="C423" s="22" t="s">
        <v>113</v>
      </c>
      <c r="D423" s="22" t="s">
        <v>80</v>
      </c>
      <c r="E423" s="61" t="s">
        <v>255</v>
      </c>
      <c r="F423" s="24"/>
      <c r="G423" s="90">
        <f>G424</f>
        <v>0</v>
      </c>
      <c r="H423" s="25"/>
      <c r="I423" s="26">
        <f t="shared" si="10"/>
        <v>0</v>
      </c>
      <c r="J423" s="90">
        <f>J424</f>
        <v>0</v>
      </c>
    </row>
    <row r="424" spans="1:10" ht="38.25" hidden="1">
      <c r="A424" s="30" t="s">
        <v>263</v>
      </c>
      <c r="B424" s="22" t="s">
        <v>221</v>
      </c>
      <c r="C424" s="22" t="s">
        <v>113</v>
      </c>
      <c r="D424" s="22" t="s">
        <v>80</v>
      </c>
      <c r="E424" s="32" t="s">
        <v>264</v>
      </c>
      <c r="F424" s="24"/>
      <c r="G424" s="90">
        <f>G427+G425</f>
        <v>0</v>
      </c>
      <c r="H424" s="25"/>
      <c r="I424" s="26">
        <f t="shared" si="10"/>
        <v>0</v>
      </c>
      <c r="J424" s="90">
        <f>J427+J425</f>
        <v>0</v>
      </c>
    </row>
    <row r="425" spans="1:10" ht="30" customHeight="1" hidden="1">
      <c r="A425" s="171" t="s">
        <v>593</v>
      </c>
      <c r="B425" s="22" t="s">
        <v>221</v>
      </c>
      <c r="C425" s="22" t="s">
        <v>113</v>
      </c>
      <c r="D425" s="22" t="s">
        <v>80</v>
      </c>
      <c r="E425" s="32" t="s">
        <v>585</v>
      </c>
      <c r="F425" s="24"/>
      <c r="G425" s="90">
        <f>G426</f>
        <v>0</v>
      </c>
      <c r="H425" s="25"/>
      <c r="I425" s="26">
        <f>G425+H425</f>
        <v>0</v>
      </c>
      <c r="J425" s="90">
        <f>J426</f>
        <v>0</v>
      </c>
    </row>
    <row r="426" spans="1:10" ht="26.25" hidden="1">
      <c r="A426" s="28" t="s">
        <v>530</v>
      </c>
      <c r="B426" s="22" t="s">
        <v>221</v>
      </c>
      <c r="C426" s="22" t="s">
        <v>113</v>
      </c>
      <c r="D426" s="22" t="s">
        <v>80</v>
      </c>
      <c r="E426" s="32" t="s">
        <v>585</v>
      </c>
      <c r="F426" s="24" t="s">
        <v>529</v>
      </c>
      <c r="G426" s="90"/>
      <c r="H426" s="25"/>
      <c r="I426" s="26">
        <f>G426+H426</f>
        <v>0</v>
      </c>
      <c r="J426" s="90"/>
    </row>
    <row r="427" spans="1:10" ht="24" hidden="1">
      <c r="A427" s="171" t="s">
        <v>594</v>
      </c>
      <c r="B427" s="22" t="s">
        <v>221</v>
      </c>
      <c r="C427" s="22" t="s">
        <v>113</v>
      </c>
      <c r="D427" s="22" t="s">
        <v>80</v>
      </c>
      <c r="E427" s="32" t="s">
        <v>584</v>
      </c>
      <c r="F427" s="24"/>
      <c r="G427" s="90">
        <f>G428</f>
        <v>0</v>
      </c>
      <c r="H427" s="25"/>
      <c r="I427" s="26">
        <f t="shared" si="10"/>
        <v>0</v>
      </c>
      <c r="J427" s="90">
        <f>J428</f>
        <v>0</v>
      </c>
    </row>
    <row r="428" spans="1:10" ht="26.25" hidden="1">
      <c r="A428" s="28" t="s">
        <v>530</v>
      </c>
      <c r="B428" s="22" t="s">
        <v>221</v>
      </c>
      <c r="C428" s="22" t="s">
        <v>113</v>
      </c>
      <c r="D428" s="22" t="s">
        <v>80</v>
      </c>
      <c r="E428" s="32" t="s">
        <v>584</v>
      </c>
      <c r="F428" s="24" t="s">
        <v>529</v>
      </c>
      <c r="G428" s="90"/>
      <c r="H428" s="25"/>
      <c r="I428" s="26">
        <f t="shared" si="10"/>
        <v>0</v>
      </c>
      <c r="J428" s="90"/>
    </row>
    <row r="429" spans="1:10" ht="18.75" customHeight="1" hidden="1">
      <c r="A429" s="30" t="s">
        <v>304</v>
      </c>
      <c r="B429" s="22" t="s">
        <v>221</v>
      </c>
      <c r="C429" s="22" t="s">
        <v>113</v>
      </c>
      <c r="D429" s="22" t="s">
        <v>80</v>
      </c>
      <c r="E429" s="36" t="s">
        <v>301</v>
      </c>
      <c r="F429" s="24"/>
      <c r="G429" s="90">
        <f>G430</f>
        <v>0</v>
      </c>
      <c r="H429" s="25"/>
      <c r="I429" s="26">
        <f t="shared" si="10"/>
        <v>0</v>
      </c>
      <c r="J429" s="90">
        <f>J430</f>
        <v>0</v>
      </c>
    </row>
    <row r="430" spans="1:10" ht="63.75" hidden="1">
      <c r="A430" s="60" t="s">
        <v>308</v>
      </c>
      <c r="B430" s="22" t="s">
        <v>221</v>
      </c>
      <c r="C430" s="43" t="s">
        <v>113</v>
      </c>
      <c r="D430" s="43" t="s">
        <v>80</v>
      </c>
      <c r="E430" s="61" t="s">
        <v>307</v>
      </c>
      <c r="F430" s="44"/>
      <c r="G430" s="94">
        <f>G431</f>
        <v>0</v>
      </c>
      <c r="H430" s="25"/>
      <c r="I430" s="26">
        <f t="shared" si="9"/>
        <v>0</v>
      </c>
      <c r="J430" s="94">
        <f>J431</f>
        <v>0</v>
      </c>
    </row>
    <row r="431" spans="1:10" ht="38.25" hidden="1">
      <c r="A431" s="135" t="s">
        <v>314</v>
      </c>
      <c r="B431" s="22" t="s">
        <v>221</v>
      </c>
      <c r="C431" s="22" t="s">
        <v>113</v>
      </c>
      <c r="D431" s="22" t="s">
        <v>80</v>
      </c>
      <c r="E431" s="36" t="s">
        <v>312</v>
      </c>
      <c r="F431" s="24"/>
      <c r="G431" s="90">
        <f>G432</f>
        <v>0</v>
      </c>
      <c r="H431" s="25"/>
      <c r="I431" s="26">
        <f t="shared" si="9"/>
        <v>0</v>
      </c>
      <c r="J431" s="90">
        <f>J432</f>
        <v>0</v>
      </c>
    </row>
    <row r="432" spans="1:10" ht="25.5" hidden="1">
      <c r="A432" s="30" t="s">
        <v>130</v>
      </c>
      <c r="B432" s="22" t="s">
        <v>221</v>
      </c>
      <c r="C432" s="22" t="s">
        <v>113</v>
      </c>
      <c r="D432" s="22" t="s">
        <v>80</v>
      </c>
      <c r="E432" s="36" t="s">
        <v>333</v>
      </c>
      <c r="F432" s="24"/>
      <c r="G432" s="90">
        <f>G433+G434+G435</f>
        <v>0</v>
      </c>
      <c r="H432" s="25">
        <f>H433+H434</f>
        <v>0</v>
      </c>
      <c r="I432" s="26">
        <f t="shared" si="9"/>
        <v>0</v>
      </c>
      <c r="J432" s="90">
        <f>J433+J434+J435</f>
        <v>0</v>
      </c>
    </row>
    <row r="433" spans="1:10" ht="39" hidden="1">
      <c r="A433" s="28" t="s">
        <v>84</v>
      </c>
      <c r="B433" s="22" t="s">
        <v>221</v>
      </c>
      <c r="C433" s="22" t="s">
        <v>113</v>
      </c>
      <c r="D433" s="22" t="s">
        <v>80</v>
      </c>
      <c r="E433" s="36" t="s">
        <v>333</v>
      </c>
      <c r="F433" s="24" t="s">
        <v>85</v>
      </c>
      <c r="G433" s="90">
        <f>610000-610000</f>
        <v>0</v>
      </c>
      <c r="H433" s="25"/>
      <c r="I433" s="26">
        <f t="shared" si="9"/>
        <v>0</v>
      </c>
      <c r="J433" s="90">
        <f>610000-610000</f>
        <v>0</v>
      </c>
    </row>
    <row r="434" spans="1:10" ht="26.25" hidden="1">
      <c r="A434" s="28" t="s">
        <v>39</v>
      </c>
      <c r="B434" s="22" t="s">
        <v>221</v>
      </c>
      <c r="C434" s="22" t="s">
        <v>113</v>
      </c>
      <c r="D434" s="22" t="s">
        <v>80</v>
      </c>
      <c r="E434" s="36" t="s">
        <v>333</v>
      </c>
      <c r="F434" s="24" t="s">
        <v>92</v>
      </c>
      <c r="G434" s="90"/>
      <c r="H434" s="25"/>
      <c r="I434" s="26">
        <f t="shared" si="9"/>
        <v>0</v>
      </c>
      <c r="J434" s="90"/>
    </row>
    <row r="435" spans="1:10" ht="15" hidden="1">
      <c r="A435" s="30" t="s">
        <v>93</v>
      </c>
      <c r="B435" s="22" t="s">
        <v>221</v>
      </c>
      <c r="C435" s="22" t="s">
        <v>113</v>
      </c>
      <c r="D435" s="22" t="s">
        <v>80</v>
      </c>
      <c r="E435" s="36" t="s">
        <v>333</v>
      </c>
      <c r="F435" s="24" t="s">
        <v>94</v>
      </c>
      <c r="G435" s="90"/>
      <c r="H435" s="25"/>
      <c r="I435" s="26">
        <f t="shared" si="9"/>
        <v>0</v>
      </c>
      <c r="J435" s="90"/>
    </row>
    <row r="436" spans="1:10" ht="54.75" customHeight="1">
      <c r="A436" s="149" t="s">
        <v>565</v>
      </c>
      <c r="B436" s="22" t="s">
        <v>221</v>
      </c>
      <c r="C436" s="22" t="s">
        <v>113</v>
      </c>
      <c r="D436" s="22" t="s">
        <v>80</v>
      </c>
      <c r="E436" s="36" t="s">
        <v>339</v>
      </c>
      <c r="F436" s="24"/>
      <c r="G436" s="90">
        <f>G437</f>
        <v>421680</v>
      </c>
      <c r="H436" s="25"/>
      <c r="I436" s="26">
        <f t="shared" si="9"/>
        <v>421680</v>
      </c>
      <c r="J436" s="90">
        <f>J437</f>
        <v>421680</v>
      </c>
    </row>
    <row r="437" spans="1:10" ht="75.75" customHeight="1">
      <c r="A437" s="104" t="s">
        <v>568</v>
      </c>
      <c r="B437" s="22" t="s">
        <v>221</v>
      </c>
      <c r="C437" s="43" t="s">
        <v>113</v>
      </c>
      <c r="D437" s="43" t="s">
        <v>80</v>
      </c>
      <c r="E437" s="61" t="s">
        <v>410</v>
      </c>
      <c r="F437" s="44"/>
      <c r="G437" s="94">
        <f>G438+G441</f>
        <v>421680</v>
      </c>
      <c r="H437" s="25"/>
      <c r="I437" s="26">
        <f t="shared" si="9"/>
        <v>421680</v>
      </c>
      <c r="J437" s="94">
        <f>J438+J441</f>
        <v>421680</v>
      </c>
    </row>
    <row r="438" spans="1:10" ht="25.5" hidden="1">
      <c r="A438" s="138" t="s">
        <v>2</v>
      </c>
      <c r="B438" s="22" t="s">
        <v>221</v>
      </c>
      <c r="C438" s="22" t="s">
        <v>113</v>
      </c>
      <c r="D438" s="22" t="s">
        <v>80</v>
      </c>
      <c r="E438" s="36" t="s">
        <v>411</v>
      </c>
      <c r="F438" s="24"/>
      <c r="G438" s="90">
        <f>G439</f>
        <v>0</v>
      </c>
      <c r="H438" s="25"/>
      <c r="I438" s="26">
        <f t="shared" si="9"/>
        <v>0</v>
      </c>
      <c r="J438" s="90">
        <f>J439</f>
        <v>0</v>
      </c>
    </row>
    <row r="439" spans="1:10" ht="25.5" hidden="1">
      <c r="A439" s="30" t="s">
        <v>249</v>
      </c>
      <c r="B439" s="22" t="s">
        <v>221</v>
      </c>
      <c r="C439" s="22" t="s">
        <v>113</v>
      </c>
      <c r="D439" s="22" t="s">
        <v>80</v>
      </c>
      <c r="E439" s="36" t="s">
        <v>3</v>
      </c>
      <c r="F439" s="24"/>
      <c r="G439" s="90">
        <f>G440</f>
        <v>0</v>
      </c>
      <c r="H439" s="25"/>
      <c r="I439" s="26">
        <f t="shared" si="9"/>
        <v>0</v>
      </c>
      <c r="J439" s="90">
        <f>J440</f>
        <v>0</v>
      </c>
    </row>
    <row r="440" spans="1:10" ht="26.25" hidden="1">
      <c r="A440" s="28" t="s">
        <v>39</v>
      </c>
      <c r="B440" s="22" t="s">
        <v>221</v>
      </c>
      <c r="C440" s="22" t="s">
        <v>113</v>
      </c>
      <c r="D440" s="22" t="s">
        <v>80</v>
      </c>
      <c r="E440" s="36" t="s">
        <v>3</v>
      </c>
      <c r="F440" s="24" t="s">
        <v>92</v>
      </c>
      <c r="G440" s="90"/>
      <c r="H440" s="78"/>
      <c r="I440" s="26">
        <f t="shared" si="9"/>
        <v>0</v>
      </c>
      <c r="J440" s="90"/>
    </row>
    <row r="441" spans="1:10" ht="63.75" customHeight="1">
      <c r="A441" s="138" t="s">
        <v>4</v>
      </c>
      <c r="B441" s="22" t="s">
        <v>221</v>
      </c>
      <c r="C441" s="22" t="s">
        <v>113</v>
      </c>
      <c r="D441" s="22" t="s">
        <v>80</v>
      </c>
      <c r="E441" s="36" t="s">
        <v>160</v>
      </c>
      <c r="F441" s="24"/>
      <c r="G441" s="90">
        <f>G442</f>
        <v>421680</v>
      </c>
      <c r="H441" s="25"/>
      <c r="I441" s="26">
        <f t="shared" si="9"/>
        <v>421680</v>
      </c>
      <c r="J441" s="90">
        <f>J442</f>
        <v>421680</v>
      </c>
    </row>
    <row r="442" spans="1:10" ht="30.75" customHeight="1">
      <c r="A442" s="30" t="s">
        <v>249</v>
      </c>
      <c r="B442" s="22" t="s">
        <v>221</v>
      </c>
      <c r="C442" s="22" t="s">
        <v>113</v>
      </c>
      <c r="D442" s="22" t="s">
        <v>80</v>
      </c>
      <c r="E442" s="36" t="s">
        <v>5</v>
      </c>
      <c r="F442" s="24"/>
      <c r="G442" s="90">
        <f>G443</f>
        <v>421680</v>
      </c>
      <c r="H442" s="25"/>
      <c r="I442" s="26">
        <f t="shared" si="9"/>
        <v>421680</v>
      </c>
      <c r="J442" s="90">
        <f>J443</f>
        <v>421680</v>
      </c>
    </row>
    <row r="443" spans="1:10" ht="34.5" customHeight="1">
      <c r="A443" s="28" t="s">
        <v>39</v>
      </c>
      <c r="B443" s="22" t="s">
        <v>221</v>
      </c>
      <c r="C443" s="22" t="s">
        <v>113</v>
      </c>
      <c r="D443" s="22" t="s">
        <v>80</v>
      </c>
      <c r="E443" s="36" t="s">
        <v>5</v>
      </c>
      <c r="F443" s="24" t="s">
        <v>92</v>
      </c>
      <c r="G443" s="90">
        <f>143500+278180</f>
        <v>421680</v>
      </c>
      <c r="H443" s="78"/>
      <c r="I443" s="26">
        <f t="shared" si="9"/>
        <v>421680</v>
      </c>
      <c r="J443" s="90">
        <f>143500+278180</f>
        <v>421680</v>
      </c>
    </row>
    <row r="444" spans="1:10" ht="42" customHeight="1">
      <c r="A444" s="134" t="s">
        <v>571</v>
      </c>
      <c r="B444" s="22" t="s">
        <v>221</v>
      </c>
      <c r="C444" s="22" t="s">
        <v>113</v>
      </c>
      <c r="D444" s="22" t="s">
        <v>80</v>
      </c>
      <c r="E444" s="22" t="s">
        <v>174</v>
      </c>
      <c r="F444" s="29"/>
      <c r="G444" s="90">
        <f>G445</f>
        <v>10000</v>
      </c>
      <c r="H444" s="25"/>
      <c r="I444" s="26">
        <f t="shared" si="9"/>
        <v>10000</v>
      </c>
      <c r="J444" s="90">
        <f>J445</f>
        <v>10000</v>
      </c>
    </row>
    <row r="445" spans="1:10" s="47" customFormat="1" ht="60" customHeight="1">
      <c r="A445" s="98" t="s">
        <v>572</v>
      </c>
      <c r="B445" s="22" t="s">
        <v>221</v>
      </c>
      <c r="C445" s="43" t="s">
        <v>113</v>
      </c>
      <c r="D445" s="43" t="s">
        <v>80</v>
      </c>
      <c r="E445" s="43" t="s">
        <v>175</v>
      </c>
      <c r="F445" s="57"/>
      <c r="G445" s="94">
        <f>G446</f>
        <v>10000</v>
      </c>
      <c r="H445" s="45"/>
      <c r="I445" s="46">
        <f t="shared" si="9"/>
        <v>10000</v>
      </c>
      <c r="J445" s="94">
        <f>J446</f>
        <v>10000</v>
      </c>
    </row>
    <row r="446" spans="1:10" ht="25.5">
      <c r="A446" s="112" t="s">
        <v>573</v>
      </c>
      <c r="B446" s="22" t="s">
        <v>221</v>
      </c>
      <c r="C446" s="22" t="s">
        <v>113</v>
      </c>
      <c r="D446" s="22" t="s">
        <v>80</v>
      </c>
      <c r="E446" s="22" t="s">
        <v>574</v>
      </c>
      <c r="F446" s="29"/>
      <c r="G446" s="90">
        <f>G447</f>
        <v>10000</v>
      </c>
      <c r="H446" s="25"/>
      <c r="I446" s="26">
        <f t="shared" si="9"/>
        <v>10000</v>
      </c>
      <c r="J446" s="90">
        <f>J447</f>
        <v>10000</v>
      </c>
    </row>
    <row r="447" spans="1:10" ht="15">
      <c r="A447" s="110" t="s">
        <v>176</v>
      </c>
      <c r="B447" s="22" t="s">
        <v>221</v>
      </c>
      <c r="C447" s="22" t="s">
        <v>113</v>
      </c>
      <c r="D447" s="22" t="s">
        <v>80</v>
      </c>
      <c r="E447" s="22" t="s">
        <v>575</v>
      </c>
      <c r="F447" s="29"/>
      <c r="G447" s="90">
        <f>G448</f>
        <v>10000</v>
      </c>
      <c r="H447" s="25"/>
      <c r="I447" s="26">
        <f t="shared" si="9"/>
        <v>10000</v>
      </c>
      <c r="J447" s="90">
        <f>J448</f>
        <v>10000</v>
      </c>
    </row>
    <row r="448" spans="1:10" ht="33.75" customHeight="1">
      <c r="A448" s="140" t="s">
        <v>39</v>
      </c>
      <c r="B448" s="22" t="s">
        <v>221</v>
      </c>
      <c r="C448" s="22" t="s">
        <v>113</v>
      </c>
      <c r="D448" s="22" t="s">
        <v>80</v>
      </c>
      <c r="E448" s="22" t="s">
        <v>575</v>
      </c>
      <c r="F448" s="24" t="s">
        <v>92</v>
      </c>
      <c r="G448" s="90">
        <f>10000</f>
        <v>10000</v>
      </c>
      <c r="H448" s="78"/>
      <c r="I448" s="26">
        <f t="shared" si="9"/>
        <v>10000</v>
      </c>
      <c r="J448" s="90">
        <f>10000</f>
        <v>10000</v>
      </c>
    </row>
    <row r="449" spans="1:10" ht="21" customHeight="1">
      <c r="A449" s="144" t="s">
        <v>483</v>
      </c>
      <c r="B449" s="22" t="s">
        <v>221</v>
      </c>
      <c r="C449" s="22" t="s">
        <v>113</v>
      </c>
      <c r="D449" s="22" t="s">
        <v>87</v>
      </c>
      <c r="E449" s="22"/>
      <c r="F449" s="24"/>
      <c r="G449" s="90">
        <f>G450</f>
        <v>13941586</v>
      </c>
      <c r="H449" s="25"/>
      <c r="I449" s="26">
        <f t="shared" si="9"/>
        <v>13941586</v>
      </c>
      <c r="J449" s="90">
        <f>J450</f>
        <v>13847583.68</v>
      </c>
    </row>
    <row r="450" spans="1:10" ht="39" customHeight="1">
      <c r="A450" s="21" t="s">
        <v>225</v>
      </c>
      <c r="B450" s="43" t="s">
        <v>221</v>
      </c>
      <c r="C450" s="22" t="s">
        <v>113</v>
      </c>
      <c r="D450" s="22" t="s">
        <v>87</v>
      </c>
      <c r="E450" s="22" t="s">
        <v>392</v>
      </c>
      <c r="F450" s="24"/>
      <c r="G450" s="90">
        <f>G451</f>
        <v>13941586</v>
      </c>
      <c r="H450" s="25"/>
      <c r="I450" s="26">
        <f t="shared" si="9"/>
        <v>13941586</v>
      </c>
      <c r="J450" s="90">
        <f>J451</f>
        <v>13847583.68</v>
      </c>
    </row>
    <row r="451" spans="1:10" s="47" customFormat="1" ht="51.75">
      <c r="A451" s="55" t="s">
        <v>247</v>
      </c>
      <c r="B451" s="22" t="s">
        <v>221</v>
      </c>
      <c r="C451" s="43" t="s">
        <v>113</v>
      </c>
      <c r="D451" s="43" t="s">
        <v>87</v>
      </c>
      <c r="E451" s="43" t="s">
        <v>430</v>
      </c>
      <c r="F451" s="44"/>
      <c r="G451" s="94">
        <f>G452</f>
        <v>13941586</v>
      </c>
      <c r="H451" s="45"/>
      <c r="I451" s="46">
        <f t="shared" si="9"/>
        <v>13941586</v>
      </c>
      <c r="J451" s="94">
        <f>J452</f>
        <v>13847583.68</v>
      </c>
    </row>
    <row r="452" spans="1:10" ht="25.5">
      <c r="A452" s="30" t="s">
        <v>431</v>
      </c>
      <c r="B452" s="22" t="s">
        <v>221</v>
      </c>
      <c r="C452" s="22" t="s">
        <v>113</v>
      </c>
      <c r="D452" s="22" t="s">
        <v>80</v>
      </c>
      <c r="E452" s="22" t="s">
        <v>432</v>
      </c>
      <c r="F452" s="24"/>
      <c r="G452" s="90">
        <f>G453</f>
        <v>13941586</v>
      </c>
      <c r="H452" s="25"/>
      <c r="I452" s="26">
        <f t="shared" si="9"/>
        <v>13941586</v>
      </c>
      <c r="J452" s="90">
        <f>J453</f>
        <v>13847583.68</v>
      </c>
    </row>
    <row r="453" spans="1:10" ht="25.5">
      <c r="A453" s="30" t="s">
        <v>130</v>
      </c>
      <c r="B453" s="22" t="s">
        <v>221</v>
      </c>
      <c r="C453" s="22" t="s">
        <v>113</v>
      </c>
      <c r="D453" s="22" t="s">
        <v>87</v>
      </c>
      <c r="E453" s="22" t="s">
        <v>433</v>
      </c>
      <c r="F453" s="24"/>
      <c r="G453" s="90">
        <f>G454+G455+G456</f>
        <v>13941586</v>
      </c>
      <c r="H453" s="25"/>
      <c r="I453" s="26">
        <f t="shared" si="9"/>
        <v>13941586</v>
      </c>
      <c r="J453" s="90">
        <f>J454+J455+J456</f>
        <v>13847583.68</v>
      </c>
    </row>
    <row r="454" spans="1:10" ht="43.5" customHeight="1">
      <c r="A454" s="28" t="s">
        <v>84</v>
      </c>
      <c r="B454" s="22" t="s">
        <v>221</v>
      </c>
      <c r="C454" s="22" t="s">
        <v>113</v>
      </c>
      <c r="D454" s="22" t="s">
        <v>87</v>
      </c>
      <c r="E454" s="22" t="s">
        <v>433</v>
      </c>
      <c r="F454" s="24" t="s">
        <v>85</v>
      </c>
      <c r="G454" s="90">
        <f>9499200+2868800+339700-579200+824630</f>
        <v>12953130</v>
      </c>
      <c r="H454" s="78"/>
      <c r="I454" s="26">
        <f t="shared" si="9"/>
        <v>12953130</v>
      </c>
      <c r="J454" s="90">
        <v>12953130</v>
      </c>
    </row>
    <row r="455" spans="1:10" ht="26.25" customHeight="1">
      <c r="A455" s="28" t="s">
        <v>39</v>
      </c>
      <c r="B455" s="22" t="s">
        <v>221</v>
      </c>
      <c r="C455" s="22" t="s">
        <v>113</v>
      </c>
      <c r="D455" s="22" t="s">
        <v>87</v>
      </c>
      <c r="E455" s="22" t="s">
        <v>433</v>
      </c>
      <c r="F455" s="24" t="s">
        <v>92</v>
      </c>
      <c r="G455" s="90">
        <f>40600+273100+78500+80200+176400+50000+47050+9000+77360-7300+53828+24700</f>
        <v>903438</v>
      </c>
      <c r="H455" s="78"/>
      <c r="I455" s="26">
        <f t="shared" si="9"/>
        <v>903438</v>
      </c>
      <c r="J455" s="90">
        <v>809436.31</v>
      </c>
    </row>
    <row r="456" spans="1:10" ht="22.5" customHeight="1">
      <c r="A456" s="30" t="s">
        <v>93</v>
      </c>
      <c r="B456" s="43" t="s">
        <v>221</v>
      </c>
      <c r="C456" s="22" t="s">
        <v>113</v>
      </c>
      <c r="D456" s="22" t="s">
        <v>87</v>
      </c>
      <c r="E456" s="22" t="s">
        <v>433</v>
      </c>
      <c r="F456" s="24" t="s">
        <v>94</v>
      </c>
      <c r="G456" s="90">
        <f>80800+2000+1910+308</f>
        <v>85018</v>
      </c>
      <c r="H456" s="78"/>
      <c r="I456" s="26">
        <f t="shared" si="9"/>
        <v>85018</v>
      </c>
      <c r="J456" s="90">
        <v>85017.37</v>
      </c>
    </row>
    <row r="457" spans="1:10" ht="15">
      <c r="A457" s="21" t="s">
        <v>543</v>
      </c>
      <c r="B457" s="22" t="s">
        <v>221</v>
      </c>
      <c r="C457" s="22" t="s">
        <v>113</v>
      </c>
      <c r="D457" s="22" t="s">
        <v>113</v>
      </c>
      <c r="E457" s="22"/>
      <c r="F457" s="24"/>
      <c r="G457" s="90">
        <f>G458</f>
        <v>1410515</v>
      </c>
      <c r="H457" s="25">
        <f>H458</f>
        <v>1151039.06</v>
      </c>
      <c r="I457" s="26">
        <f t="shared" si="9"/>
        <v>2561554.06</v>
      </c>
      <c r="J457" s="90">
        <f>J458</f>
        <v>2550450.94</v>
      </c>
    </row>
    <row r="458" spans="1:10" ht="53.25" customHeight="1">
      <c r="A458" s="30" t="s">
        <v>304</v>
      </c>
      <c r="B458" s="22" t="s">
        <v>221</v>
      </c>
      <c r="C458" s="22" t="s">
        <v>113</v>
      </c>
      <c r="D458" s="22" t="s">
        <v>113</v>
      </c>
      <c r="E458" s="36" t="s">
        <v>301</v>
      </c>
      <c r="F458" s="24"/>
      <c r="G458" s="90">
        <f>G459</f>
        <v>1410515</v>
      </c>
      <c r="H458" s="25">
        <f>H459</f>
        <v>1151039.06</v>
      </c>
      <c r="I458" s="26">
        <f t="shared" si="9"/>
        <v>2561554.06</v>
      </c>
      <c r="J458" s="90">
        <f>J459</f>
        <v>2550450.94</v>
      </c>
    </row>
    <row r="459" spans="1:10" ht="60" customHeight="1">
      <c r="A459" s="135" t="s">
        <v>323</v>
      </c>
      <c r="B459" s="22" t="s">
        <v>221</v>
      </c>
      <c r="C459" s="22" t="s">
        <v>113</v>
      </c>
      <c r="D459" s="22" t="s">
        <v>113</v>
      </c>
      <c r="E459" s="36" t="s">
        <v>324</v>
      </c>
      <c r="F459" s="35"/>
      <c r="G459" s="90">
        <f>G460+G468+G465</f>
        <v>1410515</v>
      </c>
      <c r="H459" s="25">
        <f>H461+H469</f>
        <v>1151039.06</v>
      </c>
      <c r="I459" s="26">
        <f t="shared" si="9"/>
        <v>2561554.06</v>
      </c>
      <c r="J459" s="90">
        <f>J460+J468+J465</f>
        <v>2550450.94</v>
      </c>
    </row>
    <row r="460" spans="1:10" ht="33" customHeight="1">
      <c r="A460" s="30" t="s">
        <v>168</v>
      </c>
      <c r="B460" s="22" t="s">
        <v>221</v>
      </c>
      <c r="C460" s="22" t="s">
        <v>113</v>
      </c>
      <c r="D460" s="22" t="s">
        <v>113</v>
      </c>
      <c r="E460" s="36" t="s">
        <v>325</v>
      </c>
      <c r="F460" s="35"/>
      <c r="G460" s="90">
        <f>G461+G463</f>
        <v>743586</v>
      </c>
      <c r="H460" s="25"/>
      <c r="I460" s="26">
        <f t="shared" si="9"/>
        <v>743586</v>
      </c>
      <c r="J460" s="90">
        <f>J461+J463</f>
        <v>743558.4</v>
      </c>
    </row>
    <row r="461" spans="1:10" ht="15">
      <c r="A461" s="21" t="s">
        <v>184</v>
      </c>
      <c r="B461" s="22" t="s">
        <v>221</v>
      </c>
      <c r="C461" s="22" t="s">
        <v>113</v>
      </c>
      <c r="D461" s="22" t="s">
        <v>113</v>
      </c>
      <c r="E461" s="36" t="s">
        <v>36</v>
      </c>
      <c r="F461" s="24"/>
      <c r="G461" s="90">
        <f>G462</f>
        <v>260284</v>
      </c>
      <c r="H461" s="25"/>
      <c r="I461" s="26">
        <f t="shared" si="9"/>
        <v>260284</v>
      </c>
      <c r="J461" s="90">
        <f>J462</f>
        <v>260284</v>
      </c>
    </row>
    <row r="462" spans="1:10" ht="24.75">
      <c r="A462" s="140" t="s">
        <v>39</v>
      </c>
      <c r="B462" s="22" t="s">
        <v>221</v>
      </c>
      <c r="C462" s="22" t="s">
        <v>113</v>
      </c>
      <c r="D462" s="22" t="s">
        <v>113</v>
      </c>
      <c r="E462" s="36" t="s">
        <v>36</v>
      </c>
      <c r="F462" s="35" t="s">
        <v>92</v>
      </c>
      <c r="G462" s="121">
        <v>260284</v>
      </c>
      <c r="H462" s="25"/>
      <c r="I462" s="26">
        <f t="shared" si="9"/>
        <v>260284</v>
      </c>
      <c r="J462" s="121">
        <v>260284</v>
      </c>
    </row>
    <row r="463" spans="1:10" ht="18" customHeight="1">
      <c r="A463" s="120" t="s">
        <v>37</v>
      </c>
      <c r="B463" s="22" t="s">
        <v>221</v>
      </c>
      <c r="C463" s="22" t="s">
        <v>113</v>
      </c>
      <c r="D463" s="22" t="s">
        <v>113</v>
      </c>
      <c r="E463" s="36" t="s">
        <v>38</v>
      </c>
      <c r="F463" s="24"/>
      <c r="G463" s="121">
        <f>G464</f>
        <v>483302</v>
      </c>
      <c r="H463" s="25"/>
      <c r="I463" s="26">
        <f t="shared" si="9"/>
        <v>483302</v>
      </c>
      <c r="J463" s="121">
        <f>J464</f>
        <v>483274.4</v>
      </c>
    </row>
    <row r="464" spans="1:10" ht="24.75">
      <c r="A464" s="140" t="s">
        <v>39</v>
      </c>
      <c r="B464" s="22" t="s">
        <v>221</v>
      </c>
      <c r="C464" s="22" t="s">
        <v>113</v>
      </c>
      <c r="D464" s="22" t="s">
        <v>113</v>
      </c>
      <c r="E464" s="36" t="s">
        <v>38</v>
      </c>
      <c r="F464" s="35" t="s">
        <v>92</v>
      </c>
      <c r="G464" s="90">
        <f>484700-4800+3402</f>
        <v>483302</v>
      </c>
      <c r="H464" s="78"/>
      <c r="I464" s="26">
        <f t="shared" si="9"/>
        <v>483302</v>
      </c>
      <c r="J464" s="90">
        <v>483274.4</v>
      </c>
    </row>
    <row r="465" spans="1:10" ht="22.5" customHeight="1">
      <c r="A465" s="30" t="s">
        <v>169</v>
      </c>
      <c r="B465" s="22" t="s">
        <v>221</v>
      </c>
      <c r="C465" s="22" t="s">
        <v>113</v>
      </c>
      <c r="D465" s="22" t="s">
        <v>113</v>
      </c>
      <c r="E465" s="36" t="s">
        <v>338</v>
      </c>
      <c r="F465" s="35"/>
      <c r="G465" s="121">
        <f>G466</f>
        <v>36000</v>
      </c>
      <c r="H465" s="25"/>
      <c r="I465" s="26">
        <f t="shared" si="9"/>
        <v>36000</v>
      </c>
      <c r="J465" s="121">
        <f>J466</f>
        <v>36000</v>
      </c>
    </row>
    <row r="466" spans="1:10" ht="15" customHeight="1">
      <c r="A466" s="140" t="s">
        <v>171</v>
      </c>
      <c r="B466" s="22" t="s">
        <v>221</v>
      </c>
      <c r="C466" s="22" t="s">
        <v>113</v>
      </c>
      <c r="D466" s="22" t="s">
        <v>113</v>
      </c>
      <c r="E466" s="36" t="s">
        <v>170</v>
      </c>
      <c r="F466" s="35"/>
      <c r="G466" s="121">
        <f>G467</f>
        <v>36000</v>
      </c>
      <c r="H466" s="25"/>
      <c r="I466" s="26">
        <f t="shared" si="9"/>
        <v>36000</v>
      </c>
      <c r="J466" s="121">
        <f>J467</f>
        <v>36000</v>
      </c>
    </row>
    <row r="467" spans="1:10" ht="24.75">
      <c r="A467" s="140" t="s">
        <v>39</v>
      </c>
      <c r="B467" s="22" t="s">
        <v>221</v>
      </c>
      <c r="C467" s="22" t="s">
        <v>113</v>
      </c>
      <c r="D467" s="22" t="s">
        <v>113</v>
      </c>
      <c r="E467" s="36" t="s">
        <v>170</v>
      </c>
      <c r="F467" s="35" t="s">
        <v>92</v>
      </c>
      <c r="G467" s="90">
        <f>36000</f>
        <v>36000</v>
      </c>
      <c r="H467" s="78"/>
      <c r="I467" s="26">
        <f t="shared" si="9"/>
        <v>36000</v>
      </c>
      <c r="J467" s="90">
        <f>36000</f>
        <v>36000</v>
      </c>
    </row>
    <row r="468" spans="1:10" ht="39.75" customHeight="1">
      <c r="A468" s="30" t="s">
        <v>337</v>
      </c>
      <c r="B468" s="22" t="s">
        <v>221</v>
      </c>
      <c r="C468" s="22" t="s">
        <v>113</v>
      </c>
      <c r="D468" s="22" t="s">
        <v>113</v>
      </c>
      <c r="E468" s="36" t="s">
        <v>172</v>
      </c>
      <c r="F468" s="35"/>
      <c r="G468" s="90">
        <f>G469</f>
        <v>630929</v>
      </c>
      <c r="H468" s="25">
        <f>H469</f>
        <v>1151039.06</v>
      </c>
      <c r="I468" s="26">
        <f t="shared" si="9"/>
        <v>1781968.06</v>
      </c>
      <c r="J468" s="90">
        <f>J469</f>
        <v>1770892.54</v>
      </c>
    </row>
    <row r="469" spans="1:10" ht="29.25" customHeight="1">
      <c r="A469" s="39" t="s">
        <v>130</v>
      </c>
      <c r="B469" s="22" t="s">
        <v>221</v>
      </c>
      <c r="C469" s="22" t="s">
        <v>113</v>
      </c>
      <c r="D469" s="22" t="s">
        <v>113</v>
      </c>
      <c r="E469" s="36" t="s">
        <v>173</v>
      </c>
      <c r="F469" s="35"/>
      <c r="G469" s="90">
        <f>G470+G471+G472</f>
        <v>630929</v>
      </c>
      <c r="H469" s="25">
        <f>H470+H471+H472</f>
        <v>1151039.06</v>
      </c>
      <c r="I469" s="26">
        <f t="shared" si="9"/>
        <v>1781968.06</v>
      </c>
      <c r="J469" s="90">
        <f>J470+J471+J472</f>
        <v>1770892.54</v>
      </c>
    </row>
    <row r="470" spans="1:10" ht="27.75" customHeight="1">
      <c r="A470" s="21" t="s">
        <v>250</v>
      </c>
      <c r="B470" s="22" t="s">
        <v>221</v>
      </c>
      <c r="C470" s="22" t="s">
        <v>113</v>
      </c>
      <c r="D470" s="22" t="s">
        <v>113</v>
      </c>
      <c r="E470" s="36" t="s">
        <v>173</v>
      </c>
      <c r="F470" s="24" t="s">
        <v>85</v>
      </c>
      <c r="G470" s="90">
        <f>305200+92200+113000-36771</f>
        <v>473629</v>
      </c>
      <c r="H470" s="78"/>
      <c r="I470" s="26">
        <f t="shared" si="9"/>
        <v>473629</v>
      </c>
      <c r="J470" s="90">
        <f>305200+92200+113000-36771</f>
        <v>473629</v>
      </c>
    </row>
    <row r="471" spans="1:10" ht="29.25" customHeight="1">
      <c r="A471" s="28" t="s">
        <v>39</v>
      </c>
      <c r="B471" s="22" t="s">
        <v>221</v>
      </c>
      <c r="C471" s="22" t="s">
        <v>113</v>
      </c>
      <c r="D471" s="22" t="s">
        <v>113</v>
      </c>
      <c r="E471" s="36" t="s">
        <v>173</v>
      </c>
      <c r="F471" s="35" t="s">
        <v>92</v>
      </c>
      <c r="G471" s="90">
        <f>78700+5600+7700+15200</f>
        <v>107200</v>
      </c>
      <c r="H471" s="78">
        <f>1611000+32039.06-492000</f>
        <v>1151039.06</v>
      </c>
      <c r="I471" s="26">
        <f t="shared" si="9"/>
        <v>1258239.06</v>
      </c>
      <c r="J471" s="90">
        <v>1247178.54</v>
      </c>
    </row>
    <row r="472" spans="1:10" ht="15">
      <c r="A472" s="30" t="s">
        <v>93</v>
      </c>
      <c r="B472" s="22" t="s">
        <v>221</v>
      </c>
      <c r="C472" s="22" t="s">
        <v>113</v>
      </c>
      <c r="D472" s="22" t="s">
        <v>113</v>
      </c>
      <c r="E472" s="36" t="s">
        <v>173</v>
      </c>
      <c r="F472" s="35" t="s">
        <v>94</v>
      </c>
      <c r="G472" s="90">
        <f>100+33600+22700-37300+50000-19000</f>
        <v>50100</v>
      </c>
      <c r="H472" s="78"/>
      <c r="I472" s="26">
        <f t="shared" si="9"/>
        <v>50100</v>
      </c>
      <c r="J472" s="90">
        <v>50085</v>
      </c>
    </row>
    <row r="473" spans="1:10" ht="15">
      <c r="A473" s="21" t="s">
        <v>251</v>
      </c>
      <c r="B473" s="22" t="s">
        <v>221</v>
      </c>
      <c r="C473" s="22" t="s">
        <v>113</v>
      </c>
      <c r="D473" s="22" t="s">
        <v>144</v>
      </c>
      <c r="E473" s="22"/>
      <c r="F473" s="24"/>
      <c r="G473" s="90">
        <f>G474+G486</f>
        <v>8801052</v>
      </c>
      <c r="H473" s="25"/>
      <c r="I473" s="26">
        <f t="shared" si="9"/>
        <v>8801052</v>
      </c>
      <c r="J473" s="90">
        <f>J474+J486</f>
        <v>8748003.06</v>
      </c>
    </row>
    <row r="474" spans="1:10" ht="36" customHeight="1">
      <c r="A474" s="21" t="s">
        <v>225</v>
      </c>
      <c r="B474" s="22" t="s">
        <v>221</v>
      </c>
      <c r="C474" s="22" t="s">
        <v>113</v>
      </c>
      <c r="D474" s="22" t="s">
        <v>144</v>
      </c>
      <c r="E474" s="22" t="s">
        <v>392</v>
      </c>
      <c r="F474" s="24"/>
      <c r="G474" s="90">
        <f>G475</f>
        <v>8701052</v>
      </c>
      <c r="H474" s="25"/>
      <c r="I474" s="26">
        <f t="shared" si="9"/>
        <v>8701052</v>
      </c>
      <c r="J474" s="90">
        <f>J475</f>
        <v>8648003.06</v>
      </c>
    </row>
    <row r="475" spans="1:10" ht="58.5" customHeight="1">
      <c r="A475" s="68" t="s">
        <v>434</v>
      </c>
      <c r="B475" s="22" t="s">
        <v>221</v>
      </c>
      <c r="C475" s="43" t="s">
        <v>113</v>
      </c>
      <c r="D475" s="43" t="s">
        <v>144</v>
      </c>
      <c r="E475" s="43" t="s">
        <v>435</v>
      </c>
      <c r="F475" s="44"/>
      <c r="G475" s="94">
        <f>G476+G481</f>
        <v>8701052</v>
      </c>
      <c r="H475" s="25"/>
      <c r="I475" s="26">
        <f t="shared" si="9"/>
        <v>8701052</v>
      </c>
      <c r="J475" s="94">
        <f>J476+J481</f>
        <v>8648003.06</v>
      </c>
    </row>
    <row r="476" spans="1:10" ht="32.25" customHeight="1">
      <c r="A476" s="30" t="s">
        <v>436</v>
      </c>
      <c r="B476" s="22" t="s">
        <v>221</v>
      </c>
      <c r="C476" s="22" t="s">
        <v>113</v>
      </c>
      <c r="D476" s="22" t="s">
        <v>144</v>
      </c>
      <c r="E476" s="22" t="s">
        <v>437</v>
      </c>
      <c r="F476" s="24"/>
      <c r="G476" s="90">
        <f>G477</f>
        <v>8492901</v>
      </c>
      <c r="H476" s="25"/>
      <c r="I476" s="26">
        <f t="shared" si="9"/>
        <v>8492901</v>
      </c>
      <c r="J476" s="90">
        <f>J477</f>
        <v>8439852.06</v>
      </c>
    </row>
    <row r="477" spans="1:10" ht="28.5" customHeight="1">
      <c r="A477" s="30" t="s">
        <v>130</v>
      </c>
      <c r="B477" s="22" t="s">
        <v>221</v>
      </c>
      <c r="C477" s="22" t="s">
        <v>113</v>
      </c>
      <c r="D477" s="22" t="s">
        <v>144</v>
      </c>
      <c r="E477" s="22" t="s">
        <v>438</v>
      </c>
      <c r="F477" s="24"/>
      <c r="G477" s="90">
        <f>G478+G479+G480</f>
        <v>8492901</v>
      </c>
      <c r="H477" s="25"/>
      <c r="I477" s="26">
        <f t="shared" si="9"/>
        <v>8492901</v>
      </c>
      <c r="J477" s="90">
        <f>J478+J479+J480</f>
        <v>8439852.06</v>
      </c>
    </row>
    <row r="478" spans="1:10" ht="42.75" customHeight="1">
      <c r="A478" s="28" t="s">
        <v>84</v>
      </c>
      <c r="B478" s="22" t="s">
        <v>221</v>
      </c>
      <c r="C478" s="22" t="s">
        <v>113</v>
      </c>
      <c r="D478" s="22" t="s">
        <v>144</v>
      </c>
      <c r="E478" s="22" t="s">
        <v>438</v>
      </c>
      <c r="F478" s="24" t="s">
        <v>85</v>
      </c>
      <c r="G478" s="90">
        <f>4870000+1470700+110400+579200+48556+482245+15000</f>
        <v>7576101</v>
      </c>
      <c r="H478" s="78"/>
      <c r="I478" s="26">
        <f t="shared" si="9"/>
        <v>7576101</v>
      </c>
      <c r="J478" s="90">
        <f>4870000+1470700+110400+579200+48556+482245+15000</f>
        <v>7576101</v>
      </c>
    </row>
    <row r="479" spans="1:10" ht="26.25">
      <c r="A479" s="28" t="s">
        <v>39</v>
      </c>
      <c r="B479" s="22" t="s">
        <v>221</v>
      </c>
      <c r="C479" s="22" t="s">
        <v>113</v>
      </c>
      <c r="D479" s="22" t="s">
        <v>144</v>
      </c>
      <c r="E479" s="22" t="s">
        <v>438</v>
      </c>
      <c r="F479" s="24" t="s">
        <v>92</v>
      </c>
      <c r="G479" s="90">
        <f>112900+144900+55200+104000+107500+235800-35600+7300+37300+19000+12600+13300+85270</f>
        <v>899470</v>
      </c>
      <c r="H479" s="78"/>
      <c r="I479" s="26">
        <f t="shared" si="9"/>
        <v>899470</v>
      </c>
      <c r="J479" s="90">
        <v>846466.89</v>
      </c>
    </row>
    <row r="480" spans="1:10" ht="15.75" customHeight="1">
      <c r="A480" s="30" t="s">
        <v>93</v>
      </c>
      <c r="B480" s="22" t="s">
        <v>221</v>
      </c>
      <c r="C480" s="22" t="s">
        <v>113</v>
      </c>
      <c r="D480" s="22" t="s">
        <v>144</v>
      </c>
      <c r="E480" s="22" t="s">
        <v>438</v>
      </c>
      <c r="F480" s="24" t="s">
        <v>94</v>
      </c>
      <c r="G480" s="90">
        <f>16800+530</f>
        <v>17330</v>
      </c>
      <c r="H480" s="78"/>
      <c r="I480" s="26">
        <f t="shared" si="9"/>
        <v>17330</v>
      </c>
      <c r="J480" s="90">
        <v>17284.17</v>
      </c>
    </row>
    <row r="481" spans="1:10" ht="29.25" customHeight="1">
      <c r="A481" s="30" t="s">
        <v>440</v>
      </c>
      <c r="B481" s="22" t="s">
        <v>221</v>
      </c>
      <c r="C481" s="22" t="s">
        <v>113</v>
      </c>
      <c r="D481" s="22" t="s">
        <v>144</v>
      </c>
      <c r="E481" s="22" t="s">
        <v>441</v>
      </c>
      <c r="F481" s="24"/>
      <c r="G481" s="90">
        <f>G482+G484</f>
        <v>208151</v>
      </c>
      <c r="H481" s="25"/>
      <c r="I481" s="26">
        <f t="shared" si="9"/>
        <v>208151</v>
      </c>
      <c r="J481" s="90">
        <f>J482+J484</f>
        <v>208151</v>
      </c>
    </row>
    <row r="482" spans="1:10" ht="34.5" customHeight="1">
      <c r="A482" s="150" t="s">
        <v>252</v>
      </c>
      <c r="B482" s="22" t="s">
        <v>221</v>
      </c>
      <c r="C482" s="22" t="s">
        <v>113</v>
      </c>
      <c r="D482" s="22" t="s">
        <v>144</v>
      </c>
      <c r="E482" s="22" t="s">
        <v>442</v>
      </c>
      <c r="F482" s="24"/>
      <c r="G482" s="90">
        <f>G483</f>
        <v>208151</v>
      </c>
      <c r="H482" s="25"/>
      <c r="I482" s="26">
        <f t="shared" si="9"/>
        <v>208151</v>
      </c>
      <c r="J482" s="90">
        <f>J483</f>
        <v>208151</v>
      </c>
    </row>
    <row r="483" spans="1:10" ht="45" customHeight="1">
      <c r="A483" s="28" t="s">
        <v>84</v>
      </c>
      <c r="B483" s="22" t="s">
        <v>221</v>
      </c>
      <c r="C483" s="22" t="s">
        <v>113</v>
      </c>
      <c r="D483" s="22" t="s">
        <v>144</v>
      </c>
      <c r="E483" s="22" t="s">
        <v>442</v>
      </c>
      <c r="F483" s="24" t="s">
        <v>85</v>
      </c>
      <c r="G483" s="90">
        <f>117585+35511+55055</f>
        <v>208151</v>
      </c>
      <c r="H483" s="78"/>
      <c r="I483" s="26">
        <f t="shared" si="9"/>
        <v>208151</v>
      </c>
      <c r="J483" s="90">
        <f>117585+35511+55055</f>
        <v>208151</v>
      </c>
    </row>
    <row r="484" spans="1:10" ht="15" hidden="1">
      <c r="A484" s="28" t="s">
        <v>439</v>
      </c>
      <c r="B484" s="22" t="s">
        <v>221</v>
      </c>
      <c r="C484" s="22" t="s">
        <v>113</v>
      </c>
      <c r="D484" s="22" t="s">
        <v>144</v>
      </c>
      <c r="E484" s="22" t="s">
        <v>443</v>
      </c>
      <c r="F484" s="24"/>
      <c r="G484" s="90">
        <f>G485</f>
        <v>0</v>
      </c>
      <c r="H484" s="25"/>
      <c r="I484" s="26">
        <f t="shared" si="9"/>
        <v>0</v>
      </c>
      <c r="J484" s="90">
        <f>J485</f>
        <v>0</v>
      </c>
    </row>
    <row r="485" spans="1:10" ht="26.25" hidden="1">
      <c r="A485" s="28" t="s">
        <v>39</v>
      </c>
      <c r="B485" s="22" t="s">
        <v>221</v>
      </c>
      <c r="C485" s="22" t="s">
        <v>113</v>
      </c>
      <c r="D485" s="22" t="s">
        <v>144</v>
      </c>
      <c r="E485" s="22" t="s">
        <v>443</v>
      </c>
      <c r="F485" s="24" t="s">
        <v>92</v>
      </c>
      <c r="G485" s="90"/>
      <c r="H485" s="25"/>
      <c r="I485" s="26">
        <f t="shared" si="9"/>
        <v>0</v>
      </c>
      <c r="J485" s="90"/>
    </row>
    <row r="486" spans="1:10" ht="25.5">
      <c r="A486" s="166" t="s">
        <v>638</v>
      </c>
      <c r="B486" s="22" t="s">
        <v>221</v>
      </c>
      <c r="C486" s="22" t="s">
        <v>113</v>
      </c>
      <c r="D486" s="22" t="s">
        <v>144</v>
      </c>
      <c r="E486" s="23" t="s">
        <v>636</v>
      </c>
      <c r="F486" s="24"/>
      <c r="G486" s="90">
        <f>G487</f>
        <v>100000</v>
      </c>
      <c r="H486" s="25"/>
      <c r="I486" s="26">
        <f t="shared" si="9"/>
        <v>100000</v>
      </c>
      <c r="J486" s="90">
        <f>J487</f>
        <v>100000</v>
      </c>
    </row>
    <row r="487" spans="1:10" ht="26.25" customHeight="1">
      <c r="A487" s="166" t="s">
        <v>639</v>
      </c>
      <c r="B487" s="22" t="s">
        <v>221</v>
      </c>
      <c r="C487" s="22" t="s">
        <v>113</v>
      </c>
      <c r="D487" s="22" t="s">
        <v>144</v>
      </c>
      <c r="E487" s="23" t="s">
        <v>637</v>
      </c>
      <c r="F487" s="24"/>
      <c r="G487" s="90">
        <f>G488</f>
        <v>100000</v>
      </c>
      <c r="H487" s="25"/>
      <c r="I487" s="26">
        <f t="shared" si="9"/>
        <v>100000</v>
      </c>
      <c r="J487" s="90">
        <f>J488</f>
        <v>100000</v>
      </c>
    </row>
    <row r="488" spans="1:10" ht="17.25" customHeight="1">
      <c r="A488" s="166" t="s">
        <v>641</v>
      </c>
      <c r="B488" s="22" t="s">
        <v>221</v>
      </c>
      <c r="C488" s="22" t="s">
        <v>113</v>
      </c>
      <c r="D488" s="22" t="s">
        <v>144</v>
      </c>
      <c r="E488" s="182" t="s">
        <v>640</v>
      </c>
      <c r="F488" s="24"/>
      <c r="G488" s="90">
        <f>G489</f>
        <v>100000</v>
      </c>
      <c r="H488" s="25"/>
      <c r="I488" s="26">
        <f t="shared" si="9"/>
        <v>100000</v>
      </c>
      <c r="J488" s="90">
        <f>J489</f>
        <v>100000</v>
      </c>
    </row>
    <row r="489" spans="1:10" ht="26.25">
      <c r="A489" s="28" t="s">
        <v>39</v>
      </c>
      <c r="B489" s="22" t="s">
        <v>221</v>
      </c>
      <c r="C489" s="22" t="s">
        <v>113</v>
      </c>
      <c r="D489" s="22" t="s">
        <v>144</v>
      </c>
      <c r="E489" s="23" t="s">
        <v>640</v>
      </c>
      <c r="F489" s="24" t="s">
        <v>92</v>
      </c>
      <c r="G489" s="90">
        <f>100000</f>
        <v>100000</v>
      </c>
      <c r="H489" s="25"/>
      <c r="I489" s="26">
        <f t="shared" si="9"/>
        <v>100000</v>
      </c>
      <c r="J489" s="90">
        <f>100000</f>
        <v>100000</v>
      </c>
    </row>
    <row r="490" spans="1:10" ht="17.25" customHeight="1">
      <c r="A490" s="21" t="s">
        <v>189</v>
      </c>
      <c r="B490" s="22" t="s">
        <v>221</v>
      </c>
      <c r="C490" s="22">
        <v>10</v>
      </c>
      <c r="D490" s="22"/>
      <c r="E490" s="22"/>
      <c r="F490" s="24"/>
      <c r="G490" s="90">
        <f>G491+G503</f>
        <v>29492511</v>
      </c>
      <c r="H490" s="25"/>
      <c r="I490" s="26">
        <f t="shared" si="9"/>
        <v>29492511</v>
      </c>
      <c r="J490" s="90">
        <f>J491+J503</f>
        <v>29492511</v>
      </c>
    </row>
    <row r="491" spans="1:10" ht="16.5" customHeight="1">
      <c r="A491" s="21" t="s">
        <v>203</v>
      </c>
      <c r="B491" s="22" t="s">
        <v>221</v>
      </c>
      <c r="C491" s="22">
        <v>10</v>
      </c>
      <c r="D491" s="22" t="s">
        <v>87</v>
      </c>
      <c r="E491" s="22"/>
      <c r="F491" s="24"/>
      <c r="G491" s="90">
        <f>G492</f>
        <v>18263219</v>
      </c>
      <c r="H491" s="25"/>
      <c r="I491" s="26">
        <f t="shared" si="9"/>
        <v>18263219</v>
      </c>
      <c r="J491" s="90">
        <f>J492</f>
        <v>18263219</v>
      </c>
    </row>
    <row r="492" spans="1:10" ht="27.75" customHeight="1">
      <c r="A492" s="21" t="s">
        <v>225</v>
      </c>
      <c r="B492" s="22" t="s">
        <v>221</v>
      </c>
      <c r="C492" s="22">
        <v>10</v>
      </c>
      <c r="D492" s="22" t="s">
        <v>87</v>
      </c>
      <c r="E492" s="22" t="s">
        <v>392</v>
      </c>
      <c r="F492" s="24"/>
      <c r="G492" s="90">
        <f>G493+G498</f>
        <v>18263219</v>
      </c>
      <c r="H492" s="25"/>
      <c r="I492" s="26">
        <f t="shared" si="9"/>
        <v>18263219</v>
      </c>
      <c r="J492" s="90">
        <f>J493+J498</f>
        <v>18263219</v>
      </c>
    </row>
    <row r="493" spans="1:10" ht="45" customHeight="1">
      <c r="A493" s="67" t="s">
        <v>226</v>
      </c>
      <c r="B493" s="22" t="s">
        <v>221</v>
      </c>
      <c r="C493" s="43">
        <v>10</v>
      </c>
      <c r="D493" s="43" t="s">
        <v>87</v>
      </c>
      <c r="E493" s="43" t="s">
        <v>393</v>
      </c>
      <c r="F493" s="44"/>
      <c r="G493" s="94">
        <f>G494</f>
        <v>17864219</v>
      </c>
      <c r="H493" s="25"/>
      <c r="I493" s="26">
        <f t="shared" si="9"/>
        <v>17864219</v>
      </c>
      <c r="J493" s="94">
        <f>J494</f>
        <v>17864219</v>
      </c>
    </row>
    <row r="494" spans="1:10" ht="28.5" customHeight="1">
      <c r="A494" s="30" t="s">
        <v>444</v>
      </c>
      <c r="B494" s="22" t="s">
        <v>221</v>
      </c>
      <c r="C494" s="22">
        <v>10</v>
      </c>
      <c r="D494" s="22" t="s">
        <v>87</v>
      </c>
      <c r="E494" s="22" t="s">
        <v>445</v>
      </c>
      <c r="F494" s="24"/>
      <c r="G494" s="90">
        <f>G495</f>
        <v>17864219</v>
      </c>
      <c r="H494" s="25"/>
      <c r="I494" s="26">
        <f t="shared" si="9"/>
        <v>17864219</v>
      </c>
      <c r="J494" s="90">
        <f>J495</f>
        <v>17864219</v>
      </c>
    </row>
    <row r="495" spans="1:10" ht="53.25" customHeight="1">
      <c r="A495" s="31" t="s">
        <v>447</v>
      </c>
      <c r="B495" s="22" t="s">
        <v>221</v>
      </c>
      <c r="C495" s="22">
        <v>10</v>
      </c>
      <c r="D495" s="22" t="s">
        <v>87</v>
      </c>
      <c r="E495" s="22" t="s">
        <v>446</v>
      </c>
      <c r="F495" s="24"/>
      <c r="G495" s="90">
        <f>G496+G497</f>
        <v>17864219</v>
      </c>
      <c r="H495" s="25"/>
      <c r="I495" s="26">
        <f aca="true" t="shared" si="11" ref="I495:I546">G495+H495</f>
        <v>17864219</v>
      </c>
      <c r="J495" s="90">
        <f>J496+J497</f>
        <v>17864219</v>
      </c>
    </row>
    <row r="496" spans="1:10" ht="26.25" hidden="1">
      <c r="A496" s="28" t="s">
        <v>39</v>
      </c>
      <c r="B496" s="22" t="s">
        <v>221</v>
      </c>
      <c r="C496" s="22">
        <v>10</v>
      </c>
      <c r="D496" s="22" t="s">
        <v>87</v>
      </c>
      <c r="E496" s="22" t="s">
        <v>446</v>
      </c>
      <c r="F496" s="24" t="s">
        <v>92</v>
      </c>
      <c r="G496" s="90"/>
      <c r="H496" s="25"/>
      <c r="I496" s="26">
        <f>G496+H496</f>
        <v>0</v>
      </c>
      <c r="J496" s="90"/>
    </row>
    <row r="497" spans="1:10" ht="19.5" customHeight="1">
      <c r="A497" s="33" t="s">
        <v>136</v>
      </c>
      <c r="B497" s="22" t="s">
        <v>221</v>
      </c>
      <c r="C497" s="22">
        <v>10</v>
      </c>
      <c r="D497" s="22" t="s">
        <v>87</v>
      </c>
      <c r="E497" s="22" t="s">
        <v>446</v>
      </c>
      <c r="F497" s="24" t="s">
        <v>137</v>
      </c>
      <c r="G497" s="90">
        <f>17864219</f>
        <v>17864219</v>
      </c>
      <c r="H497" s="78"/>
      <c r="I497" s="26">
        <f t="shared" si="11"/>
        <v>17864219</v>
      </c>
      <c r="J497" s="90">
        <f>17864219</f>
        <v>17864219</v>
      </c>
    </row>
    <row r="498" spans="1:10" ht="57.75" customHeight="1">
      <c r="A498" s="55" t="s">
        <v>247</v>
      </c>
      <c r="B498" s="22" t="s">
        <v>221</v>
      </c>
      <c r="C498" s="43">
        <v>10</v>
      </c>
      <c r="D498" s="43" t="s">
        <v>87</v>
      </c>
      <c r="E498" s="43" t="s">
        <v>430</v>
      </c>
      <c r="F498" s="44"/>
      <c r="G498" s="94">
        <f>G499</f>
        <v>399000</v>
      </c>
      <c r="H498" s="25"/>
      <c r="I498" s="26">
        <f>G498+H498</f>
        <v>399000</v>
      </c>
      <c r="J498" s="94">
        <f>J499</f>
        <v>399000</v>
      </c>
    </row>
    <row r="499" spans="1:10" ht="29.25" customHeight="1">
      <c r="A499" s="153" t="s">
        <v>0</v>
      </c>
      <c r="B499" s="22" t="s">
        <v>221</v>
      </c>
      <c r="C499" s="22">
        <v>10</v>
      </c>
      <c r="D499" s="22" t="s">
        <v>87</v>
      </c>
      <c r="E499" s="22" t="s">
        <v>448</v>
      </c>
      <c r="F499" s="24"/>
      <c r="G499" s="90">
        <f>G500</f>
        <v>399000</v>
      </c>
      <c r="H499" s="25"/>
      <c r="I499" s="26">
        <f>G499+H499</f>
        <v>399000</v>
      </c>
      <c r="J499" s="90">
        <f>J500</f>
        <v>399000</v>
      </c>
    </row>
    <row r="500" spans="1:10" ht="52.5" customHeight="1">
      <c r="A500" s="40" t="s">
        <v>253</v>
      </c>
      <c r="B500" s="22" t="s">
        <v>221</v>
      </c>
      <c r="C500" s="22">
        <v>10</v>
      </c>
      <c r="D500" s="22" t="s">
        <v>87</v>
      </c>
      <c r="E500" s="22" t="s">
        <v>1</v>
      </c>
      <c r="F500" s="24"/>
      <c r="G500" s="90">
        <f>G502</f>
        <v>399000</v>
      </c>
      <c r="H500" s="25"/>
      <c r="I500" s="26">
        <f>G500+H500</f>
        <v>399000</v>
      </c>
      <c r="J500" s="90">
        <f>J502</f>
        <v>399000</v>
      </c>
    </row>
    <row r="501" spans="1:10" ht="26.25" hidden="1">
      <c r="A501" s="28" t="s">
        <v>39</v>
      </c>
      <c r="B501" s="22" t="s">
        <v>221</v>
      </c>
      <c r="C501" s="22">
        <v>10</v>
      </c>
      <c r="D501" s="22" t="s">
        <v>87</v>
      </c>
      <c r="E501" s="22" t="s">
        <v>1</v>
      </c>
      <c r="F501" s="24" t="s">
        <v>92</v>
      </c>
      <c r="G501" s="90"/>
      <c r="H501" s="25"/>
      <c r="I501" s="26">
        <f>G501+H501</f>
        <v>0</v>
      </c>
      <c r="J501" s="90"/>
    </row>
    <row r="502" spans="1:10" ht="19.5" customHeight="1">
      <c r="A502" s="33" t="s">
        <v>136</v>
      </c>
      <c r="B502" s="22" t="s">
        <v>221</v>
      </c>
      <c r="C502" s="22">
        <v>10</v>
      </c>
      <c r="D502" s="22" t="s">
        <v>87</v>
      </c>
      <c r="E502" s="22" t="s">
        <v>1</v>
      </c>
      <c r="F502" s="24" t="s">
        <v>137</v>
      </c>
      <c r="G502" s="122">
        <v>399000</v>
      </c>
      <c r="H502" s="25"/>
      <c r="I502" s="26">
        <f>G502+H502</f>
        <v>399000</v>
      </c>
      <c r="J502" s="122">
        <v>399000</v>
      </c>
    </row>
    <row r="503" spans="1:10" ht="19.5" customHeight="1">
      <c r="A503" s="21" t="s">
        <v>254</v>
      </c>
      <c r="B503" s="22" t="s">
        <v>221</v>
      </c>
      <c r="C503" s="22">
        <v>10</v>
      </c>
      <c r="D503" s="22" t="s">
        <v>97</v>
      </c>
      <c r="E503" s="22"/>
      <c r="F503" s="24"/>
      <c r="G503" s="90">
        <f>G509+G504</f>
        <v>11229292</v>
      </c>
      <c r="H503" s="25"/>
      <c r="I503" s="26">
        <f t="shared" si="11"/>
        <v>11229292</v>
      </c>
      <c r="J503" s="90">
        <f>J509+J504</f>
        <v>11229292</v>
      </c>
    </row>
    <row r="504" spans="1:10" ht="47.25" customHeight="1">
      <c r="A504" s="21" t="s">
        <v>557</v>
      </c>
      <c r="B504" s="22" t="s">
        <v>221</v>
      </c>
      <c r="C504" s="22">
        <v>10</v>
      </c>
      <c r="D504" s="22" t="s">
        <v>97</v>
      </c>
      <c r="E504" s="50" t="s">
        <v>356</v>
      </c>
      <c r="F504" s="24"/>
      <c r="G504" s="90">
        <f>G505</f>
        <v>8916646</v>
      </c>
      <c r="H504" s="25"/>
      <c r="I504" s="26">
        <f t="shared" si="11"/>
        <v>8916646</v>
      </c>
      <c r="J504" s="90">
        <f>J505</f>
        <v>8916646</v>
      </c>
    </row>
    <row r="505" spans="1:10" ht="58.5" customHeight="1">
      <c r="A505" s="152" t="s">
        <v>558</v>
      </c>
      <c r="B505" s="22" t="s">
        <v>221</v>
      </c>
      <c r="C505" s="22">
        <v>10</v>
      </c>
      <c r="D505" s="22" t="s">
        <v>97</v>
      </c>
      <c r="E505" s="22" t="s">
        <v>357</v>
      </c>
      <c r="F505" s="24"/>
      <c r="G505" s="90">
        <f>G507</f>
        <v>8916646</v>
      </c>
      <c r="H505" s="25"/>
      <c r="I505" s="26">
        <f t="shared" si="11"/>
        <v>8916646</v>
      </c>
      <c r="J505" s="90">
        <f>J507</f>
        <v>8916646</v>
      </c>
    </row>
    <row r="506" spans="1:10" ht="40.5" customHeight="1">
      <c r="A506" s="30" t="s">
        <v>322</v>
      </c>
      <c r="B506" s="22" t="s">
        <v>221</v>
      </c>
      <c r="C506" s="22">
        <v>10</v>
      </c>
      <c r="D506" s="22" t="s">
        <v>97</v>
      </c>
      <c r="E506" s="22" t="s">
        <v>358</v>
      </c>
      <c r="F506" s="24"/>
      <c r="G506" s="90">
        <f>G507</f>
        <v>8916646</v>
      </c>
      <c r="H506" s="25"/>
      <c r="I506" s="26">
        <f t="shared" si="11"/>
        <v>8916646</v>
      </c>
      <c r="J506" s="90">
        <f>J507</f>
        <v>8916646</v>
      </c>
    </row>
    <row r="507" spans="1:10" ht="30.75" customHeight="1">
      <c r="A507" s="27" t="s">
        <v>277</v>
      </c>
      <c r="B507" s="22" t="s">
        <v>221</v>
      </c>
      <c r="C507" s="22">
        <v>10</v>
      </c>
      <c r="D507" s="22" t="s">
        <v>97</v>
      </c>
      <c r="E507" s="22" t="s">
        <v>359</v>
      </c>
      <c r="F507" s="24"/>
      <c r="G507" s="90">
        <f>G508</f>
        <v>8916646</v>
      </c>
      <c r="H507" s="78"/>
      <c r="I507" s="26">
        <f t="shared" si="11"/>
        <v>8916646</v>
      </c>
      <c r="J507" s="90">
        <f>J508</f>
        <v>8916646</v>
      </c>
    </row>
    <row r="508" spans="1:10" ht="19.5" customHeight="1">
      <c r="A508" s="33" t="s">
        <v>136</v>
      </c>
      <c r="B508" s="22" t="s">
        <v>221</v>
      </c>
      <c r="C508" s="22">
        <v>10</v>
      </c>
      <c r="D508" s="22" t="s">
        <v>97</v>
      </c>
      <c r="E508" s="22" t="s">
        <v>359</v>
      </c>
      <c r="F508" s="24" t="s">
        <v>137</v>
      </c>
      <c r="G508" s="90">
        <f>8817730+98916</f>
        <v>8916646</v>
      </c>
      <c r="H508" s="78"/>
      <c r="I508" s="26">
        <f t="shared" si="11"/>
        <v>8916646</v>
      </c>
      <c r="J508" s="90">
        <f>8817730+98916</f>
        <v>8916646</v>
      </c>
    </row>
    <row r="509" spans="1:10" ht="32.25" customHeight="1">
      <c r="A509" s="21" t="s">
        <v>278</v>
      </c>
      <c r="B509" s="22" t="s">
        <v>221</v>
      </c>
      <c r="C509" s="22">
        <v>10</v>
      </c>
      <c r="D509" s="22" t="s">
        <v>97</v>
      </c>
      <c r="E509" s="50" t="s">
        <v>392</v>
      </c>
      <c r="F509" s="24"/>
      <c r="G509" s="90">
        <f>G510</f>
        <v>2312646</v>
      </c>
      <c r="H509" s="78"/>
      <c r="I509" s="26">
        <f t="shared" si="11"/>
        <v>2312646</v>
      </c>
      <c r="J509" s="90">
        <f>J510</f>
        <v>2312646</v>
      </c>
    </row>
    <row r="510" spans="1:10" ht="48.75" customHeight="1">
      <c r="A510" s="49" t="s">
        <v>226</v>
      </c>
      <c r="B510" s="22" t="s">
        <v>221</v>
      </c>
      <c r="C510" s="22">
        <v>10</v>
      </c>
      <c r="D510" s="22" t="s">
        <v>97</v>
      </c>
      <c r="E510" s="50" t="s">
        <v>393</v>
      </c>
      <c r="F510" s="24"/>
      <c r="G510" s="90">
        <f>G512</f>
        <v>2312646</v>
      </c>
      <c r="H510" s="78"/>
      <c r="I510" s="26">
        <f t="shared" si="11"/>
        <v>2312646</v>
      </c>
      <c r="J510" s="90">
        <f>J512</f>
        <v>2312646</v>
      </c>
    </row>
    <row r="511" spans="1:10" ht="29.25" customHeight="1">
      <c r="A511" s="30" t="s">
        <v>412</v>
      </c>
      <c r="B511" s="22" t="s">
        <v>221</v>
      </c>
      <c r="C511" s="22">
        <v>10</v>
      </c>
      <c r="D511" s="22" t="s">
        <v>97</v>
      </c>
      <c r="E511" s="50" t="s">
        <v>198</v>
      </c>
      <c r="F511" s="24"/>
      <c r="G511" s="90">
        <f>G512</f>
        <v>2312646</v>
      </c>
      <c r="H511" s="25"/>
      <c r="I511" s="26">
        <f t="shared" si="11"/>
        <v>2312646</v>
      </c>
      <c r="J511" s="90">
        <f>J512</f>
        <v>2312646</v>
      </c>
    </row>
    <row r="512" spans="1:10" ht="14.25" customHeight="1">
      <c r="A512" s="155" t="s">
        <v>279</v>
      </c>
      <c r="B512" s="22" t="s">
        <v>221</v>
      </c>
      <c r="C512" s="22">
        <v>10</v>
      </c>
      <c r="D512" s="22" t="s">
        <v>97</v>
      </c>
      <c r="E512" s="50" t="s">
        <v>163</v>
      </c>
      <c r="F512" s="24"/>
      <c r="G512" s="90">
        <f>G514+G513</f>
        <v>2312646</v>
      </c>
      <c r="H512" s="25"/>
      <c r="I512" s="26">
        <f t="shared" si="11"/>
        <v>2312646</v>
      </c>
      <c r="J512" s="90">
        <f>J514+J513</f>
        <v>2312646</v>
      </c>
    </row>
    <row r="513" spans="1:10" ht="28.5" customHeight="1" hidden="1">
      <c r="A513" s="140" t="s">
        <v>39</v>
      </c>
      <c r="B513" s="22" t="s">
        <v>221</v>
      </c>
      <c r="C513" s="22">
        <v>10</v>
      </c>
      <c r="D513" s="22" t="s">
        <v>97</v>
      </c>
      <c r="E513" s="50" t="s">
        <v>163</v>
      </c>
      <c r="F513" s="24" t="s">
        <v>92</v>
      </c>
      <c r="G513" s="90"/>
      <c r="H513" s="25"/>
      <c r="I513" s="26">
        <f t="shared" si="11"/>
        <v>0</v>
      </c>
      <c r="J513" s="90"/>
    </row>
    <row r="514" spans="1:10" ht="16.5" customHeight="1">
      <c r="A514" s="33" t="s">
        <v>136</v>
      </c>
      <c r="B514" s="22" t="s">
        <v>221</v>
      </c>
      <c r="C514" s="22">
        <v>10</v>
      </c>
      <c r="D514" s="22" t="s">
        <v>97</v>
      </c>
      <c r="E514" s="50" t="s">
        <v>163</v>
      </c>
      <c r="F514" s="24" t="s">
        <v>137</v>
      </c>
      <c r="G514" s="90">
        <f>2038919+273727</f>
        <v>2312646</v>
      </c>
      <c r="H514" s="78"/>
      <c r="I514" s="26">
        <f t="shared" si="11"/>
        <v>2312646</v>
      </c>
      <c r="J514" s="90">
        <f>2038919+273727</f>
        <v>2312646</v>
      </c>
    </row>
    <row r="515" spans="1:10" ht="33.75" customHeight="1">
      <c r="A515" s="131" t="s">
        <v>280</v>
      </c>
      <c r="B515" s="22" t="s">
        <v>281</v>
      </c>
      <c r="C515" s="22"/>
      <c r="D515" s="22"/>
      <c r="E515" s="22"/>
      <c r="F515" s="24"/>
      <c r="G515" s="90">
        <f>G523+G535+G571+G516</f>
        <v>44801424</v>
      </c>
      <c r="H515" s="25">
        <f>H523+H535+H571+H516</f>
        <v>5824471.66</v>
      </c>
      <c r="I515" s="26">
        <f t="shared" si="11"/>
        <v>50625895.66</v>
      </c>
      <c r="J515" s="90">
        <f>J523+J535+J571+J516</f>
        <v>50061477.03</v>
      </c>
    </row>
    <row r="516" spans="1:10" ht="15" hidden="1">
      <c r="A516" s="21" t="s">
        <v>138</v>
      </c>
      <c r="B516" s="22" t="s">
        <v>281</v>
      </c>
      <c r="C516" s="22" t="s">
        <v>97</v>
      </c>
      <c r="D516" s="22"/>
      <c r="E516" s="22"/>
      <c r="F516" s="24"/>
      <c r="G516" s="90">
        <f>G517</f>
        <v>0</v>
      </c>
      <c r="H516" s="25">
        <f>H517</f>
        <v>0</v>
      </c>
      <c r="I516" s="26">
        <f t="shared" si="11"/>
        <v>0</v>
      </c>
      <c r="J516" s="90">
        <f>J517</f>
        <v>0</v>
      </c>
    </row>
    <row r="517" spans="1:10" ht="15" hidden="1">
      <c r="A517" s="21" t="s">
        <v>151</v>
      </c>
      <c r="B517" s="22" t="s">
        <v>281</v>
      </c>
      <c r="C517" s="22" t="s">
        <v>97</v>
      </c>
      <c r="D517" s="22" t="s">
        <v>152</v>
      </c>
      <c r="E517" s="22"/>
      <c r="F517" s="24"/>
      <c r="G517" s="90">
        <f>G518</f>
        <v>0</v>
      </c>
      <c r="H517" s="25"/>
      <c r="I517" s="26">
        <f t="shared" si="11"/>
        <v>0</v>
      </c>
      <c r="J517" s="90">
        <f>J518</f>
        <v>0</v>
      </c>
    </row>
    <row r="518" spans="1:10" ht="54" customHeight="1" hidden="1">
      <c r="A518" s="142" t="s">
        <v>222</v>
      </c>
      <c r="B518" s="22" t="s">
        <v>281</v>
      </c>
      <c r="C518" s="22" t="s">
        <v>97</v>
      </c>
      <c r="D518" s="22" t="s">
        <v>152</v>
      </c>
      <c r="E518" s="48" t="s">
        <v>294</v>
      </c>
      <c r="F518" s="24"/>
      <c r="G518" s="90">
        <f>G519</f>
        <v>0</v>
      </c>
      <c r="H518" s="25"/>
      <c r="I518" s="26">
        <f t="shared" si="11"/>
        <v>0</v>
      </c>
      <c r="J518" s="90">
        <f>J519</f>
        <v>0</v>
      </c>
    </row>
    <row r="519" spans="1:10" ht="75.75" customHeight="1" hidden="1">
      <c r="A519" s="135" t="s">
        <v>223</v>
      </c>
      <c r="B519" s="22" t="s">
        <v>281</v>
      </c>
      <c r="C519" s="22" t="s">
        <v>97</v>
      </c>
      <c r="D519" s="22" t="s">
        <v>152</v>
      </c>
      <c r="E519" s="48" t="s">
        <v>295</v>
      </c>
      <c r="F519" s="24"/>
      <c r="G519" s="90">
        <f>G521</f>
        <v>0</v>
      </c>
      <c r="H519" s="25"/>
      <c r="I519" s="26">
        <f t="shared" si="11"/>
        <v>0</v>
      </c>
      <c r="J519" s="90">
        <f>J521</f>
        <v>0</v>
      </c>
    </row>
    <row r="520" spans="1:10" ht="27" customHeight="1" hidden="1">
      <c r="A520" s="30" t="s">
        <v>297</v>
      </c>
      <c r="B520" s="22" t="s">
        <v>281</v>
      </c>
      <c r="C520" s="22" t="s">
        <v>97</v>
      </c>
      <c r="D520" s="22" t="s">
        <v>152</v>
      </c>
      <c r="E520" s="48" t="s">
        <v>296</v>
      </c>
      <c r="F520" s="24"/>
      <c r="G520" s="90"/>
      <c r="H520" s="25"/>
      <c r="I520" s="26">
        <f>I521</f>
        <v>0</v>
      </c>
      <c r="J520" s="90"/>
    </row>
    <row r="521" spans="1:10" ht="15.75" hidden="1">
      <c r="A521" s="41" t="s">
        <v>155</v>
      </c>
      <c r="B521" s="22" t="s">
        <v>281</v>
      </c>
      <c r="C521" s="22" t="s">
        <v>97</v>
      </c>
      <c r="D521" s="22" t="s">
        <v>152</v>
      </c>
      <c r="E521" s="48" t="s">
        <v>298</v>
      </c>
      <c r="F521" s="24"/>
      <c r="G521" s="90">
        <f>G522</f>
        <v>0</v>
      </c>
      <c r="H521" s="25"/>
      <c r="I521" s="26">
        <f>G521+H521</f>
        <v>0</v>
      </c>
      <c r="J521" s="90">
        <f>J522</f>
        <v>0</v>
      </c>
    </row>
    <row r="522" spans="1:10" ht="28.5" customHeight="1" hidden="1">
      <c r="A522" s="140" t="s">
        <v>39</v>
      </c>
      <c r="B522" s="22" t="s">
        <v>281</v>
      </c>
      <c r="C522" s="22" t="s">
        <v>97</v>
      </c>
      <c r="D522" s="22" t="s">
        <v>152</v>
      </c>
      <c r="E522" s="48" t="s">
        <v>298</v>
      </c>
      <c r="F522" s="24" t="s">
        <v>92</v>
      </c>
      <c r="G522" s="90"/>
      <c r="H522" s="25"/>
      <c r="I522" s="26">
        <f>G522+H522</f>
        <v>0</v>
      </c>
      <c r="J522" s="90"/>
    </row>
    <row r="523" spans="1:10" ht="15" customHeight="1">
      <c r="A523" s="21" t="s">
        <v>182</v>
      </c>
      <c r="B523" s="22" t="s">
        <v>281</v>
      </c>
      <c r="C523" s="22" t="s">
        <v>113</v>
      </c>
      <c r="D523" s="22"/>
      <c r="E523" s="22"/>
      <c r="F523" s="24"/>
      <c r="G523" s="90">
        <f aca="true" t="shared" si="12" ref="G523:J525">G524</f>
        <v>17052075</v>
      </c>
      <c r="H523" s="25">
        <f t="shared" si="12"/>
        <v>79000</v>
      </c>
      <c r="I523" s="26">
        <f t="shared" si="11"/>
        <v>17131075</v>
      </c>
      <c r="J523" s="90">
        <f t="shared" si="12"/>
        <v>17007214.07</v>
      </c>
    </row>
    <row r="524" spans="1:10" s="54" customFormat="1" ht="15.75">
      <c r="A524" s="144" t="s">
        <v>483</v>
      </c>
      <c r="B524" s="22" t="s">
        <v>281</v>
      </c>
      <c r="C524" s="22" t="s">
        <v>113</v>
      </c>
      <c r="D524" s="22" t="s">
        <v>87</v>
      </c>
      <c r="E524" s="22"/>
      <c r="F524" s="24"/>
      <c r="G524" s="90">
        <f t="shared" si="12"/>
        <v>17052075</v>
      </c>
      <c r="H524" s="25">
        <f t="shared" si="12"/>
        <v>79000</v>
      </c>
      <c r="I524" s="26">
        <f t="shared" si="11"/>
        <v>17131075</v>
      </c>
      <c r="J524" s="90">
        <f t="shared" si="12"/>
        <v>17007214.07</v>
      </c>
    </row>
    <row r="525" spans="1:10" ht="42" customHeight="1">
      <c r="A525" s="21" t="s">
        <v>225</v>
      </c>
      <c r="B525" s="22" t="s">
        <v>281</v>
      </c>
      <c r="C525" s="22" t="s">
        <v>113</v>
      </c>
      <c r="D525" s="22" t="s">
        <v>87</v>
      </c>
      <c r="E525" s="22" t="s">
        <v>392</v>
      </c>
      <c r="F525" s="24"/>
      <c r="G525" s="90">
        <f t="shared" si="12"/>
        <v>17052075</v>
      </c>
      <c r="H525" s="25">
        <f t="shared" si="12"/>
        <v>79000</v>
      </c>
      <c r="I525" s="26">
        <f t="shared" si="11"/>
        <v>17131075</v>
      </c>
      <c r="J525" s="90">
        <f t="shared" si="12"/>
        <v>17007214.07</v>
      </c>
    </row>
    <row r="526" spans="1:10" ht="45" customHeight="1">
      <c r="A526" s="28" t="s">
        <v>247</v>
      </c>
      <c r="B526" s="22" t="s">
        <v>281</v>
      </c>
      <c r="C526" s="22" t="s">
        <v>113</v>
      </c>
      <c r="D526" s="22" t="s">
        <v>87</v>
      </c>
      <c r="E526" s="22" t="s">
        <v>430</v>
      </c>
      <c r="F526" s="24"/>
      <c r="G526" s="90">
        <f>G527</f>
        <v>17052075</v>
      </c>
      <c r="H526" s="25">
        <f>H527</f>
        <v>79000</v>
      </c>
      <c r="I526" s="26">
        <f t="shared" si="11"/>
        <v>17131075</v>
      </c>
      <c r="J526" s="90">
        <f>J527</f>
        <v>17007214.07</v>
      </c>
    </row>
    <row r="527" spans="1:10" ht="18.75" customHeight="1">
      <c r="A527" s="30" t="s">
        <v>326</v>
      </c>
      <c r="B527" s="22" t="s">
        <v>281</v>
      </c>
      <c r="C527" s="22" t="s">
        <v>113</v>
      </c>
      <c r="D527" s="22" t="s">
        <v>87</v>
      </c>
      <c r="E527" s="22" t="s">
        <v>327</v>
      </c>
      <c r="F527" s="24"/>
      <c r="G527" s="90">
        <f>G528</f>
        <v>17052075</v>
      </c>
      <c r="H527" s="25">
        <f>H528</f>
        <v>79000</v>
      </c>
      <c r="I527" s="26">
        <f t="shared" si="11"/>
        <v>17131075</v>
      </c>
      <c r="J527" s="90">
        <f>J528</f>
        <v>17007214.07</v>
      </c>
    </row>
    <row r="528" spans="1:10" ht="29.25" customHeight="1">
      <c r="A528" s="30" t="s">
        <v>130</v>
      </c>
      <c r="B528" s="22" t="s">
        <v>281</v>
      </c>
      <c r="C528" s="22" t="s">
        <v>113</v>
      </c>
      <c r="D528" s="22" t="s">
        <v>87</v>
      </c>
      <c r="E528" s="22" t="s">
        <v>328</v>
      </c>
      <c r="F528" s="24"/>
      <c r="G528" s="90">
        <f>G529+G530+G531</f>
        <v>17052075</v>
      </c>
      <c r="H528" s="25">
        <f>H529+H530+H531</f>
        <v>79000</v>
      </c>
      <c r="I528" s="26">
        <f t="shared" si="11"/>
        <v>17131075</v>
      </c>
      <c r="J528" s="90">
        <f>J529+J530+J531</f>
        <v>17007214.07</v>
      </c>
    </row>
    <row r="529" spans="1:10" ht="41.25" customHeight="1">
      <c r="A529" s="28" t="s">
        <v>84</v>
      </c>
      <c r="B529" s="22" t="s">
        <v>281</v>
      </c>
      <c r="C529" s="22" t="s">
        <v>113</v>
      </c>
      <c r="D529" s="22" t="s">
        <v>87</v>
      </c>
      <c r="E529" s="22" t="s">
        <v>328</v>
      </c>
      <c r="F529" s="24" t="s">
        <v>85</v>
      </c>
      <c r="G529" s="90">
        <f>13071600+3947600+6000+148200-6000-52000-130000-626245</f>
        <v>16359155</v>
      </c>
      <c r="H529" s="78">
        <f>3000</f>
        <v>3000</v>
      </c>
      <c r="I529" s="26">
        <f t="shared" si="11"/>
        <v>16362155</v>
      </c>
      <c r="J529" s="90">
        <v>16358636.44</v>
      </c>
    </row>
    <row r="530" spans="1:10" ht="27" customHeight="1">
      <c r="A530" s="28" t="s">
        <v>39</v>
      </c>
      <c r="B530" s="22" t="s">
        <v>281</v>
      </c>
      <c r="C530" s="22" t="s">
        <v>113</v>
      </c>
      <c r="D530" s="22" t="s">
        <v>87</v>
      </c>
      <c r="E530" s="22" t="s">
        <v>328</v>
      </c>
      <c r="F530" s="24" t="s">
        <v>92</v>
      </c>
      <c r="G530" s="90">
        <f>24570+6000+423600+62000+87000+70600+10000-16400+6000+7500-37850</f>
        <v>643020</v>
      </c>
      <c r="H530" s="78">
        <f>44800+31200</f>
        <v>76000</v>
      </c>
      <c r="I530" s="26">
        <f t="shared" si="11"/>
        <v>719020</v>
      </c>
      <c r="J530" s="90">
        <v>609025.13</v>
      </c>
    </row>
    <row r="531" spans="1:10" ht="15" customHeight="1">
      <c r="A531" s="30" t="s">
        <v>93</v>
      </c>
      <c r="B531" s="22" t="s">
        <v>281</v>
      </c>
      <c r="C531" s="22" t="s">
        <v>113</v>
      </c>
      <c r="D531" s="22" t="s">
        <v>87</v>
      </c>
      <c r="E531" s="22" t="s">
        <v>328</v>
      </c>
      <c r="F531" s="24" t="s">
        <v>94</v>
      </c>
      <c r="G531" s="90">
        <f>37900+4000+3000+5000</f>
        <v>49900</v>
      </c>
      <c r="H531" s="78"/>
      <c r="I531" s="26">
        <f t="shared" si="11"/>
        <v>49900</v>
      </c>
      <c r="J531" s="90">
        <v>39552.5</v>
      </c>
    </row>
    <row r="532" spans="1:10" ht="15" customHeight="1" hidden="1">
      <c r="A532" s="30" t="s">
        <v>246</v>
      </c>
      <c r="B532" s="22" t="s">
        <v>281</v>
      </c>
      <c r="C532" s="22" t="s">
        <v>113</v>
      </c>
      <c r="D532" s="22" t="s">
        <v>80</v>
      </c>
      <c r="E532" s="22" t="s">
        <v>282</v>
      </c>
      <c r="F532" s="24"/>
      <c r="G532" s="90">
        <f>G534+G533</f>
        <v>0</v>
      </c>
      <c r="H532" s="78">
        <f>H534+H533</f>
        <v>0</v>
      </c>
      <c r="I532" s="26">
        <f t="shared" si="11"/>
        <v>0</v>
      </c>
      <c r="J532" s="90">
        <f>J534+J533</f>
        <v>0</v>
      </c>
    </row>
    <row r="533" spans="1:10" ht="39.75" customHeight="1" hidden="1">
      <c r="A533" s="28" t="s">
        <v>84</v>
      </c>
      <c r="B533" s="22" t="s">
        <v>281</v>
      </c>
      <c r="C533" s="22" t="s">
        <v>113</v>
      </c>
      <c r="D533" s="22" t="s">
        <v>80</v>
      </c>
      <c r="E533" s="22" t="s">
        <v>282</v>
      </c>
      <c r="F533" s="24" t="s">
        <v>85</v>
      </c>
      <c r="G533" s="90"/>
      <c r="H533" s="78"/>
      <c r="I533" s="26"/>
      <c r="J533" s="90"/>
    </row>
    <row r="534" spans="1:10" ht="15" customHeight="1" hidden="1">
      <c r="A534" s="28" t="s">
        <v>91</v>
      </c>
      <c r="B534" s="22" t="s">
        <v>281</v>
      </c>
      <c r="C534" s="22" t="s">
        <v>113</v>
      </c>
      <c r="D534" s="22" t="s">
        <v>80</v>
      </c>
      <c r="E534" s="22" t="s">
        <v>282</v>
      </c>
      <c r="F534" s="24" t="s">
        <v>92</v>
      </c>
      <c r="G534" s="90"/>
      <c r="H534" s="78"/>
      <c r="I534" s="26">
        <f t="shared" si="11"/>
        <v>0</v>
      </c>
      <c r="J534" s="90"/>
    </row>
    <row r="535" spans="1:10" ht="15.75" customHeight="1">
      <c r="A535" s="21" t="s">
        <v>185</v>
      </c>
      <c r="B535" s="22" t="s">
        <v>281</v>
      </c>
      <c r="C535" s="22" t="s">
        <v>140</v>
      </c>
      <c r="D535" s="22"/>
      <c r="E535" s="22"/>
      <c r="F535" s="24"/>
      <c r="G535" s="90">
        <f>G536+G560</f>
        <v>25473695</v>
      </c>
      <c r="H535" s="78">
        <f>H536+H560</f>
        <v>5745471.66</v>
      </c>
      <c r="I535" s="26">
        <f t="shared" si="11"/>
        <v>31219166.66</v>
      </c>
      <c r="J535" s="90">
        <f>J536+J560</f>
        <v>30778608.96</v>
      </c>
    </row>
    <row r="536" spans="1:10" ht="15">
      <c r="A536" s="21" t="s">
        <v>283</v>
      </c>
      <c r="B536" s="22" t="s">
        <v>281</v>
      </c>
      <c r="C536" s="22" t="s">
        <v>140</v>
      </c>
      <c r="D536" s="22" t="s">
        <v>78</v>
      </c>
      <c r="E536" s="22"/>
      <c r="F536" s="24"/>
      <c r="G536" s="90">
        <f>G537</f>
        <v>23789187</v>
      </c>
      <c r="H536" s="78">
        <f>H537</f>
        <v>5745471.66</v>
      </c>
      <c r="I536" s="26">
        <f t="shared" si="11"/>
        <v>29534658.66</v>
      </c>
      <c r="J536" s="90">
        <f>J537</f>
        <v>29133328.880000003</v>
      </c>
    </row>
    <row r="537" spans="1:10" ht="31.5" customHeight="1">
      <c r="A537" s="21" t="s">
        <v>187</v>
      </c>
      <c r="B537" s="22" t="s">
        <v>281</v>
      </c>
      <c r="C537" s="22" t="s">
        <v>140</v>
      </c>
      <c r="D537" s="22" t="s">
        <v>78</v>
      </c>
      <c r="E537" s="22" t="s">
        <v>25</v>
      </c>
      <c r="F537" s="24"/>
      <c r="G537" s="90">
        <f>G538+G552</f>
        <v>23789187</v>
      </c>
      <c r="H537" s="25">
        <f>H538+H552</f>
        <v>5745471.66</v>
      </c>
      <c r="I537" s="26">
        <f t="shared" si="11"/>
        <v>29534658.66</v>
      </c>
      <c r="J537" s="90">
        <f>J538+J552</f>
        <v>29133328.880000003</v>
      </c>
    </row>
    <row r="538" spans="1:10" s="47" customFormat="1" ht="45.75" customHeight="1">
      <c r="A538" s="59" t="s">
        <v>284</v>
      </c>
      <c r="B538" s="22" t="s">
        <v>281</v>
      </c>
      <c r="C538" s="43" t="s">
        <v>285</v>
      </c>
      <c r="D538" s="43" t="s">
        <v>78</v>
      </c>
      <c r="E538" s="43" t="s">
        <v>27</v>
      </c>
      <c r="F538" s="44"/>
      <c r="G538" s="94">
        <f>G539</f>
        <v>14926899</v>
      </c>
      <c r="H538" s="45">
        <f>H539</f>
        <v>5745471.66</v>
      </c>
      <c r="I538" s="46">
        <f t="shared" si="11"/>
        <v>20672370.66</v>
      </c>
      <c r="J538" s="94">
        <f>J539</f>
        <v>20364750.720000003</v>
      </c>
    </row>
    <row r="539" spans="1:10" ht="39.75" customHeight="1">
      <c r="A539" s="109" t="s">
        <v>400</v>
      </c>
      <c r="B539" s="22" t="s">
        <v>281</v>
      </c>
      <c r="C539" s="22" t="s">
        <v>285</v>
      </c>
      <c r="D539" s="22" t="s">
        <v>78</v>
      </c>
      <c r="E539" s="22" t="s">
        <v>28</v>
      </c>
      <c r="F539" s="24"/>
      <c r="G539" s="90">
        <f>G540+G544+G548+G550+G542</f>
        <v>14926899</v>
      </c>
      <c r="H539" s="25">
        <f>H540+H544+H548+H550+H542</f>
        <v>5745471.66</v>
      </c>
      <c r="I539" s="26">
        <f>G539+H539</f>
        <v>20672370.66</v>
      </c>
      <c r="J539" s="90">
        <f>J540+J544+J548+J550+J542</f>
        <v>20364750.720000003</v>
      </c>
    </row>
    <row r="540" spans="1:10" ht="15" hidden="1">
      <c r="A540" s="30" t="s">
        <v>286</v>
      </c>
      <c r="B540" s="22" t="s">
        <v>281</v>
      </c>
      <c r="C540" s="22" t="s">
        <v>285</v>
      </c>
      <c r="D540" s="22" t="s">
        <v>78</v>
      </c>
      <c r="E540" s="22" t="s">
        <v>336</v>
      </c>
      <c r="F540" s="24"/>
      <c r="G540" s="90">
        <f>G541</f>
        <v>0</v>
      </c>
      <c r="H540" s="25"/>
      <c r="I540" s="26">
        <f>G540+H540</f>
        <v>0</v>
      </c>
      <c r="J540" s="90">
        <f>J541</f>
        <v>0</v>
      </c>
    </row>
    <row r="541" spans="1:10" ht="24.75" hidden="1">
      <c r="A541" s="140" t="s">
        <v>39</v>
      </c>
      <c r="B541" s="22" t="s">
        <v>281</v>
      </c>
      <c r="C541" s="22" t="s">
        <v>285</v>
      </c>
      <c r="D541" s="22" t="s">
        <v>78</v>
      </c>
      <c r="E541" s="22" t="s">
        <v>336</v>
      </c>
      <c r="F541" s="24" t="s">
        <v>92</v>
      </c>
      <c r="G541" s="90"/>
      <c r="H541" s="25"/>
      <c r="I541" s="26">
        <f>G541+H541</f>
        <v>0</v>
      </c>
      <c r="J541" s="90"/>
    </row>
    <row r="542" spans="1:10" ht="26.25" hidden="1">
      <c r="A542" s="42" t="s">
        <v>466</v>
      </c>
      <c r="B542" s="22" t="s">
        <v>281</v>
      </c>
      <c r="C542" s="22" t="s">
        <v>285</v>
      </c>
      <c r="D542" s="22" t="s">
        <v>78</v>
      </c>
      <c r="E542" s="22" t="s">
        <v>465</v>
      </c>
      <c r="F542" s="24"/>
      <c r="G542" s="90">
        <f>G543</f>
        <v>0</v>
      </c>
      <c r="H542" s="25"/>
      <c r="I542" s="26">
        <f>G542+H542</f>
        <v>0</v>
      </c>
      <c r="J542" s="90">
        <f>J543</f>
        <v>0</v>
      </c>
    </row>
    <row r="543" spans="1:10" ht="26.25" hidden="1">
      <c r="A543" s="28" t="s">
        <v>39</v>
      </c>
      <c r="B543" s="43" t="s">
        <v>281</v>
      </c>
      <c r="C543" s="22" t="s">
        <v>285</v>
      </c>
      <c r="D543" s="22" t="s">
        <v>78</v>
      </c>
      <c r="E543" s="22" t="s">
        <v>465</v>
      </c>
      <c r="F543" s="24" t="s">
        <v>92</v>
      </c>
      <c r="G543" s="90"/>
      <c r="H543" s="25"/>
      <c r="I543" s="26">
        <f>G543+H543</f>
        <v>0</v>
      </c>
      <c r="J543" s="90"/>
    </row>
    <row r="544" spans="1:10" ht="26.25">
      <c r="A544" s="21" t="s">
        <v>130</v>
      </c>
      <c r="B544" s="22" t="s">
        <v>281</v>
      </c>
      <c r="C544" s="22" t="s">
        <v>285</v>
      </c>
      <c r="D544" s="22" t="s">
        <v>78</v>
      </c>
      <c r="E544" s="22" t="s">
        <v>29</v>
      </c>
      <c r="F544" s="24"/>
      <c r="G544" s="90">
        <f>G545+G546+G547</f>
        <v>14926899</v>
      </c>
      <c r="H544" s="25">
        <f>H545+H546+H547</f>
        <v>5745471.66</v>
      </c>
      <c r="I544" s="26">
        <f t="shared" si="11"/>
        <v>20672370.66</v>
      </c>
      <c r="J544" s="90">
        <f>J545+J546+J547</f>
        <v>20364750.720000003</v>
      </c>
    </row>
    <row r="545" spans="1:10" ht="48" customHeight="1">
      <c r="A545" s="28" t="s">
        <v>84</v>
      </c>
      <c r="B545" s="22" t="s">
        <v>281</v>
      </c>
      <c r="C545" s="22" t="s">
        <v>285</v>
      </c>
      <c r="D545" s="22" t="s">
        <v>78</v>
      </c>
      <c r="E545" s="22" t="s">
        <v>29</v>
      </c>
      <c r="F545" s="24" t="s">
        <v>85</v>
      </c>
      <c r="G545" s="90">
        <f>7793000+2353400-82000</f>
        <v>10064400</v>
      </c>
      <c r="H545" s="78">
        <f>14000</f>
        <v>14000</v>
      </c>
      <c r="I545" s="26">
        <f t="shared" si="11"/>
        <v>10078400</v>
      </c>
      <c r="J545" s="90">
        <v>10032669.33</v>
      </c>
    </row>
    <row r="546" spans="1:10" ht="26.25" customHeight="1">
      <c r="A546" s="28" t="s">
        <v>39</v>
      </c>
      <c r="B546" s="22" t="s">
        <v>281</v>
      </c>
      <c r="C546" s="22" t="s">
        <v>285</v>
      </c>
      <c r="D546" s="22" t="s">
        <v>78</v>
      </c>
      <c r="E546" s="22" t="s">
        <v>29</v>
      </c>
      <c r="F546" s="24" t="s">
        <v>92</v>
      </c>
      <c r="G546" s="90">
        <f>6000+5000+1080400+227124+93200+20800+707800+341800+1100000+655000+523025+37850</f>
        <v>4797999</v>
      </c>
      <c r="H546" s="78">
        <f>139800+48550+347200+20669.76+35251.9+5000000+70000+70000</f>
        <v>5731471.66</v>
      </c>
      <c r="I546" s="26">
        <f t="shared" si="11"/>
        <v>10529470.66</v>
      </c>
      <c r="J546" s="90">
        <v>10274930.98</v>
      </c>
    </row>
    <row r="547" spans="1:10" ht="21" customHeight="1">
      <c r="A547" s="38" t="s">
        <v>93</v>
      </c>
      <c r="B547" s="22" t="s">
        <v>281</v>
      </c>
      <c r="C547" s="22" t="s">
        <v>285</v>
      </c>
      <c r="D547" s="22" t="s">
        <v>78</v>
      </c>
      <c r="E547" s="22" t="s">
        <v>29</v>
      </c>
      <c r="F547" s="24" t="s">
        <v>94</v>
      </c>
      <c r="G547" s="90">
        <f>57500+1000+6000</f>
        <v>64500</v>
      </c>
      <c r="H547" s="78"/>
      <c r="I547" s="26">
        <f>G547+H547</f>
        <v>64500</v>
      </c>
      <c r="J547" s="90">
        <v>57150.41</v>
      </c>
    </row>
    <row r="548" spans="1:10" ht="15" hidden="1">
      <c r="A548" s="38" t="s">
        <v>287</v>
      </c>
      <c r="B548" s="22" t="s">
        <v>281</v>
      </c>
      <c r="C548" s="22" t="s">
        <v>285</v>
      </c>
      <c r="D548" s="22" t="s">
        <v>78</v>
      </c>
      <c r="E548" s="36" t="s">
        <v>26</v>
      </c>
      <c r="F548" s="24"/>
      <c r="G548" s="90">
        <f>G549</f>
        <v>0</v>
      </c>
      <c r="H548" s="78">
        <f>H549</f>
        <v>0</v>
      </c>
      <c r="I548" s="26">
        <f>G548+H548</f>
        <v>0</v>
      </c>
      <c r="J548" s="90">
        <f>J549</f>
        <v>0</v>
      </c>
    </row>
    <row r="549" spans="1:10" ht="22.5" customHeight="1" hidden="1">
      <c r="A549" s="140" t="s">
        <v>39</v>
      </c>
      <c r="B549" s="22" t="s">
        <v>281</v>
      </c>
      <c r="C549" s="22" t="s">
        <v>285</v>
      </c>
      <c r="D549" s="22" t="s">
        <v>78</v>
      </c>
      <c r="E549" s="36" t="s">
        <v>26</v>
      </c>
      <c r="F549" s="24" t="s">
        <v>92</v>
      </c>
      <c r="G549" s="90"/>
      <c r="H549" s="78"/>
      <c r="I549" s="26">
        <f aca="true" t="shared" si="13" ref="I549:I583">G549+H549</f>
        <v>0</v>
      </c>
      <c r="J549" s="90"/>
    </row>
    <row r="550" spans="1:10" ht="25.5" customHeight="1" hidden="1">
      <c r="A550" s="42" t="s">
        <v>464</v>
      </c>
      <c r="B550" s="22" t="s">
        <v>281</v>
      </c>
      <c r="C550" s="22" t="s">
        <v>285</v>
      </c>
      <c r="D550" s="22" t="s">
        <v>78</v>
      </c>
      <c r="E550" s="22" t="s">
        <v>463</v>
      </c>
      <c r="F550" s="24"/>
      <c r="G550" s="90">
        <f>G551</f>
        <v>0</v>
      </c>
      <c r="H550" s="78"/>
      <c r="I550" s="26">
        <f t="shared" si="13"/>
        <v>0</v>
      </c>
      <c r="J550" s="90">
        <f>J551</f>
        <v>0</v>
      </c>
    </row>
    <row r="551" spans="1:10" ht="25.5" customHeight="1" hidden="1">
      <c r="A551" s="28" t="s">
        <v>39</v>
      </c>
      <c r="B551" s="22" t="s">
        <v>281</v>
      </c>
      <c r="C551" s="22" t="s">
        <v>285</v>
      </c>
      <c r="D551" s="22" t="s">
        <v>78</v>
      </c>
      <c r="E551" s="22" t="s">
        <v>463</v>
      </c>
      <c r="F551" s="24" t="s">
        <v>92</v>
      </c>
      <c r="G551" s="90"/>
      <c r="H551" s="78"/>
      <c r="I551" s="26">
        <f t="shared" si="13"/>
        <v>0</v>
      </c>
      <c r="J551" s="90"/>
    </row>
    <row r="552" spans="1:10" ht="38.25" customHeight="1">
      <c r="A552" s="21" t="s">
        <v>188</v>
      </c>
      <c r="B552" s="22" t="s">
        <v>281</v>
      </c>
      <c r="C552" s="22" t="s">
        <v>285</v>
      </c>
      <c r="D552" s="22" t="s">
        <v>78</v>
      </c>
      <c r="E552" s="36" t="s">
        <v>30</v>
      </c>
      <c r="F552" s="24"/>
      <c r="G552" s="90">
        <f>G553</f>
        <v>8862288</v>
      </c>
      <c r="H552" s="78">
        <f>H554+H558</f>
        <v>0</v>
      </c>
      <c r="I552" s="26">
        <f t="shared" si="13"/>
        <v>8862288</v>
      </c>
      <c r="J552" s="90">
        <f>J553</f>
        <v>8768578.16</v>
      </c>
    </row>
    <row r="553" spans="1:10" ht="28.5" customHeight="1">
      <c r="A553" s="30" t="s">
        <v>31</v>
      </c>
      <c r="B553" s="22" t="s">
        <v>281</v>
      </c>
      <c r="C553" s="22" t="s">
        <v>285</v>
      </c>
      <c r="D553" s="22" t="s">
        <v>78</v>
      </c>
      <c r="E553" s="36" t="s">
        <v>315</v>
      </c>
      <c r="F553" s="24"/>
      <c r="G553" s="90">
        <f>G554+G558</f>
        <v>8862288</v>
      </c>
      <c r="H553" s="78"/>
      <c r="I553" s="26">
        <f t="shared" si="13"/>
        <v>8862288</v>
      </c>
      <c r="J553" s="90">
        <f>J554+J558</f>
        <v>8768578.16</v>
      </c>
    </row>
    <row r="554" spans="1:10" ht="26.25">
      <c r="A554" s="21" t="s">
        <v>130</v>
      </c>
      <c r="B554" s="22" t="s">
        <v>281</v>
      </c>
      <c r="C554" s="22" t="s">
        <v>285</v>
      </c>
      <c r="D554" s="22" t="s">
        <v>78</v>
      </c>
      <c r="E554" s="36" t="s">
        <v>316</v>
      </c>
      <c r="F554" s="24"/>
      <c r="G554" s="90">
        <f>G555+G556+G557</f>
        <v>8862288</v>
      </c>
      <c r="H554" s="78">
        <f>H555+H556+H557</f>
        <v>0</v>
      </c>
      <c r="I554" s="26">
        <f t="shared" si="13"/>
        <v>8862288</v>
      </c>
      <c r="J554" s="90">
        <f>J555+J556+J557</f>
        <v>8768578.16</v>
      </c>
    </row>
    <row r="555" spans="1:10" ht="40.5" customHeight="1">
      <c r="A555" s="28" t="s">
        <v>84</v>
      </c>
      <c r="B555" s="22" t="s">
        <v>281</v>
      </c>
      <c r="C555" s="22" t="s">
        <v>285</v>
      </c>
      <c r="D555" s="22" t="s">
        <v>78</v>
      </c>
      <c r="E555" s="36" t="s">
        <v>316</v>
      </c>
      <c r="F555" s="24" t="s">
        <v>85</v>
      </c>
      <c r="G555" s="90">
        <f>6546100+1977000-152000</f>
        <v>8371100</v>
      </c>
      <c r="H555" s="25"/>
      <c r="I555" s="26">
        <f t="shared" si="13"/>
        <v>8371100</v>
      </c>
      <c r="J555" s="90">
        <v>8305044.49</v>
      </c>
    </row>
    <row r="556" spans="1:10" ht="27" customHeight="1">
      <c r="A556" s="140" t="s">
        <v>39</v>
      </c>
      <c r="B556" s="22" t="s">
        <v>281</v>
      </c>
      <c r="C556" s="22" t="s">
        <v>285</v>
      </c>
      <c r="D556" s="22" t="s">
        <v>78</v>
      </c>
      <c r="E556" s="36" t="s">
        <v>316</v>
      </c>
      <c r="F556" s="24" t="s">
        <v>92</v>
      </c>
      <c r="G556" s="90">
        <f>8000+125700+14400+51000+121900+148000+14188</f>
        <v>483188</v>
      </c>
      <c r="H556" s="25"/>
      <c r="I556" s="26">
        <f t="shared" si="13"/>
        <v>483188</v>
      </c>
      <c r="J556" s="90">
        <v>460947.39</v>
      </c>
    </row>
    <row r="557" spans="1:10" ht="15">
      <c r="A557" s="38" t="s">
        <v>93</v>
      </c>
      <c r="B557" s="22" t="s">
        <v>281</v>
      </c>
      <c r="C557" s="22" t="s">
        <v>285</v>
      </c>
      <c r="D557" s="22" t="s">
        <v>78</v>
      </c>
      <c r="E557" s="36" t="s">
        <v>316</v>
      </c>
      <c r="F557" s="24" t="s">
        <v>94</v>
      </c>
      <c r="G557" s="90">
        <f>1000+1000+1000+5000</f>
        <v>8000</v>
      </c>
      <c r="H557" s="25"/>
      <c r="I557" s="26">
        <f t="shared" si="13"/>
        <v>8000</v>
      </c>
      <c r="J557" s="90">
        <v>2586.28</v>
      </c>
    </row>
    <row r="558" spans="1:10" ht="15" hidden="1">
      <c r="A558" s="38" t="s">
        <v>288</v>
      </c>
      <c r="B558" s="22" t="s">
        <v>281</v>
      </c>
      <c r="C558" s="22" t="s">
        <v>285</v>
      </c>
      <c r="D558" s="22" t="s">
        <v>78</v>
      </c>
      <c r="E558" s="36" t="s">
        <v>317</v>
      </c>
      <c r="F558" s="24"/>
      <c r="G558" s="90">
        <f>G559</f>
        <v>0</v>
      </c>
      <c r="H558" s="25">
        <f>H559</f>
        <v>0</v>
      </c>
      <c r="I558" s="26">
        <f t="shared" si="13"/>
        <v>0</v>
      </c>
      <c r="J558" s="90">
        <f>J559</f>
        <v>0</v>
      </c>
    </row>
    <row r="559" spans="1:10" ht="18" customHeight="1" hidden="1">
      <c r="A559" s="28" t="s">
        <v>91</v>
      </c>
      <c r="B559" s="22" t="s">
        <v>281</v>
      </c>
      <c r="C559" s="22" t="s">
        <v>285</v>
      </c>
      <c r="D559" s="22" t="s">
        <v>78</v>
      </c>
      <c r="E559" s="36" t="s">
        <v>317</v>
      </c>
      <c r="F559" s="24" t="s">
        <v>92</v>
      </c>
      <c r="G559" s="90">
        <f>20000-20000</f>
        <v>0</v>
      </c>
      <c r="H559" s="25"/>
      <c r="I559" s="26">
        <f t="shared" si="13"/>
        <v>0</v>
      </c>
      <c r="J559" s="90">
        <f>20000-20000</f>
        <v>0</v>
      </c>
    </row>
    <row r="560" spans="1:10" ht="15">
      <c r="A560" s="21" t="s">
        <v>289</v>
      </c>
      <c r="B560" s="22" t="s">
        <v>281</v>
      </c>
      <c r="C560" s="22" t="s">
        <v>140</v>
      </c>
      <c r="D560" s="22" t="s">
        <v>97</v>
      </c>
      <c r="E560" s="22"/>
      <c r="F560" s="24"/>
      <c r="G560" s="90">
        <f>G561</f>
        <v>1684508</v>
      </c>
      <c r="H560" s="78"/>
      <c r="I560" s="26">
        <f t="shared" si="13"/>
        <v>1684508</v>
      </c>
      <c r="J560" s="90">
        <f>J561</f>
        <v>1645280.0799999998</v>
      </c>
    </row>
    <row r="561" spans="1:10" ht="31.5" customHeight="1">
      <c r="A561" s="21" t="s">
        <v>187</v>
      </c>
      <c r="B561" s="22" t="s">
        <v>281</v>
      </c>
      <c r="C561" s="22" t="s">
        <v>140</v>
      </c>
      <c r="D561" s="22" t="s">
        <v>97</v>
      </c>
      <c r="E561" s="22" t="s">
        <v>25</v>
      </c>
      <c r="F561" s="24"/>
      <c r="G561" s="90">
        <f>G562</f>
        <v>1684508</v>
      </c>
      <c r="H561" s="78"/>
      <c r="I561" s="26">
        <f t="shared" si="13"/>
        <v>1684508</v>
      </c>
      <c r="J561" s="90">
        <f>J562</f>
        <v>1645280.0799999998</v>
      </c>
    </row>
    <row r="562" spans="1:10" ht="58.5" customHeight="1">
      <c r="A562" s="21" t="s">
        <v>290</v>
      </c>
      <c r="B562" s="22" t="s">
        <v>281</v>
      </c>
      <c r="C562" s="22" t="s">
        <v>140</v>
      </c>
      <c r="D562" s="22" t="s">
        <v>97</v>
      </c>
      <c r="E562" s="22" t="s">
        <v>32</v>
      </c>
      <c r="F562" s="24"/>
      <c r="G562" s="90">
        <f>G563+G568</f>
        <v>1684508</v>
      </c>
      <c r="H562" s="78"/>
      <c r="I562" s="26">
        <f t="shared" si="13"/>
        <v>1684508</v>
      </c>
      <c r="J562" s="90">
        <f>J563+J568</f>
        <v>1645280.0799999998</v>
      </c>
    </row>
    <row r="563" spans="1:10" ht="32.25" customHeight="1">
      <c r="A563" s="145" t="s">
        <v>405</v>
      </c>
      <c r="B563" s="22" t="s">
        <v>281</v>
      </c>
      <c r="C563" s="22" t="s">
        <v>140</v>
      </c>
      <c r="D563" s="22" t="s">
        <v>97</v>
      </c>
      <c r="E563" s="22" t="s">
        <v>34</v>
      </c>
      <c r="F563" s="24"/>
      <c r="G563" s="90">
        <f>G564</f>
        <v>1634800</v>
      </c>
      <c r="H563" s="25"/>
      <c r="I563" s="26">
        <f t="shared" si="13"/>
        <v>1634800</v>
      </c>
      <c r="J563" s="90">
        <f>J564</f>
        <v>1595572.0799999998</v>
      </c>
    </row>
    <row r="564" spans="1:10" ht="32.25" customHeight="1">
      <c r="A564" s="21" t="s">
        <v>130</v>
      </c>
      <c r="B564" s="22" t="s">
        <v>281</v>
      </c>
      <c r="C564" s="22" t="s">
        <v>140</v>
      </c>
      <c r="D564" s="22" t="s">
        <v>97</v>
      </c>
      <c r="E564" s="22" t="s">
        <v>33</v>
      </c>
      <c r="F564" s="24"/>
      <c r="G564" s="90">
        <f>G565+G566+G567</f>
        <v>1634800</v>
      </c>
      <c r="H564" s="25"/>
      <c r="I564" s="26">
        <f t="shared" si="13"/>
        <v>1634800</v>
      </c>
      <c r="J564" s="90">
        <f>J565+J566+J567</f>
        <v>1595572.0799999998</v>
      </c>
    </row>
    <row r="565" spans="1:10" ht="42.75" customHeight="1">
      <c r="A565" s="28" t="s">
        <v>84</v>
      </c>
      <c r="B565" s="22" t="s">
        <v>281</v>
      </c>
      <c r="C565" s="22" t="s">
        <v>140</v>
      </c>
      <c r="D565" s="22" t="s">
        <v>97</v>
      </c>
      <c r="E565" s="22" t="s">
        <v>33</v>
      </c>
      <c r="F565" s="24" t="s">
        <v>85</v>
      </c>
      <c r="G565" s="90">
        <f>849900+256700+52000+130000</f>
        <v>1288600</v>
      </c>
      <c r="H565" s="78"/>
      <c r="I565" s="26">
        <f t="shared" si="13"/>
        <v>1288600</v>
      </c>
      <c r="J565" s="90">
        <v>1284228.14</v>
      </c>
    </row>
    <row r="566" spans="1:10" ht="26.25" customHeight="1">
      <c r="A566" s="140" t="s">
        <v>39</v>
      </c>
      <c r="B566" s="22" t="s">
        <v>281</v>
      </c>
      <c r="C566" s="22" t="s">
        <v>140</v>
      </c>
      <c r="D566" s="22" t="s">
        <v>97</v>
      </c>
      <c r="E566" s="22" t="s">
        <v>33</v>
      </c>
      <c r="F566" s="24" t="s">
        <v>92</v>
      </c>
      <c r="G566" s="90">
        <f>39500+46500+3000+130300+5000+59000+16400+36000+4500</f>
        <v>340200</v>
      </c>
      <c r="H566" s="78"/>
      <c r="I566" s="26">
        <f t="shared" si="13"/>
        <v>340200</v>
      </c>
      <c r="J566" s="90">
        <v>311343.91</v>
      </c>
    </row>
    <row r="567" spans="1:10" ht="16.5" customHeight="1">
      <c r="A567" s="38" t="s">
        <v>93</v>
      </c>
      <c r="B567" s="22" t="s">
        <v>281</v>
      </c>
      <c r="C567" s="22" t="s">
        <v>140</v>
      </c>
      <c r="D567" s="22" t="s">
        <v>97</v>
      </c>
      <c r="E567" s="22" t="s">
        <v>33</v>
      </c>
      <c r="F567" s="24" t="s">
        <v>94</v>
      </c>
      <c r="G567" s="90">
        <f>1000+5000</f>
        <v>6000</v>
      </c>
      <c r="H567" s="78"/>
      <c r="I567" s="26">
        <f t="shared" si="13"/>
        <v>6000</v>
      </c>
      <c r="J567" s="90">
        <v>0.03</v>
      </c>
    </row>
    <row r="568" spans="1:10" ht="41.25" customHeight="1">
      <c r="A568" s="146" t="s">
        <v>407</v>
      </c>
      <c r="B568" s="22" t="s">
        <v>281</v>
      </c>
      <c r="C568" s="22" t="s">
        <v>140</v>
      </c>
      <c r="D568" s="22" t="s">
        <v>97</v>
      </c>
      <c r="E568" s="22" t="s">
        <v>408</v>
      </c>
      <c r="F568" s="24"/>
      <c r="G568" s="90">
        <f>G569</f>
        <v>49708</v>
      </c>
      <c r="H568" s="25"/>
      <c r="I568" s="26">
        <f t="shared" si="13"/>
        <v>49708</v>
      </c>
      <c r="J568" s="90">
        <f>J569</f>
        <v>49708</v>
      </c>
    </row>
    <row r="569" spans="1:10" ht="42.75" customHeight="1">
      <c r="A569" s="27" t="s">
        <v>291</v>
      </c>
      <c r="B569" s="22" t="s">
        <v>281</v>
      </c>
      <c r="C569" s="22" t="s">
        <v>140</v>
      </c>
      <c r="D569" s="22" t="s">
        <v>97</v>
      </c>
      <c r="E569" s="22" t="s">
        <v>409</v>
      </c>
      <c r="F569" s="24"/>
      <c r="G569" s="90">
        <f>G570</f>
        <v>49708</v>
      </c>
      <c r="H569" s="25"/>
      <c r="I569" s="26">
        <f t="shared" si="13"/>
        <v>49708</v>
      </c>
      <c r="J569" s="90">
        <f>J570</f>
        <v>49708</v>
      </c>
    </row>
    <row r="570" spans="1:10" ht="42" customHeight="1">
      <c r="A570" s="28" t="s">
        <v>84</v>
      </c>
      <c r="B570" s="22" t="s">
        <v>281</v>
      </c>
      <c r="C570" s="22" t="s">
        <v>140</v>
      </c>
      <c r="D570" s="22" t="s">
        <v>97</v>
      </c>
      <c r="E570" s="22" t="s">
        <v>409</v>
      </c>
      <c r="F570" s="24" t="s">
        <v>85</v>
      </c>
      <c r="G570" s="90">
        <f>28562+8626+12520</f>
        <v>49708</v>
      </c>
      <c r="H570" s="78"/>
      <c r="I570" s="26">
        <f t="shared" si="13"/>
        <v>49708</v>
      </c>
      <c r="J570" s="90">
        <v>49708</v>
      </c>
    </row>
    <row r="571" spans="1:10" ht="15">
      <c r="A571" s="21" t="s">
        <v>189</v>
      </c>
      <c r="B571" s="22" t="s">
        <v>281</v>
      </c>
      <c r="C571" s="22">
        <v>10</v>
      </c>
      <c r="D571" s="22"/>
      <c r="E571" s="22"/>
      <c r="F571" s="24"/>
      <c r="G571" s="90">
        <f>G572</f>
        <v>2275654</v>
      </c>
      <c r="H571" s="25"/>
      <c r="I571" s="26">
        <f t="shared" si="13"/>
        <v>2275654</v>
      </c>
      <c r="J571" s="90">
        <f>J572</f>
        <v>2275654</v>
      </c>
    </row>
    <row r="572" spans="1:10" ht="15">
      <c r="A572" s="21" t="s">
        <v>203</v>
      </c>
      <c r="B572" s="22" t="s">
        <v>281</v>
      </c>
      <c r="C572" s="22">
        <v>10</v>
      </c>
      <c r="D572" s="22" t="s">
        <v>87</v>
      </c>
      <c r="E572" s="22"/>
      <c r="F572" s="24"/>
      <c r="G572" s="90">
        <f>G578+G573</f>
        <v>2275654</v>
      </c>
      <c r="H572" s="25"/>
      <c r="I572" s="26">
        <f t="shared" si="13"/>
        <v>2275654</v>
      </c>
      <c r="J572" s="90">
        <f>J578+J573</f>
        <v>2275654</v>
      </c>
    </row>
    <row r="573" spans="1:10" ht="33.75" customHeight="1">
      <c r="A573" s="21" t="s">
        <v>187</v>
      </c>
      <c r="B573" s="22" t="s">
        <v>281</v>
      </c>
      <c r="C573" s="22">
        <v>10</v>
      </c>
      <c r="D573" s="22" t="s">
        <v>87</v>
      </c>
      <c r="E573" s="22" t="s">
        <v>25</v>
      </c>
      <c r="F573" s="24"/>
      <c r="G573" s="90">
        <f>G574</f>
        <v>1275654</v>
      </c>
      <c r="H573" s="25"/>
      <c r="I573" s="26">
        <f>G573+H573</f>
        <v>1275654</v>
      </c>
      <c r="J573" s="90">
        <f>J574</f>
        <v>1275654</v>
      </c>
    </row>
    <row r="574" spans="1:10" ht="57.75" customHeight="1">
      <c r="A574" s="21" t="s">
        <v>290</v>
      </c>
      <c r="B574" s="22" t="s">
        <v>281</v>
      </c>
      <c r="C574" s="22">
        <v>10</v>
      </c>
      <c r="D574" s="22" t="s">
        <v>87</v>
      </c>
      <c r="E574" s="22" t="s">
        <v>32</v>
      </c>
      <c r="F574" s="24"/>
      <c r="G574" s="90">
        <f>G575</f>
        <v>1275654</v>
      </c>
      <c r="H574" s="25"/>
      <c r="I574" s="26">
        <f>G574+H574</f>
        <v>1275654</v>
      </c>
      <c r="J574" s="90">
        <f>J575</f>
        <v>1275654</v>
      </c>
    </row>
    <row r="575" spans="1:10" ht="30" customHeight="1">
      <c r="A575" s="137" t="s">
        <v>318</v>
      </c>
      <c r="B575" s="22" t="s">
        <v>281</v>
      </c>
      <c r="C575" s="22">
        <v>10</v>
      </c>
      <c r="D575" s="22" t="s">
        <v>87</v>
      </c>
      <c r="E575" s="22" t="s">
        <v>35</v>
      </c>
      <c r="F575" s="24"/>
      <c r="G575" s="90">
        <f>G576</f>
        <v>1275654</v>
      </c>
      <c r="H575" s="25"/>
      <c r="I575" s="26">
        <f>G575+H575</f>
        <v>1275654</v>
      </c>
      <c r="J575" s="90">
        <f>J576</f>
        <v>1275654</v>
      </c>
    </row>
    <row r="576" spans="1:10" ht="47.25" customHeight="1">
      <c r="A576" s="31" t="s">
        <v>292</v>
      </c>
      <c r="B576" s="22" t="s">
        <v>281</v>
      </c>
      <c r="C576" s="22">
        <v>10</v>
      </c>
      <c r="D576" s="22" t="s">
        <v>87</v>
      </c>
      <c r="E576" s="32" t="s">
        <v>406</v>
      </c>
      <c r="F576" s="24"/>
      <c r="G576" s="90">
        <f>G577</f>
        <v>1275654</v>
      </c>
      <c r="H576" s="25"/>
      <c r="I576" s="26">
        <f>G576+H576</f>
        <v>1275654</v>
      </c>
      <c r="J576" s="90">
        <f>J577</f>
        <v>1275654</v>
      </c>
    </row>
    <row r="577" spans="1:10" ht="18" customHeight="1">
      <c r="A577" s="38" t="s">
        <v>136</v>
      </c>
      <c r="B577" s="22" t="s">
        <v>281</v>
      </c>
      <c r="C577" s="22">
        <v>10</v>
      </c>
      <c r="D577" s="22" t="s">
        <v>87</v>
      </c>
      <c r="E577" s="32" t="s">
        <v>406</v>
      </c>
      <c r="F577" s="24" t="s">
        <v>137</v>
      </c>
      <c r="G577" s="90">
        <f>1275654</f>
        <v>1275654</v>
      </c>
      <c r="H577" s="78"/>
      <c r="I577" s="26">
        <f>G577+H577</f>
        <v>1275654</v>
      </c>
      <c r="J577" s="90">
        <f>1275654</f>
        <v>1275654</v>
      </c>
    </row>
    <row r="578" spans="1:10" ht="31.5" customHeight="1">
      <c r="A578" s="156" t="s">
        <v>225</v>
      </c>
      <c r="B578" s="22" t="s">
        <v>281</v>
      </c>
      <c r="C578" s="96">
        <v>10</v>
      </c>
      <c r="D578" s="96" t="s">
        <v>87</v>
      </c>
      <c r="E578" s="96" t="s">
        <v>392</v>
      </c>
      <c r="F578" s="97"/>
      <c r="G578" s="90">
        <f>G579</f>
        <v>1000000</v>
      </c>
      <c r="H578" s="25"/>
      <c r="I578" s="157">
        <f t="shared" si="13"/>
        <v>1000000</v>
      </c>
      <c r="J578" s="90">
        <f>J579</f>
        <v>1000000</v>
      </c>
    </row>
    <row r="579" spans="1:10" ht="54.75" customHeight="1">
      <c r="A579" s="28" t="s">
        <v>247</v>
      </c>
      <c r="B579" s="22" t="s">
        <v>281</v>
      </c>
      <c r="C579" s="22" t="s">
        <v>190</v>
      </c>
      <c r="D579" s="22" t="s">
        <v>87</v>
      </c>
      <c r="E579" s="22" t="s">
        <v>430</v>
      </c>
      <c r="F579" s="24"/>
      <c r="G579" s="90">
        <f>G580</f>
        <v>1000000</v>
      </c>
      <c r="H579" s="25"/>
      <c r="I579" s="26">
        <f t="shared" si="13"/>
        <v>1000000</v>
      </c>
      <c r="J579" s="90">
        <f>J580</f>
        <v>1000000</v>
      </c>
    </row>
    <row r="580" spans="1:10" ht="29.25" customHeight="1">
      <c r="A580" s="153" t="s">
        <v>0</v>
      </c>
      <c r="B580" s="22" t="s">
        <v>281</v>
      </c>
      <c r="C580" s="22" t="s">
        <v>190</v>
      </c>
      <c r="D580" s="22" t="s">
        <v>87</v>
      </c>
      <c r="E580" s="22" t="s">
        <v>448</v>
      </c>
      <c r="F580" s="24"/>
      <c r="G580" s="90">
        <f>G581</f>
        <v>1000000</v>
      </c>
      <c r="H580" s="25"/>
      <c r="I580" s="26">
        <f t="shared" si="13"/>
        <v>1000000</v>
      </c>
      <c r="J580" s="90">
        <f>J581</f>
        <v>1000000</v>
      </c>
    </row>
    <row r="581" spans="1:10" ht="53.25" customHeight="1">
      <c r="A581" s="40" t="s">
        <v>253</v>
      </c>
      <c r="B581" s="22" t="s">
        <v>281</v>
      </c>
      <c r="C581" s="22" t="s">
        <v>190</v>
      </c>
      <c r="D581" s="22" t="s">
        <v>87</v>
      </c>
      <c r="E581" s="22" t="s">
        <v>1</v>
      </c>
      <c r="F581" s="24"/>
      <c r="G581" s="90">
        <f>G582+G583</f>
        <v>1000000</v>
      </c>
      <c r="H581" s="25"/>
      <c r="I581" s="26">
        <f t="shared" si="13"/>
        <v>1000000</v>
      </c>
      <c r="J581" s="90">
        <f>J582+J583</f>
        <v>1000000</v>
      </c>
    </row>
    <row r="582" spans="1:10" ht="20.25" customHeight="1" hidden="1">
      <c r="A582" s="28" t="s">
        <v>91</v>
      </c>
      <c r="B582" s="22" t="s">
        <v>281</v>
      </c>
      <c r="C582" s="22">
        <v>10</v>
      </c>
      <c r="D582" s="22" t="s">
        <v>87</v>
      </c>
      <c r="E582" s="22" t="s">
        <v>293</v>
      </c>
      <c r="F582" s="24" t="s">
        <v>92</v>
      </c>
      <c r="G582" s="90"/>
      <c r="H582" s="25"/>
      <c r="I582" s="26">
        <f t="shared" si="13"/>
        <v>0</v>
      </c>
      <c r="J582" s="90"/>
    </row>
    <row r="583" spans="1:10" ht="19.5" customHeight="1" thickBot="1">
      <c r="A583" s="123" t="s">
        <v>136</v>
      </c>
      <c r="B583" s="99" t="s">
        <v>281</v>
      </c>
      <c r="C583" s="99">
        <v>10</v>
      </c>
      <c r="D583" s="99" t="s">
        <v>87</v>
      </c>
      <c r="E583" s="99" t="s">
        <v>1</v>
      </c>
      <c r="F583" s="124" t="s">
        <v>137</v>
      </c>
      <c r="G583" s="125">
        <v>1000000</v>
      </c>
      <c r="H583" s="126"/>
      <c r="I583" s="118">
        <f t="shared" si="13"/>
        <v>1000000</v>
      </c>
      <c r="J583" s="125">
        <v>1000000</v>
      </c>
    </row>
    <row r="584" spans="2:6" ht="15">
      <c r="B584" s="51"/>
      <c r="C584" s="51"/>
      <c r="D584" s="51"/>
      <c r="E584" s="51"/>
      <c r="F584" s="52"/>
    </row>
    <row r="585" spans="2:6" ht="15">
      <c r="B585" s="51"/>
      <c r="C585" s="51"/>
      <c r="D585" s="51"/>
      <c r="E585" s="51"/>
      <c r="F585" s="52"/>
    </row>
    <row r="586" spans="2:6" ht="15">
      <c r="B586" s="51"/>
      <c r="C586" s="51"/>
      <c r="D586" s="51"/>
      <c r="E586" s="51"/>
      <c r="F586" s="52"/>
    </row>
    <row r="587" spans="2:6" ht="15">
      <c r="B587" s="51"/>
      <c r="C587" s="51"/>
      <c r="D587" s="51"/>
      <c r="E587" s="51"/>
      <c r="F587" s="52"/>
    </row>
    <row r="588" spans="2:6" ht="15">
      <c r="B588" s="51"/>
      <c r="C588" s="51"/>
      <c r="D588" s="51"/>
      <c r="E588" s="51"/>
      <c r="F588" s="52"/>
    </row>
    <row r="589" spans="2:6" ht="15">
      <c r="B589" s="51"/>
      <c r="C589" s="51"/>
      <c r="D589" s="51"/>
      <c r="E589" s="51"/>
      <c r="F589" s="52"/>
    </row>
    <row r="590" spans="2:6" ht="15">
      <c r="B590" s="51"/>
      <c r="C590" s="51"/>
      <c r="D590" s="51"/>
      <c r="E590" s="51"/>
      <c r="F590" s="52"/>
    </row>
    <row r="591" spans="2:6" ht="15">
      <c r="B591" s="51"/>
      <c r="C591" s="51"/>
      <c r="D591" s="51"/>
      <c r="E591" s="51"/>
      <c r="F591" s="52"/>
    </row>
    <row r="592" spans="2:6" ht="15">
      <c r="B592" s="51"/>
      <c r="C592" s="51"/>
      <c r="D592" s="51"/>
      <c r="E592" s="51"/>
      <c r="F592" s="52"/>
    </row>
    <row r="593" spans="2:6" ht="15">
      <c r="B593" s="51"/>
      <c r="C593" s="51"/>
      <c r="D593" s="51"/>
      <c r="E593" s="51"/>
      <c r="F593" s="52"/>
    </row>
    <row r="594" spans="2:6" ht="15">
      <c r="B594" s="51"/>
      <c r="C594" s="51"/>
      <c r="D594" s="51"/>
      <c r="E594" s="51"/>
      <c r="F594" s="52"/>
    </row>
    <row r="595" ht="15">
      <c r="B595" s="51"/>
    </row>
    <row r="596" ht="15">
      <c r="B596" s="51"/>
    </row>
    <row r="597" ht="15">
      <c r="B597" s="51"/>
    </row>
    <row r="598" ht="15">
      <c r="B598" s="51"/>
    </row>
    <row r="599" ht="15">
      <c r="B599" s="51"/>
    </row>
  </sheetData>
  <sheetProtection/>
  <mergeCells count="17">
    <mergeCell ref="D5:J5"/>
    <mergeCell ref="D2:J2"/>
    <mergeCell ref="B6:I6"/>
    <mergeCell ref="A10:A11"/>
    <mergeCell ref="B10:B11"/>
    <mergeCell ref="C10:C11"/>
    <mergeCell ref="E4:J4"/>
    <mergeCell ref="D1:J1"/>
    <mergeCell ref="D10:D11"/>
    <mergeCell ref="E10:E11"/>
    <mergeCell ref="F10:F11"/>
    <mergeCell ref="G10:G11"/>
    <mergeCell ref="H10:H11"/>
    <mergeCell ref="I10:I11"/>
    <mergeCell ref="J10:J11"/>
    <mergeCell ref="A8:J8"/>
    <mergeCell ref="D3:J3"/>
  </mergeCells>
  <hyperlinks>
    <hyperlink ref="A246" r:id="rId1" display="consultantplus://offline/ref=C6EF3AE28B6C46D1117CBBA251A07B11C6C7C5768D606C8B0E322DA1BBA42282C9440EEF08E6CC43400230U6VFM"/>
  </hyperlinks>
  <printOptions/>
  <pageMargins left="0.7874015748031497" right="0" top="0.5905511811023623" bottom="0.5511811023622047" header="0.31496062992125984" footer="0.31496062992125984"/>
  <pageSetup horizontalDpi="600" verticalDpi="6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B4" sqref="B4:D4"/>
    </sheetView>
  </sheetViews>
  <sheetFormatPr defaultColWidth="9.00390625" defaultRowHeight="12.75"/>
  <cols>
    <col min="1" max="1" width="67.00390625" style="1" customWidth="1"/>
    <col min="2" max="2" width="6.875" style="2" customWidth="1"/>
    <col min="3" max="3" width="8.00390625" style="2" customWidth="1"/>
    <col min="4" max="4" width="16.75390625" style="4" customWidth="1"/>
    <col min="5" max="16384" width="9.125" style="5" customWidth="1"/>
  </cols>
  <sheetData>
    <row r="1" spans="2:4" ht="12.75">
      <c r="B1" s="194" t="s">
        <v>652</v>
      </c>
      <c r="D1" s="3"/>
    </row>
    <row r="2" spans="2:4" ht="15.75" customHeight="1">
      <c r="B2" s="194" t="s">
        <v>653</v>
      </c>
      <c r="C2" s="194"/>
      <c r="D2" s="3"/>
    </row>
    <row r="3" spans="2:4" ht="15.75">
      <c r="B3" s="7" t="s">
        <v>61</v>
      </c>
      <c r="C3" s="7"/>
      <c r="D3" s="195"/>
    </row>
    <row r="4" spans="1:7" ht="17.25" customHeight="1">
      <c r="A4" s="8"/>
      <c r="B4" s="441" t="s">
        <v>1115</v>
      </c>
      <c r="C4" s="441"/>
      <c r="D4" s="441"/>
      <c r="E4" s="366"/>
      <c r="F4" s="366"/>
      <c r="G4" s="366"/>
    </row>
    <row r="5" spans="1:4" ht="50.25" customHeight="1">
      <c r="A5" s="9"/>
      <c r="B5" s="418" t="s">
        <v>655</v>
      </c>
      <c r="C5" s="418"/>
      <c r="D5" s="418"/>
    </row>
    <row r="6" spans="1:4" ht="44.25" customHeight="1">
      <c r="A6" s="423" t="s">
        <v>656</v>
      </c>
      <c r="B6" s="423"/>
      <c r="C6" s="423"/>
      <c r="D6" s="423"/>
    </row>
    <row r="7" ht="22.5" customHeight="1">
      <c r="D7" s="14" t="s">
        <v>404</v>
      </c>
    </row>
    <row r="8" spans="1:4" ht="36.75" customHeight="1">
      <c r="A8" s="379" t="s">
        <v>62</v>
      </c>
      <c r="B8" s="380" t="s">
        <v>64</v>
      </c>
      <c r="C8" s="380" t="s">
        <v>65</v>
      </c>
      <c r="D8" s="396" t="s">
        <v>654</v>
      </c>
    </row>
    <row r="9" spans="1:4" s="19" customFormat="1" ht="12.75" customHeight="1">
      <c r="A9" s="381">
        <v>1</v>
      </c>
      <c r="B9" s="381" t="s">
        <v>230</v>
      </c>
      <c r="C9" s="381" t="s">
        <v>69</v>
      </c>
      <c r="D9" s="382">
        <v>4</v>
      </c>
    </row>
    <row r="10" spans="1:4" s="197" customFormat="1" ht="18.75" customHeight="1">
      <c r="A10" s="383" t="s">
        <v>74</v>
      </c>
      <c r="B10" s="196" t="s">
        <v>535</v>
      </c>
      <c r="C10" s="196" t="s">
        <v>535</v>
      </c>
      <c r="D10" s="384">
        <f>D11+D19+D21+D25+D28+D34+D39+D43+D45+D47+D37</f>
        <v>515622252.89</v>
      </c>
    </row>
    <row r="11" spans="1:4" s="198" customFormat="1" ht="14.25">
      <c r="A11" s="385" t="s">
        <v>77</v>
      </c>
      <c r="B11" s="196" t="s">
        <v>78</v>
      </c>
      <c r="C11" s="196" t="s">
        <v>535</v>
      </c>
      <c r="D11" s="384">
        <f>D12+D13+D14+D16+D18+D15+D17</f>
        <v>42370880.05</v>
      </c>
    </row>
    <row r="12" spans="1:4" ht="28.5" customHeight="1">
      <c r="A12" s="386" t="s">
        <v>79</v>
      </c>
      <c r="B12" s="22" t="s">
        <v>78</v>
      </c>
      <c r="C12" s="22" t="s">
        <v>80</v>
      </c>
      <c r="D12" s="90">
        <v>1525525</v>
      </c>
    </row>
    <row r="13" spans="1:4" ht="25.5" customHeight="1">
      <c r="A13" s="395" t="s">
        <v>86</v>
      </c>
      <c r="B13" s="22" t="s">
        <v>78</v>
      </c>
      <c r="C13" s="22" t="s">
        <v>87</v>
      </c>
      <c r="D13" s="90">
        <v>2078269.96</v>
      </c>
    </row>
    <row r="14" spans="1:4" ht="39">
      <c r="A14" s="386" t="s">
        <v>95</v>
      </c>
      <c r="B14" s="22" t="s">
        <v>96</v>
      </c>
      <c r="C14" s="22" t="s">
        <v>97</v>
      </c>
      <c r="D14" s="90">
        <v>21266530.95</v>
      </c>
    </row>
    <row r="15" spans="1:4" ht="15">
      <c r="A15" s="386" t="s">
        <v>468</v>
      </c>
      <c r="B15" s="22" t="s">
        <v>78</v>
      </c>
      <c r="C15" s="22" t="s">
        <v>165</v>
      </c>
      <c r="D15" s="90">
        <v>12750</v>
      </c>
    </row>
    <row r="16" spans="1:4" ht="25.5" customHeight="1">
      <c r="A16" s="166" t="s">
        <v>109</v>
      </c>
      <c r="B16" s="22" t="s">
        <v>78</v>
      </c>
      <c r="C16" s="22" t="s">
        <v>110</v>
      </c>
      <c r="D16" s="90">
        <v>573093.31</v>
      </c>
    </row>
    <row r="17" spans="1:4" ht="18.75" customHeight="1">
      <c r="A17" s="387" t="s">
        <v>615</v>
      </c>
      <c r="B17" s="22" t="s">
        <v>78</v>
      </c>
      <c r="C17" s="22" t="s">
        <v>113</v>
      </c>
      <c r="D17" s="90">
        <v>890000</v>
      </c>
    </row>
    <row r="18" spans="1:4" ht="21" customHeight="1">
      <c r="A18" s="387" t="s">
        <v>121</v>
      </c>
      <c r="B18" s="22" t="s">
        <v>78</v>
      </c>
      <c r="C18" s="22" t="s">
        <v>122</v>
      </c>
      <c r="D18" s="90">
        <v>16024710.83</v>
      </c>
    </row>
    <row r="19" spans="1:4" s="198" customFormat="1" ht="21" customHeight="1">
      <c r="A19" s="397" t="s">
        <v>534</v>
      </c>
      <c r="B19" s="196" t="s">
        <v>87</v>
      </c>
      <c r="C19" s="196" t="s">
        <v>535</v>
      </c>
      <c r="D19" s="384">
        <f>D20</f>
        <v>48000</v>
      </c>
    </row>
    <row r="20" spans="1:4" ht="25.5">
      <c r="A20" s="166" t="s">
        <v>501</v>
      </c>
      <c r="B20" s="22" t="s">
        <v>87</v>
      </c>
      <c r="C20" s="22" t="s">
        <v>144</v>
      </c>
      <c r="D20" s="90">
        <v>48000</v>
      </c>
    </row>
    <row r="21" spans="1:4" s="198" customFormat="1" ht="16.5" customHeight="1">
      <c r="A21" s="385" t="s">
        <v>138</v>
      </c>
      <c r="B21" s="196" t="s">
        <v>97</v>
      </c>
      <c r="C21" s="196" t="s">
        <v>535</v>
      </c>
      <c r="D21" s="384">
        <f>D22+D23+D24</f>
        <v>6148090.4399999995</v>
      </c>
    </row>
    <row r="22" spans="1:4" ht="21.75" customHeight="1">
      <c r="A22" s="387" t="s">
        <v>139</v>
      </c>
      <c r="B22" s="22" t="s">
        <v>97</v>
      </c>
      <c r="C22" s="22" t="s">
        <v>140</v>
      </c>
      <c r="D22" s="90">
        <v>1100000</v>
      </c>
    </row>
    <row r="23" spans="1:4" ht="15">
      <c r="A23" s="387" t="s">
        <v>143</v>
      </c>
      <c r="B23" s="22" t="s">
        <v>97</v>
      </c>
      <c r="C23" s="22" t="s">
        <v>144</v>
      </c>
      <c r="D23" s="90">
        <v>4362993.92</v>
      </c>
    </row>
    <row r="24" spans="1:4" ht="15">
      <c r="A24" s="387" t="s">
        <v>151</v>
      </c>
      <c r="B24" s="22" t="s">
        <v>97</v>
      </c>
      <c r="C24" s="22" t="s">
        <v>152</v>
      </c>
      <c r="D24" s="90">
        <v>685096.52</v>
      </c>
    </row>
    <row r="25" spans="1:4" s="198" customFormat="1" ht="21" customHeight="1">
      <c r="A25" s="389" t="s">
        <v>164</v>
      </c>
      <c r="B25" s="196" t="s">
        <v>165</v>
      </c>
      <c r="C25" s="196" t="s">
        <v>535</v>
      </c>
      <c r="D25" s="384">
        <f>D27+D26</f>
        <v>4244750</v>
      </c>
    </row>
    <row r="26" spans="1:4" s="198" customFormat="1" ht="21" customHeight="1">
      <c r="A26" s="390" t="s">
        <v>622</v>
      </c>
      <c r="B26" s="22" t="s">
        <v>165</v>
      </c>
      <c r="C26" s="22" t="s">
        <v>78</v>
      </c>
      <c r="D26" s="90">
        <v>10000</v>
      </c>
    </row>
    <row r="27" spans="1:4" ht="19.5" customHeight="1">
      <c r="A27" s="390" t="s">
        <v>166</v>
      </c>
      <c r="B27" s="22" t="s">
        <v>165</v>
      </c>
      <c r="C27" s="22" t="s">
        <v>80</v>
      </c>
      <c r="D27" s="90">
        <v>4234750</v>
      </c>
    </row>
    <row r="28" spans="1:4" s="198" customFormat="1" ht="13.5" customHeight="1">
      <c r="A28" s="388" t="s">
        <v>182</v>
      </c>
      <c r="B28" s="196" t="s">
        <v>113</v>
      </c>
      <c r="C28" s="196" t="s">
        <v>535</v>
      </c>
      <c r="D28" s="384">
        <f>D29+D30+D31+D32+D33</f>
        <v>379551934.02</v>
      </c>
    </row>
    <row r="29" spans="1:4" ht="15" customHeight="1">
      <c r="A29" s="387" t="s">
        <v>224</v>
      </c>
      <c r="B29" s="22" t="s">
        <v>113</v>
      </c>
      <c r="C29" s="22" t="s">
        <v>78</v>
      </c>
      <c r="D29" s="90">
        <v>87171727.89</v>
      </c>
    </row>
    <row r="30" spans="1:4" ht="15">
      <c r="A30" s="387" t="s">
        <v>227</v>
      </c>
      <c r="B30" s="22" t="s">
        <v>113</v>
      </c>
      <c r="C30" s="22" t="s">
        <v>80</v>
      </c>
      <c r="D30" s="90">
        <v>249204892.38</v>
      </c>
    </row>
    <row r="31" spans="1:4" ht="15" customHeight="1">
      <c r="A31" s="391" t="s">
        <v>483</v>
      </c>
      <c r="B31" s="22" t="s">
        <v>113</v>
      </c>
      <c r="C31" s="22" t="s">
        <v>87</v>
      </c>
      <c r="D31" s="90">
        <v>30854797.75</v>
      </c>
    </row>
    <row r="32" spans="1:4" ht="18.75" customHeight="1">
      <c r="A32" s="387" t="s">
        <v>543</v>
      </c>
      <c r="B32" s="22" t="s">
        <v>113</v>
      </c>
      <c r="C32" s="22" t="s">
        <v>113</v>
      </c>
      <c r="D32" s="90">
        <v>3572512.94</v>
      </c>
    </row>
    <row r="33" spans="1:4" ht="18.75" customHeight="1">
      <c r="A33" s="387" t="s">
        <v>251</v>
      </c>
      <c r="B33" s="22" t="s">
        <v>113</v>
      </c>
      <c r="C33" s="22" t="s">
        <v>144</v>
      </c>
      <c r="D33" s="90">
        <v>8748003.06</v>
      </c>
    </row>
    <row r="34" spans="1:4" s="198" customFormat="1" ht="15.75">
      <c r="A34" s="392" t="s">
        <v>185</v>
      </c>
      <c r="B34" s="196" t="s">
        <v>140</v>
      </c>
      <c r="C34" s="196" t="s">
        <v>535</v>
      </c>
      <c r="D34" s="384">
        <f>D35+D36</f>
        <v>30778608.96</v>
      </c>
    </row>
    <row r="35" spans="1:4" ht="15.75">
      <c r="A35" s="393" t="s">
        <v>186</v>
      </c>
      <c r="B35" s="22" t="s">
        <v>140</v>
      </c>
      <c r="C35" s="22" t="s">
        <v>78</v>
      </c>
      <c r="D35" s="90">
        <v>29133328.88</v>
      </c>
    </row>
    <row r="36" spans="1:4" ht="15">
      <c r="A36" s="387" t="s">
        <v>289</v>
      </c>
      <c r="B36" s="22" t="s">
        <v>140</v>
      </c>
      <c r="C36" s="22" t="s">
        <v>97</v>
      </c>
      <c r="D36" s="90">
        <v>1645280.08</v>
      </c>
    </row>
    <row r="37" spans="1:4" s="198" customFormat="1" ht="14.25">
      <c r="A37" s="385" t="s">
        <v>476</v>
      </c>
      <c r="B37" s="196" t="s">
        <v>144</v>
      </c>
      <c r="C37" s="196" t="s">
        <v>535</v>
      </c>
      <c r="D37" s="384">
        <f>D38</f>
        <v>9200</v>
      </c>
    </row>
    <row r="38" spans="1:4" ht="15">
      <c r="A38" s="387" t="s">
        <v>477</v>
      </c>
      <c r="B38" s="22" t="s">
        <v>144</v>
      </c>
      <c r="C38" s="22" t="s">
        <v>113</v>
      </c>
      <c r="D38" s="90">
        <v>9200</v>
      </c>
    </row>
    <row r="39" spans="1:4" s="198" customFormat="1" ht="17.25" customHeight="1">
      <c r="A39" s="385" t="s">
        <v>189</v>
      </c>
      <c r="B39" s="196" t="s">
        <v>190</v>
      </c>
      <c r="C39" s="196" t="s">
        <v>535</v>
      </c>
      <c r="D39" s="384">
        <f>D40+D41+D42</f>
        <v>44493435.85</v>
      </c>
    </row>
    <row r="40" spans="1:4" ht="15">
      <c r="A40" s="387" t="s">
        <v>191</v>
      </c>
      <c r="B40" s="22" t="s">
        <v>190</v>
      </c>
      <c r="C40" s="22" t="s">
        <v>78</v>
      </c>
      <c r="D40" s="90">
        <v>273299.27</v>
      </c>
    </row>
    <row r="41" spans="1:4" ht="17.25" customHeight="1">
      <c r="A41" s="387" t="s">
        <v>203</v>
      </c>
      <c r="B41" s="22">
        <v>10</v>
      </c>
      <c r="C41" s="22" t="s">
        <v>87</v>
      </c>
      <c r="D41" s="90">
        <v>31615880.17</v>
      </c>
    </row>
    <row r="42" spans="1:4" ht="19.5" customHeight="1">
      <c r="A42" s="387" t="s">
        <v>254</v>
      </c>
      <c r="B42" s="22">
        <v>10</v>
      </c>
      <c r="C42" s="22" t="s">
        <v>97</v>
      </c>
      <c r="D42" s="90">
        <v>12604256.41</v>
      </c>
    </row>
    <row r="43" spans="1:4" s="198" customFormat="1" ht="14.25">
      <c r="A43" s="385" t="s">
        <v>209</v>
      </c>
      <c r="B43" s="196" t="s">
        <v>117</v>
      </c>
      <c r="C43" s="196" t="s">
        <v>535</v>
      </c>
      <c r="D43" s="384">
        <f>D44</f>
        <v>149905</v>
      </c>
    </row>
    <row r="44" spans="1:4" ht="15">
      <c r="A44" s="387" t="s">
        <v>210</v>
      </c>
      <c r="B44" s="22" t="s">
        <v>117</v>
      </c>
      <c r="C44" s="22" t="s">
        <v>78</v>
      </c>
      <c r="D44" s="90">
        <v>149905</v>
      </c>
    </row>
    <row r="45" spans="1:4" s="198" customFormat="1" ht="15" customHeight="1">
      <c r="A45" s="385" t="s">
        <v>212</v>
      </c>
      <c r="B45" s="196" t="s">
        <v>122</v>
      </c>
      <c r="C45" s="196" t="s">
        <v>535</v>
      </c>
      <c r="D45" s="384">
        <f>D46</f>
        <v>11390.57</v>
      </c>
    </row>
    <row r="46" spans="1:4" ht="21" customHeight="1">
      <c r="A46" s="387" t="s">
        <v>213</v>
      </c>
      <c r="B46" s="22" t="s">
        <v>122</v>
      </c>
      <c r="C46" s="22" t="s">
        <v>78</v>
      </c>
      <c r="D46" s="90">
        <v>11390.57</v>
      </c>
    </row>
    <row r="47" spans="1:4" s="198" customFormat="1" ht="25.5" customHeight="1">
      <c r="A47" s="394" t="s">
        <v>217</v>
      </c>
      <c r="B47" s="196" t="s">
        <v>218</v>
      </c>
      <c r="C47" s="196" t="s">
        <v>535</v>
      </c>
      <c r="D47" s="384">
        <f>D48</f>
        <v>7816058</v>
      </c>
    </row>
    <row r="48" spans="1:4" ht="24.75" customHeight="1">
      <c r="A48" s="166" t="s">
        <v>219</v>
      </c>
      <c r="B48" s="22" t="s">
        <v>218</v>
      </c>
      <c r="C48" s="22" t="s">
        <v>78</v>
      </c>
      <c r="D48" s="90">
        <v>7816058</v>
      </c>
    </row>
  </sheetData>
  <sheetProtection/>
  <mergeCells count="3">
    <mergeCell ref="B5:D5"/>
    <mergeCell ref="A6:D6"/>
    <mergeCell ref="B4:D4"/>
  </mergeCells>
  <hyperlinks>
    <hyperlink ref="A251" r:id="rId1" display="consultantplus://offline/ref=C6EF3AE28B6C46D1117CBBA251A07B11C6C7C5768D606C8B0E322DA1BBA42282C9440EEF08E6CC43400230U6VFM"/>
  </hyperlinks>
  <printOptions/>
  <pageMargins left="0.984251968503937" right="0" top="0.5118110236220472" bottom="0" header="0.31496062992125984" footer="0.31496062992125984"/>
  <pageSetup horizontalDpi="600" verticalDpi="600" orientation="portrait" paperSize="9" scale="8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B4" sqref="B4:C4"/>
    </sheetView>
  </sheetViews>
  <sheetFormatPr defaultColWidth="9.00390625" defaultRowHeight="12.75"/>
  <cols>
    <col min="1" max="1" width="22.125" style="365" customWidth="1"/>
    <col min="2" max="2" width="54.625" style="365" customWidth="1"/>
    <col min="3" max="3" width="13.125" style="365" customWidth="1"/>
    <col min="4" max="16384" width="9.125" style="365" customWidth="1"/>
  </cols>
  <sheetData>
    <row r="1" spans="2:3" ht="19.5" customHeight="1">
      <c r="B1" s="425" t="s">
        <v>1060</v>
      </c>
      <c r="C1" s="425"/>
    </row>
    <row r="2" spans="2:3" ht="15" customHeight="1">
      <c r="B2" s="426" t="s">
        <v>1061</v>
      </c>
      <c r="C2" s="426"/>
    </row>
    <row r="3" spans="1:4" ht="15" customHeight="1">
      <c r="A3" s="366"/>
      <c r="B3" s="441" t="s">
        <v>1116</v>
      </c>
      <c r="C3" s="441"/>
      <c r="D3" s="366"/>
    </row>
    <row r="4" spans="1:3" ht="23.25" customHeight="1">
      <c r="A4" s="200"/>
      <c r="B4" s="427" t="s">
        <v>659</v>
      </c>
      <c r="C4" s="427"/>
    </row>
    <row r="5" spans="1:3" ht="11.25" customHeight="1">
      <c r="A5" s="200"/>
      <c r="B5" s="200"/>
      <c r="C5" s="200"/>
    </row>
    <row r="6" spans="1:3" ht="33.75" customHeight="1">
      <c r="A6" s="424" t="s">
        <v>1062</v>
      </c>
      <c r="B6" s="424"/>
      <c r="C6" s="424"/>
    </row>
    <row r="7" spans="1:3" ht="10.5" customHeight="1">
      <c r="A7" s="404" t="s">
        <v>1063</v>
      </c>
      <c r="B7" s="404"/>
      <c r="C7" s="404"/>
    </row>
    <row r="8" spans="1:3" ht="9" customHeight="1">
      <c r="A8" s="364"/>
      <c r="B8" s="364"/>
      <c r="C8" s="364"/>
    </row>
    <row r="9" spans="1:3" ht="16.5" customHeight="1">
      <c r="A9" s="367"/>
      <c r="C9" s="368" t="s">
        <v>1064</v>
      </c>
    </row>
    <row r="10" spans="1:3" ht="54" customHeight="1">
      <c r="A10" s="369" t="s">
        <v>1065</v>
      </c>
      <c r="B10" s="369" t="s">
        <v>1066</v>
      </c>
      <c r="C10" s="369" t="s">
        <v>1067</v>
      </c>
    </row>
    <row r="11" spans="1:3" ht="16.5" customHeight="1">
      <c r="A11" s="369" t="s">
        <v>1068</v>
      </c>
      <c r="B11" s="369" t="s">
        <v>230</v>
      </c>
      <c r="C11" s="369" t="s">
        <v>69</v>
      </c>
    </row>
    <row r="12" spans="1:3" ht="21" customHeight="1">
      <c r="A12" s="370"/>
      <c r="B12" s="371" t="s">
        <v>1069</v>
      </c>
      <c r="C12" s="372">
        <v>-530010.02</v>
      </c>
    </row>
    <row r="13" spans="1:3" ht="27" customHeight="1">
      <c r="A13" s="373" t="s">
        <v>1070</v>
      </c>
      <c r="B13" s="374" t="s">
        <v>1071</v>
      </c>
      <c r="C13" s="375">
        <v>2911036</v>
      </c>
    </row>
    <row r="14" spans="1:3" ht="27" customHeight="1">
      <c r="A14" s="373" t="s">
        <v>1072</v>
      </c>
      <c r="B14" s="376" t="s">
        <v>1073</v>
      </c>
      <c r="C14" s="375">
        <v>2537000</v>
      </c>
    </row>
    <row r="15" spans="1:3" ht="26.25" customHeight="1">
      <c r="A15" s="373" t="s">
        <v>1074</v>
      </c>
      <c r="B15" s="376" t="s">
        <v>1075</v>
      </c>
      <c r="C15" s="375">
        <v>2537000</v>
      </c>
    </row>
    <row r="16" spans="1:3" ht="26.25" customHeight="1">
      <c r="A16" s="373" t="s">
        <v>1076</v>
      </c>
      <c r="B16" s="376" t="s">
        <v>1077</v>
      </c>
      <c r="C16" s="375">
        <v>13537000</v>
      </c>
    </row>
    <row r="17" spans="1:3" ht="36" customHeight="1">
      <c r="A17" s="373" t="s">
        <v>1078</v>
      </c>
      <c r="B17" s="376" t="s">
        <v>1079</v>
      </c>
      <c r="C17" s="375">
        <v>13537000</v>
      </c>
    </row>
    <row r="18" spans="1:3" ht="37.5" customHeight="1">
      <c r="A18" s="373" t="s">
        <v>1080</v>
      </c>
      <c r="B18" s="376" t="s">
        <v>1081</v>
      </c>
      <c r="C18" s="375">
        <v>-11000000</v>
      </c>
    </row>
    <row r="19" spans="1:3" ht="34.5" customHeight="1">
      <c r="A19" s="373" t="s">
        <v>1082</v>
      </c>
      <c r="B19" s="376" t="s">
        <v>1083</v>
      </c>
      <c r="C19" s="375">
        <v>-11000000</v>
      </c>
    </row>
    <row r="20" spans="1:3" ht="18" customHeight="1">
      <c r="A20" s="373" t="s">
        <v>1084</v>
      </c>
      <c r="B20" s="374" t="s">
        <v>1085</v>
      </c>
      <c r="C20" s="375">
        <v>374036</v>
      </c>
    </row>
    <row r="21" spans="1:3" ht="24" customHeight="1">
      <c r="A21" s="373" t="s">
        <v>1086</v>
      </c>
      <c r="B21" s="376" t="s">
        <v>1087</v>
      </c>
      <c r="C21" s="375">
        <v>374036</v>
      </c>
    </row>
    <row r="22" spans="1:3" ht="24" customHeight="1">
      <c r="A22" s="373" t="s">
        <v>1088</v>
      </c>
      <c r="B22" s="376" t="s">
        <v>1089</v>
      </c>
      <c r="C22" s="375">
        <v>374036</v>
      </c>
    </row>
    <row r="23" spans="1:3" ht="36" customHeight="1">
      <c r="A23" s="373" t="s">
        <v>1090</v>
      </c>
      <c r="B23" s="376" t="s">
        <v>1091</v>
      </c>
      <c r="C23" s="375">
        <v>374036</v>
      </c>
    </row>
    <row r="24" spans="1:3" ht="35.25" customHeight="1">
      <c r="A24" s="373" t="s">
        <v>1092</v>
      </c>
      <c r="B24" s="376" t="s">
        <v>1093</v>
      </c>
      <c r="C24" s="375">
        <v>374036</v>
      </c>
    </row>
    <row r="25" spans="1:3" ht="15.75" customHeight="1">
      <c r="A25" s="373" t="s">
        <v>1070</v>
      </c>
      <c r="B25" s="374" t="s">
        <v>1094</v>
      </c>
      <c r="C25" s="375">
        <v>-3441046.02</v>
      </c>
    </row>
    <row r="26" spans="1:3" ht="15.75" customHeight="1">
      <c r="A26" s="373" t="s">
        <v>1095</v>
      </c>
      <c r="B26" s="374" t="s">
        <v>1096</v>
      </c>
      <c r="C26" s="375">
        <v>-533527746.02</v>
      </c>
    </row>
    <row r="27" spans="1:3" ht="17.25" customHeight="1">
      <c r="A27" s="373" t="s">
        <v>1097</v>
      </c>
      <c r="B27" s="374" t="s">
        <v>1098</v>
      </c>
      <c r="C27" s="375">
        <v>-533527746.02</v>
      </c>
    </row>
    <row r="28" spans="1:3" ht="17.25" customHeight="1">
      <c r="A28" s="373" t="s">
        <v>1099</v>
      </c>
      <c r="B28" s="374" t="s">
        <v>1100</v>
      </c>
      <c r="C28" s="375">
        <v>-533527746.02</v>
      </c>
    </row>
    <row r="29" spans="1:3" ht="15.75" customHeight="1">
      <c r="A29" s="373" t="s">
        <v>1101</v>
      </c>
      <c r="B29" s="374" t="s">
        <v>1102</v>
      </c>
      <c r="C29" s="375">
        <v>-533527746.02</v>
      </c>
    </row>
    <row r="30" spans="1:3" ht="24" customHeight="1">
      <c r="A30" s="373" t="s">
        <v>1103</v>
      </c>
      <c r="B30" s="376" t="s">
        <v>1104</v>
      </c>
      <c r="C30" s="375">
        <v>-533527746.02</v>
      </c>
    </row>
    <row r="31" spans="1:3" ht="17.25" customHeight="1">
      <c r="A31" s="373" t="s">
        <v>1105</v>
      </c>
      <c r="B31" s="374" t="s">
        <v>1106</v>
      </c>
      <c r="C31" s="375">
        <v>530086700</v>
      </c>
    </row>
    <row r="32" spans="1:3" ht="16.5" customHeight="1">
      <c r="A32" s="373" t="s">
        <v>1107</v>
      </c>
      <c r="B32" s="374" t="s">
        <v>1108</v>
      </c>
      <c r="C32" s="375">
        <v>530086700</v>
      </c>
    </row>
    <row r="33" spans="1:3" ht="15">
      <c r="A33" s="373" t="s">
        <v>1109</v>
      </c>
      <c r="B33" s="374" t="s">
        <v>1110</v>
      </c>
      <c r="C33" s="375">
        <v>530086700</v>
      </c>
    </row>
    <row r="34" spans="1:3" ht="15">
      <c r="A34" s="373" t="s">
        <v>1111</v>
      </c>
      <c r="B34" s="374" t="s">
        <v>1112</v>
      </c>
      <c r="C34" s="375">
        <v>530086700</v>
      </c>
    </row>
    <row r="35" spans="1:3" ht="24">
      <c r="A35" s="373" t="s">
        <v>1113</v>
      </c>
      <c r="B35" s="377" t="s">
        <v>1114</v>
      </c>
      <c r="C35" s="375">
        <v>530086700</v>
      </c>
    </row>
  </sheetData>
  <sheetProtection/>
  <mergeCells count="6">
    <mergeCell ref="A6:C6"/>
    <mergeCell ref="B1:C1"/>
    <mergeCell ref="B2:C2"/>
    <mergeCell ref="B3:C3"/>
    <mergeCell ref="B4:C4"/>
    <mergeCell ref="A7:C7"/>
  </mergeCells>
  <printOptions/>
  <pageMargins left="0.984251968503937" right="0" top="0.5905511811023623" bottom="0.35433070866141736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2"/>
  <sheetViews>
    <sheetView tabSelected="1" zoomScalePageLayoutView="0" workbookViewId="0" topLeftCell="A1">
      <selection activeCell="B4" sqref="B4:E4"/>
    </sheetView>
  </sheetViews>
  <sheetFormatPr defaultColWidth="9.00390625" defaultRowHeight="12.75"/>
  <cols>
    <col min="1" max="1" width="68.625" style="1" customWidth="1"/>
    <col min="2" max="2" width="16.625" style="51" customWidth="1"/>
    <col min="3" max="3" width="6.00390625" style="53" customWidth="1"/>
    <col min="4" max="4" width="20.125" style="81" hidden="1" customWidth="1"/>
    <col min="5" max="5" width="20.125" style="81" customWidth="1"/>
    <col min="6" max="6" width="18.125" style="5" customWidth="1"/>
    <col min="7" max="7" width="13.75390625" style="5" customWidth="1"/>
    <col min="8" max="8" width="18.375" style="5" customWidth="1"/>
    <col min="9" max="16384" width="9.125" style="5" customWidth="1"/>
  </cols>
  <sheetData>
    <row r="1" spans="2:10" ht="27.75" customHeight="1">
      <c r="B1" s="439" t="s">
        <v>644</v>
      </c>
      <c r="C1" s="439"/>
      <c r="D1" s="439"/>
      <c r="E1" s="439"/>
      <c r="F1" s="190"/>
      <c r="G1" s="190"/>
      <c r="H1" s="54"/>
      <c r="I1" s="54"/>
      <c r="J1" s="54"/>
    </row>
    <row r="2" spans="2:10" ht="15.75" customHeight="1">
      <c r="B2" s="419" t="s">
        <v>647</v>
      </c>
      <c r="C2" s="419"/>
      <c r="D2" s="419"/>
      <c r="E2" s="419"/>
      <c r="F2" s="192"/>
      <c r="G2" s="192"/>
      <c r="H2" s="192"/>
      <c r="I2" s="192"/>
      <c r="J2" s="192"/>
    </row>
    <row r="3" spans="2:10" ht="15" customHeight="1">
      <c r="B3" s="417" t="s">
        <v>61</v>
      </c>
      <c r="C3" s="417"/>
      <c r="D3" s="417"/>
      <c r="E3" s="417"/>
      <c r="F3" s="193"/>
      <c r="G3" s="193"/>
      <c r="H3" s="193"/>
      <c r="I3" s="193"/>
      <c r="J3" s="193"/>
    </row>
    <row r="4" spans="1:10" ht="18.75" customHeight="1">
      <c r="A4" s="8"/>
      <c r="B4" s="441" t="s">
        <v>1115</v>
      </c>
      <c r="C4" s="441"/>
      <c r="D4" s="441"/>
      <c r="E4" s="441"/>
      <c r="F4" s="193"/>
      <c r="G4" s="193"/>
      <c r="H4" s="54"/>
      <c r="I4" s="54"/>
      <c r="J4" s="54"/>
    </row>
    <row r="5" spans="1:10" ht="48" customHeight="1">
      <c r="A5" s="9"/>
      <c r="B5" s="440" t="s">
        <v>649</v>
      </c>
      <c r="C5" s="440"/>
      <c r="D5" s="440"/>
      <c r="E5" s="440"/>
      <c r="F5" s="191"/>
      <c r="G5" s="191"/>
      <c r="H5" s="191"/>
      <c r="I5" s="191"/>
      <c r="J5" s="191"/>
    </row>
    <row r="6" spans="1:11" ht="15" customHeight="1">
      <c r="A6" s="9"/>
      <c r="B6" s="191"/>
      <c r="C6" s="191"/>
      <c r="D6" s="191"/>
      <c r="E6" s="191"/>
      <c r="F6" s="191"/>
      <c r="G6" s="191"/>
      <c r="H6" s="191"/>
      <c r="I6" s="191"/>
      <c r="J6" s="191"/>
      <c r="K6" s="10"/>
    </row>
    <row r="7" spans="2:9" ht="7.5" customHeight="1">
      <c r="B7" s="71"/>
      <c r="C7" s="184"/>
      <c r="D7" s="82"/>
      <c r="E7" s="82"/>
      <c r="F7" s="95"/>
      <c r="G7" s="1"/>
      <c r="H7" s="1"/>
      <c r="I7" s="1"/>
    </row>
    <row r="8" spans="1:11" ht="42.75" customHeight="1">
      <c r="A8" s="438" t="s">
        <v>645</v>
      </c>
      <c r="B8" s="438"/>
      <c r="C8" s="438"/>
      <c r="D8" s="438"/>
      <c r="E8" s="438"/>
      <c r="F8" s="438"/>
      <c r="G8" s="438"/>
      <c r="H8" s="438"/>
      <c r="I8" s="438"/>
      <c r="J8" s="438"/>
      <c r="K8" s="438"/>
    </row>
    <row r="9" spans="3:5" ht="17.25" customHeight="1" thickBot="1">
      <c r="C9" s="72"/>
      <c r="D9" s="14"/>
      <c r="E9" s="14" t="s">
        <v>404</v>
      </c>
    </row>
    <row r="10" spans="1:6" ht="27" customHeight="1">
      <c r="A10" s="428" t="s">
        <v>62</v>
      </c>
      <c r="B10" s="430" t="s">
        <v>66</v>
      </c>
      <c r="C10" s="432" t="s">
        <v>67</v>
      </c>
      <c r="D10" s="434" t="s">
        <v>229</v>
      </c>
      <c r="E10" s="436" t="s">
        <v>646</v>
      </c>
      <c r="F10" s="6"/>
    </row>
    <row r="11" spans="1:5" ht="3.75" customHeight="1" thickBot="1">
      <c r="A11" s="429"/>
      <c r="B11" s="431"/>
      <c r="C11" s="433"/>
      <c r="D11" s="435"/>
      <c r="E11" s="437"/>
    </row>
    <row r="12" spans="1:6" s="19" customFormat="1" ht="12.75" customHeight="1">
      <c r="A12" s="79">
        <v>1</v>
      </c>
      <c r="B12" s="80" t="s">
        <v>230</v>
      </c>
      <c r="C12" s="80" t="s">
        <v>69</v>
      </c>
      <c r="D12" s="129" t="s">
        <v>70</v>
      </c>
      <c r="E12" s="129" t="s">
        <v>70</v>
      </c>
      <c r="F12" s="73"/>
    </row>
    <row r="13" spans="1:6" s="89" customFormat="1" ht="20.25">
      <c r="A13" s="41" t="s">
        <v>74</v>
      </c>
      <c r="B13" s="22"/>
      <c r="C13" s="158"/>
      <c r="D13" s="84">
        <f>D14+D51+D100+D186+D193+D198+D209+D251+D283+D288+D296+D317+D346+D355+D364+D396+D402+D406+D412+D418+D427+D432+D457+D465+D382++D332+D387+D462</f>
        <v>521540668.56999993</v>
      </c>
      <c r="E13" s="84">
        <f>E14+E51+E100+E186+E193+E198+E209+E251+E283+E288+E296+E317+E346+E355+E364+E396+E402+E406+E412+E418+E427+E432+E457+E465+E382++E332+E387+E462</f>
        <v>515622252.89000005</v>
      </c>
      <c r="F13" s="159"/>
    </row>
    <row r="14" spans="1:7" ht="34.5" customHeight="1">
      <c r="A14" s="21" t="s">
        <v>187</v>
      </c>
      <c r="B14" s="22" t="s">
        <v>239</v>
      </c>
      <c r="C14" s="24"/>
      <c r="D14" s="84">
        <f>D15+D29+D37</f>
        <v>32494820.66</v>
      </c>
      <c r="E14" s="84">
        <f>E15+E29+E37</f>
        <v>32054262.96</v>
      </c>
      <c r="G14" s="20"/>
    </row>
    <row r="15" spans="1:5" ht="30" customHeight="1">
      <c r="A15" s="59" t="s">
        <v>284</v>
      </c>
      <c r="B15" s="43" t="s">
        <v>27</v>
      </c>
      <c r="C15" s="44"/>
      <c r="D15" s="83">
        <f>D16</f>
        <v>20672370.66</v>
      </c>
      <c r="E15" s="83">
        <f>E16</f>
        <v>20364750.720000003</v>
      </c>
    </row>
    <row r="16" spans="1:5" ht="39" customHeight="1">
      <c r="A16" s="109" t="s">
        <v>400</v>
      </c>
      <c r="B16" s="22" t="s">
        <v>28</v>
      </c>
      <c r="C16" s="44"/>
      <c r="D16" s="84">
        <f>D17+D21+D25+D19</f>
        <v>20672370.66</v>
      </c>
      <c r="E16" s="84">
        <f>E17+E21+E25+E19</f>
        <v>20364750.720000003</v>
      </c>
    </row>
    <row r="17" spans="1:5" ht="15.75" hidden="1">
      <c r="A17" s="30" t="s">
        <v>286</v>
      </c>
      <c r="B17" s="36" t="s">
        <v>240</v>
      </c>
      <c r="C17" s="24"/>
      <c r="D17" s="84">
        <f>D18</f>
        <v>0</v>
      </c>
      <c r="E17" s="84">
        <f>E18</f>
        <v>0</v>
      </c>
    </row>
    <row r="18" spans="1:5" ht="26.25" hidden="1">
      <c r="A18" s="28" t="s">
        <v>39</v>
      </c>
      <c r="B18" s="36" t="s">
        <v>240</v>
      </c>
      <c r="C18" s="24" t="s">
        <v>92</v>
      </c>
      <c r="D18" s="84"/>
      <c r="E18" s="84"/>
    </row>
    <row r="19" spans="1:5" ht="15.75" hidden="1">
      <c r="A19" s="42" t="s">
        <v>466</v>
      </c>
      <c r="B19" s="36" t="s">
        <v>467</v>
      </c>
      <c r="C19" s="24"/>
      <c r="D19" s="84">
        <f>D20</f>
        <v>0</v>
      </c>
      <c r="E19" s="84">
        <f>E20</f>
        <v>0</v>
      </c>
    </row>
    <row r="20" spans="1:5" ht="26.25" hidden="1">
      <c r="A20" s="28" t="s">
        <v>39</v>
      </c>
      <c r="B20" s="36" t="s">
        <v>467</v>
      </c>
      <c r="C20" s="24" t="s">
        <v>92</v>
      </c>
      <c r="D20" s="84"/>
      <c r="E20" s="84"/>
    </row>
    <row r="21" spans="1:5" ht="18" customHeight="1">
      <c r="A21" s="21" t="s">
        <v>130</v>
      </c>
      <c r="B21" s="36" t="s">
        <v>241</v>
      </c>
      <c r="C21" s="24"/>
      <c r="D21" s="84">
        <f>D22+D23+D24+D27</f>
        <v>20672370.66</v>
      </c>
      <c r="E21" s="84">
        <f>E22+E23+E24+E27</f>
        <v>20364750.720000003</v>
      </c>
    </row>
    <row r="22" spans="1:5" ht="39.75" customHeight="1">
      <c r="A22" s="28" t="s">
        <v>84</v>
      </c>
      <c r="B22" s="36" t="s">
        <v>241</v>
      </c>
      <c r="C22" s="24" t="s">
        <v>85</v>
      </c>
      <c r="D22" s="26">
        <f>10146400+14000-82000</f>
        <v>10078400</v>
      </c>
      <c r="E22" s="26">
        <v>10032669.33</v>
      </c>
    </row>
    <row r="23" spans="1:5" ht="27" customHeight="1">
      <c r="A23" s="28" t="s">
        <v>39</v>
      </c>
      <c r="B23" s="36" t="s">
        <v>241</v>
      </c>
      <c r="C23" s="24" t="s">
        <v>92</v>
      </c>
      <c r="D23" s="26">
        <f>3017674+35251.9+20669.76+1100000+5000000+655000+523025+70000+37850+70000</f>
        <v>10529470.66</v>
      </c>
      <c r="E23" s="26">
        <v>10274930.98</v>
      </c>
    </row>
    <row r="24" spans="1:5" ht="16.5" customHeight="1">
      <c r="A24" s="38" t="s">
        <v>93</v>
      </c>
      <c r="B24" s="36" t="s">
        <v>241</v>
      </c>
      <c r="C24" s="24" t="s">
        <v>94</v>
      </c>
      <c r="D24" s="26">
        <v>64500</v>
      </c>
      <c r="E24" s="26">
        <v>57150.41</v>
      </c>
    </row>
    <row r="25" spans="1:5" ht="15.75" hidden="1">
      <c r="A25" s="38" t="s">
        <v>287</v>
      </c>
      <c r="B25" s="36" t="s">
        <v>26</v>
      </c>
      <c r="C25" s="24"/>
      <c r="D25" s="84">
        <f>D26</f>
        <v>0</v>
      </c>
      <c r="E25" s="84">
        <f>E26</f>
        <v>0</v>
      </c>
    </row>
    <row r="26" spans="1:5" ht="30" customHeight="1" hidden="1">
      <c r="A26" s="28" t="s">
        <v>39</v>
      </c>
      <c r="B26" s="36" t="s">
        <v>26</v>
      </c>
      <c r="C26" s="24" t="s">
        <v>92</v>
      </c>
      <c r="D26" s="84"/>
      <c r="E26" s="84"/>
    </row>
    <row r="27" spans="1:5" ht="0.75" customHeight="1" hidden="1">
      <c r="A27" s="42" t="s">
        <v>464</v>
      </c>
      <c r="B27" s="22" t="s">
        <v>463</v>
      </c>
      <c r="C27" s="24"/>
      <c r="D27" s="86">
        <f>D28</f>
        <v>0</v>
      </c>
      <c r="E27" s="86">
        <f>E28</f>
        <v>0</v>
      </c>
    </row>
    <row r="28" spans="1:5" ht="26.25" hidden="1">
      <c r="A28" s="28" t="s">
        <v>39</v>
      </c>
      <c r="B28" s="22" t="s">
        <v>463</v>
      </c>
      <c r="C28" s="24" t="s">
        <v>92</v>
      </c>
      <c r="D28" s="86"/>
      <c r="E28" s="86"/>
    </row>
    <row r="29" spans="1:5" ht="30.75" customHeight="1">
      <c r="A29" s="59" t="s">
        <v>188</v>
      </c>
      <c r="B29" s="61" t="s">
        <v>30</v>
      </c>
      <c r="C29" s="44"/>
      <c r="D29" s="83">
        <f>D30</f>
        <v>8862288</v>
      </c>
      <c r="E29" s="83">
        <f>E30</f>
        <v>8768578.159999998</v>
      </c>
    </row>
    <row r="30" spans="1:5" ht="28.5" customHeight="1">
      <c r="A30" s="30" t="s">
        <v>31</v>
      </c>
      <c r="B30" s="36" t="s">
        <v>315</v>
      </c>
      <c r="C30" s="24"/>
      <c r="D30" s="84">
        <f>D31+D36</f>
        <v>8862288</v>
      </c>
      <c r="E30" s="84">
        <f>E31+E36</f>
        <v>8768578.159999998</v>
      </c>
    </row>
    <row r="31" spans="1:5" ht="26.25">
      <c r="A31" s="21" t="s">
        <v>130</v>
      </c>
      <c r="B31" s="36" t="s">
        <v>316</v>
      </c>
      <c r="C31" s="24"/>
      <c r="D31" s="84">
        <f>D32+D33+D34</f>
        <v>8862288</v>
      </c>
      <c r="E31" s="84">
        <f>E32+E33+E34</f>
        <v>8768578.159999998</v>
      </c>
    </row>
    <row r="32" spans="1:5" ht="39.75" customHeight="1">
      <c r="A32" s="28" t="s">
        <v>84</v>
      </c>
      <c r="B32" s="36" t="s">
        <v>316</v>
      </c>
      <c r="C32" s="24" t="s">
        <v>85</v>
      </c>
      <c r="D32" s="26">
        <f>6546100+1977000-152000</f>
        <v>8371100</v>
      </c>
      <c r="E32" s="26">
        <v>8305044.489999999</v>
      </c>
    </row>
    <row r="33" spans="1:5" ht="26.25">
      <c r="A33" s="28" t="s">
        <v>39</v>
      </c>
      <c r="B33" s="36" t="s">
        <v>316</v>
      </c>
      <c r="C33" s="24" t="s">
        <v>92</v>
      </c>
      <c r="D33" s="26">
        <f>8000+125700+14400+51000+121900+148000+14188</f>
        <v>483188</v>
      </c>
      <c r="E33" s="26">
        <v>460947.39</v>
      </c>
    </row>
    <row r="34" spans="1:5" ht="15" customHeight="1">
      <c r="A34" s="38" t="s">
        <v>93</v>
      </c>
      <c r="B34" s="36" t="s">
        <v>316</v>
      </c>
      <c r="C34" s="24" t="s">
        <v>94</v>
      </c>
      <c r="D34" s="26">
        <f>1000+1000+1000+5000</f>
        <v>8000</v>
      </c>
      <c r="E34" s="26">
        <v>2586.28</v>
      </c>
    </row>
    <row r="35" spans="1:5" ht="15.75" customHeight="1" hidden="1">
      <c r="A35" s="38" t="s">
        <v>288</v>
      </c>
      <c r="B35" s="36" t="s">
        <v>317</v>
      </c>
      <c r="C35" s="24"/>
      <c r="D35" s="26">
        <f>D36</f>
        <v>0</v>
      </c>
      <c r="E35" s="26">
        <f>E36</f>
        <v>0</v>
      </c>
    </row>
    <row r="36" spans="1:5" ht="30.75" customHeight="1" hidden="1">
      <c r="A36" s="28" t="s">
        <v>39</v>
      </c>
      <c r="B36" s="36" t="s">
        <v>317</v>
      </c>
      <c r="C36" s="24" t="s">
        <v>92</v>
      </c>
      <c r="D36" s="26">
        <f>20000-20000</f>
        <v>0</v>
      </c>
      <c r="E36" s="26">
        <f>20000-20000</f>
        <v>0</v>
      </c>
    </row>
    <row r="37" spans="1:5" ht="42" customHeight="1">
      <c r="A37" s="59" t="s">
        <v>290</v>
      </c>
      <c r="B37" s="43" t="s">
        <v>32</v>
      </c>
      <c r="C37" s="44"/>
      <c r="D37" s="87">
        <f>D38+D43+D46</f>
        <v>2960162</v>
      </c>
      <c r="E37" s="87">
        <f>E38+E43+E46</f>
        <v>2920934.08</v>
      </c>
    </row>
    <row r="38" spans="1:5" ht="28.5" customHeight="1">
      <c r="A38" s="145" t="s">
        <v>405</v>
      </c>
      <c r="B38" s="22" t="s">
        <v>34</v>
      </c>
      <c r="C38" s="24"/>
      <c r="D38" s="84">
        <f>D39</f>
        <v>1634800</v>
      </c>
      <c r="E38" s="84">
        <f>E39</f>
        <v>1595572.08</v>
      </c>
    </row>
    <row r="39" spans="1:5" ht="26.25" customHeight="1">
      <c r="A39" s="21" t="s">
        <v>130</v>
      </c>
      <c r="B39" s="22" t="s">
        <v>33</v>
      </c>
      <c r="C39" s="24"/>
      <c r="D39" s="84">
        <f>D40+D41+D42</f>
        <v>1634800</v>
      </c>
      <c r="E39" s="84">
        <f>E40+E41+E42</f>
        <v>1595572.08</v>
      </c>
    </row>
    <row r="40" spans="1:5" ht="26.25" customHeight="1">
      <c r="A40" s="28" t="s">
        <v>84</v>
      </c>
      <c r="B40" s="22" t="s">
        <v>33</v>
      </c>
      <c r="C40" s="24" t="s">
        <v>85</v>
      </c>
      <c r="D40" s="26">
        <f>849900+256700+52000+130000</f>
        <v>1288600</v>
      </c>
      <c r="E40" s="26">
        <v>1284228.1400000001</v>
      </c>
    </row>
    <row r="41" spans="1:5" ht="27.75" customHeight="1">
      <c r="A41" s="28" t="s">
        <v>39</v>
      </c>
      <c r="B41" s="22" t="s">
        <v>33</v>
      </c>
      <c r="C41" s="24" t="s">
        <v>92</v>
      </c>
      <c r="D41" s="26">
        <f>39500+46500+3000+130300+5000+59000+16400+36000+4500</f>
        <v>340200</v>
      </c>
      <c r="E41" s="26">
        <v>311343.91</v>
      </c>
    </row>
    <row r="42" spans="1:5" ht="18.75" customHeight="1">
      <c r="A42" s="38" t="s">
        <v>93</v>
      </c>
      <c r="B42" s="22" t="s">
        <v>33</v>
      </c>
      <c r="C42" s="24" t="s">
        <v>94</v>
      </c>
      <c r="D42" s="26">
        <f>1000+5000</f>
        <v>6000</v>
      </c>
      <c r="E42" s="26">
        <v>0.03</v>
      </c>
    </row>
    <row r="43" spans="1:5" ht="42.75" customHeight="1">
      <c r="A43" s="146" t="s">
        <v>407</v>
      </c>
      <c r="B43" s="22" t="s">
        <v>408</v>
      </c>
      <c r="C43" s="24"/>
      <c r="D43" s="84">
        <f>D45</f>
        <v>49708</v>
      </c>
      <c r="E43" s="84">
        <f>E45</f>
        <v>49708</v>
      </c>
    </row>
    <row r="44" spans="1:5" ht="41.25" customHeight="1">
      <c r="A44" s="27" t="s">
        <v>291</v>
      </c>
      <c r="B44" s="22" t="s">
        <v>409</v>
      </c>
      <c r="C44" s="24"/>
      <c r="D44" s="84">
        <f>D45</f>
        <v>49708</v>
      </c>
      <c r="E44" s="84">
        <f>E45</f>
        <v>49708</v>
      </c>
    </row>
    <row r="45" spans="1:5" ht="46.5" customHeight="1">
      <c r="A45" s="28" t="s">
        <v>84</v>
      </c>
      <c r="B45" s="22" t="s">
        <v>409</v>
      </c>
      <c r="C45" s="24" t="s">
        <v>85</v>
      </c>
      <c r="D45" s="26">
        <f>28562+8626+12520</f>
        <v>49708</v>
      </c>
      <c r="E45" s="26">
        <v>49708</v>
      </c>
    </row>
    <row r="46" spans="1:5" ht="30.75" customHeight="1">
      <c r="A46" s="137" t="s">
        <v>318</v>
      </c>
      <c r="B46" s="22" t="s">
        <v>35</v>
      </c>
      <c r="C46" s="24"/>
      <c r="D46" s="84">
        <f>D47</f>
        <v>1275654</v>
      </c>
      <c r="E46" s="84">
        <f>E47</f>
        <v>1275654</v>
      </c>
    </row>
    <row r="47" spans="1:5" ht="30" customHeight="1">
      <c r="A47" s="31" t="s">
        <v>292</v>
      </c>
      <c r="B47" s="32" t="s">
        <v>406</v>
      </c>
      <c r="C47" s="24"/>
      <c r="D47" s="83">
        <f>D48</f>
        <v>1275654</v>
      </c>
      <c r="E47" s="83">
        <f>E48</f>
        <v>1275654</v>
      </c>
    </row>
    <row r="48" spans="1:5" ht="18" customHeight="1">
      <c r="A48" s="38" t="s">
        <v>136</v>
      </c>
      <c r="B48" s="32" t="s">
        <v>406</v>
      </c>
      <c r="C48" s="24" t="s">
        <v>137</v>
      </c>
      <c r="D48" s="26">
        <f>1275654</f>
        <v>1275654</v>
      </c>
      <c r="E48" s="26">
        <v>1275654</v>
      </c>
    </row>
    <row r="49" spans="1:5" ht="16.5" customHeight="1" hidden="1">
      <c r="A49" s="152" t="s">
        <v>231</v>
      </c>
      <c r="B49" s="22" t="s">
        <v>232</v>
      </c>
      <c r="C49" s="24"/>
      <c r="D49" s="84">
        <f>D50</f>
        <v>0</v>
      </c>
      <c r="E49" s="84">
        <f>E50</f>
        <v>0</v>
      </c>
    </row>
    <row r="50" spans="1:5" ht="15.75" customHeight="1" hidden="1">
      <c r="A50" s="28" t="s">
        <v>91</v>
      </c>
      <c r="B50" s="22" t="s">
        <v>232</v>
      </c>
      <c r="C50" s="24" t="s">
        <v>92</v>
      </c>
      <c r="D50" s="84"/>
      <c r="E50" s="84"/>
    </row>
    <row r="51" spans="1:5" ht="30.75" customHeight="1">
      <c r="A51" s="21" t="s">
        <v>551</v>
      </c>
      <c r="B51" s="22" t="s">
        <v>356</v>
      </c>
      <c r="C51" s="24"/>
      <c r="D51" s="84">
        <f>D52+D75+D88</f>
        <v>25378909</v>
      </c>
      <c r="E51" s="84">
        <f>E52+E75+E88</f>
        <v>24719440.150000002</v>
      </c>
    </row>
    <row r="52" spans="1:5" ht="54.75" customHeight="1">
      <c r="A52" s="70" t="s">
        <v>552</v>
      </c>
      <c r="B52" s="43" t="s">
        <v>387</v>
      </c>
      <c r="C52" s="44"/>
      <c r="D52" s="83">
        <f>D53+D69+D72</f>
        <v>13316153</v>
      </c>
      <c r="E52" s="83">
        <f>E53+E69+E72</f>
        <v>12737270.850000001</v>
      </c>
    </row>
    <row r="53" spans="1:5" ht="30" customHeight="1">
      <c r="A53" s="101" t="s">
        <v>192</v>
      </c>
      <c r="B53" s="22" t="s">
        <v>389</v>
      </c>
      <c r="C53" s="24"/>
      <c r="D53" s="26">
        <f>D54+D57+D60+D63+D66</f>
        <v>13025853</v>
      </c>
      <c r="E53" s="26">
        <f>E54+E57+E60+E63+E66</f>
        <v>12451971.580000002</v>
      </c>
    </row>
    <row r="54" spans="1:5" ht="15">
      <c r="A54" s="21" t="s">
        <v>204</v>
      </c>
      <c r="B54" s="22" t="s">
        <v>391</v>
      </c>
      <c r="C54" s="24"/>
      <c r="D54" s="26">
        <f>D56+D55</f>
        <v>1912985</v>
      </c>
      <c r="E54" s="26">
        <f>E56+E55</f>
        <v>1374964.4100000001</v>
      </c>
    </row>
    <row r="55" spans="1:5" ht="27" customHeight="1">
      <c r="A55" s="28" t="s">
        <v>39</v>
      </c>
      <c r="B55" s="22" t="s">
        <v>391</v>
      </c>
      <c r="C55" s="24" t="s">
        <v>92</v>
      </c>
      <c r="D55" s="26">
        <f>570-270</f>
        <v>300</v>
      </c>
      <c r="E55" s="26">
        <v>166.43</v>
      </c>
    </row>
    <row r="56" spans="1:5" ht="19.5" customHeight="1">
      <c r="A56" s="33" t="s">
        <v>136</v>
      </c>
      <c r="B56" s="22" t="s">
        <v>391</v>
      </c>
      <c r="C56" s="24" t="s">
        <v>137</v>
      </c>
      <c r="D56" s="26">
        <f>1910237+2448</f>
        <v>1912685</v>
      </c>
      <c r="E56" s="26">
        <v>1374797.9800000002</v>
      </c>
    </row>
    <row r="57" spans="1:5" ht="26.25">
      <c r="A57" s="27" t="s">
        <v>205</v>
      </c>
      <c r="B57" s="22" t="s">
        <v>194</v>
      </c>
      <c r="C57" s="24"/>
      <c r="D57" s="26">
        <f>D59+D58</f>
        <v>70994</v>
      </c>
      <c r="E57" s="26">
        <f>E59+E58</f>
        <v>63921.26999999999</v>
      </c>
    </row>
    <row r="58" spans="1:5" ht="30.75" customHeight="1">
      <c r="A58" s="28" t="s">
        <v>39</v>
      </c>
      <c r="B58" s="22" t="s">
        <v>194</v>
      </c>
      <c r="C58" s="24" t="s">
        <v>92</v>
      </c>
      <c r="D58" s="26">
        <f>880+780-560</f>
        <v>1100</v>
      </c>
      <c r="E58" s="26">
        <v>1028.3700000000001</v>
      </c>
    </row>
    <row r="59" spans="1:5" ht="17.25" customHeight="1">
      <c r="A59" s="33" t="s">
        <v>136</v>
      </c>
      <c r="B59" s="22" t="s">
        <v>194</v>
      </c>
      <c r="C59" s="24" t="s">
        <v>137</v>
      </c>
      <c r="D59" s="26">
        <f>69334+560</f>
        <v>69894</v>
      </c>
      <c r="E59" s="26">
        <v>62892.89999999999</v>
      </c>
    </row>
    <row r="60" spans="1:5" ht="29.25" customHeight="1">
      <c r="A60" s="27" t="s">
        <v>206</v>
      </c>
      <c r="B60" s="22" t="s">
        <v>195</v>
      </c>
      <c r="C60" s="24"/>
      <c r="D60" s="26">
        <f>D62+D61</f>
        <v>299608</v>
      </c>
      <c r="E60" s="26">
        <f>E62+E61</f>
        <v>295097.02</v>
      </c>
    </row>
    <row r="61" spans="1:5" ht="31.5" customHeight="1">
      <c r="A61" s="28" t="s">
        <v>39</v>
      </c>
      <c r="B61" s="22" t="s">
        <v>195</v>
      </c>
      <c r="C61" s="24" t="s">
        <v>92</v>
      </c>
      <c r="D61" s="26">
        <f>4060+1730-490</f>
        <v>5300</v>
      </c>
      <c r="E61" s="26">
        <v>5115.09</v>
      </c>
    </row>
    <row r="62" spans="1:5" ht="15">
      <c r="A62" s="33" t="s">
        <v>136</v>
      </c>
      <c r="B62" s="22" t="s">
        <v>195</v>
      </c>
      <c r="C62" s="24" t="s">
        <v>137</v>
      </c>
      <c r="D62" s="26">
        <f>326419-32111</f>
        <v>294308</v>
      </c>
      <c r="E62" s="26">
        <v>289981.93</v>
      </c>
    </row>
    <row r="63" spans="1:5" ht="15">
      <c r="A63" s="21" t="s">
        <v>207</v>
      </c>
      <c r="B63" s="22" t="s">
        <v>196</v>
      </c>
      <c r="C63" s="24"/>
      <c r="D63" s="26">
        <f>D65+D64</f>
        <v>9262266</v>
      </c>
      <c r="E63" s="26">
        <f>E65+E64</f>
        <v>9251689.99</v>
      </c>
    </row>
    <row r="64" spans="1:5" ht="32.25" customHeight="1">
      <c r="A64" s="28" t="s">
        <v>39</v>
      </c>
      <c r="B64" s="22" t="s">
        <v>196</v>
      </c>
      <c r="C64" s="24" t="s">
        <v>92</v>
      </c>
      <c r="D64" s="26">
        <f>98760+58520-5980</f>
        <v>151300</v>
      </c>
      <c r="E64" s="26">
        <v>150597.4</v>
      </c>
    </row>
    <row r="65" spans="1:5" ht="19.5" customHeight="1">
      <c r="A65" s="33" t="s">
        <v>136</v>
      </c>
      <c r="B65" s="22" t="s">
        <v>196</v>
      </c>
      <c r="C65" s="24" t="s">
        <v>137</v>
      </c>
      <c r="D65" s="26">
        <f>8986705-317494+372708+69047</f>
        <v>9110966</v>
      </c>
      <c r="E65" s="26">
        <v>9101092.59</v>
      </c>
    </row>
    <row r="66" spans="1:5" ht="15">
      <c r="A66" s="21" t="s">
        <v>208</v>
      </c>
      <c r="B66" s="22" t="s">
        <v>197</v>
      </c>
      <c r="C66" s="24"/>
      <c r="D66" s="26">
        <f>D68+D67</f>
        <v>1480000</v>
      </c>
      <c r="E66" s="26">
        <f>E68+E67</f>
        <v>1466298.89</v>
      </c>
    </row>
    <row r="67" spans="1:5" ht="28.5" customHeight="1">
      <c r="A67" s="28" t="s">
        <v>39</v>
      </c>
      <c r="B67" s="22" t="s">
        <v>197</v>
      </c>
      <c r="C67" s="24" t="s">
        <v>92</v>
      </c>
      <c r="D67" s="26">
        <f>26460+5680-7240</f>
        <v>24900</v>
      </c>
      <c r="E67" s="26">
        <v>24735.350000000002</v>
      </c>
    </row>
    <row r="68" spans="1:5" ht="21.75" customHeight="1">
      <c r="A68" s="33" t="s">
        <v>136</v>
      </c>
      <c r="B68" s="22" t="s">
        <v>197</v>
      </c>
      <c r="C68" s="24" t="s">
        <v>137</v>
      </c>
      <c r="D68" s="26">
        <f>1743368-205508-62760-20000</f>
        <v>1455100</v>
      </c>
      <c r="E68" s="26">
        <v>1441563.5399999998</v>
      </c>
    </row>
    <row r="69" spans="1:5" ht="33" customHeight="1">
      <c r="A69" s="101" t="s">
        <v>536</v>
      </c>
      <c r="B69" s="22" t="s">
        <v>242</v>
      </c>
      <c r="C69" s="24"/>
      <c r="D69" s="26">
        <f>D70</f>
        <v>17000</v>
      </c>
      <c r="E69" s="26">
        <f>E70</f>
        <v>12000</v>
      </c>
    </row>
    <row r="70" spans="1:5" ht="15" customHeight="1">
      <c r="A70" s="28" t="s">
        <v>561</v>
      </c>
      <c r="B70" s="36" t="s">
        <v>560</v>
      </c>
      <c r="C70" s="24"/>
      <c r="D70" s="26">
        <f>D71</f>
        <v>17000</v>
      </c>
      <c r="E70" s="26">
        <f>E71</f>
        <v>12000</v>
      </c>
    </row>
    <row r="71" spans="1:5" ht="27.75" customHeight="1">
      <c r="A71" s="28" t="s">
        <v>39</v>
      </c>
      <c r="B71" s="36" t="s">
        <v>560</v>
      </c>
      <c r="C71" s="24" t="s">
        <v>92</v>
      </c>
      <c r="D71" s="26">
        <v>17000</v>
      </c>
      <c r="E71" s="26">
        <v>12000</v>
      </c>
    </row>
    <row r="72" spans="1:5" ht="27.75" customHeight="1">
      <c r="A72" s="137" t="s">
        <v>388</v>
      </c>
      <c r="B72" s="22" t="s">
        <v>390</v>
      </c>
      <c r="C72" s="24"/>
      <c r="D72" s="84">
        <f>D73</f>
        <v>273300</v>
      </c>
      <c r="E72" s="84">
        <f>E73</f>
        <v>273299.27</v>
      </c>
    </row>
    <row r="73" spans="1:5" ht="18.75" customHeight="1">
      <c r="A73" s="152" t="s">
        <v>201</v>
      </c>
      <c r="B73" s="22" t="s">
        <v>243</v>
      </c>
      <c r="C73" s="24"/>
      <c r="D73" s="84">
        <f>D74</f>
        <v>273300</v>
      </c>
      <c r="E73" s="84">
        <f>E74</f>
        <v>273299.27</v>
      </c>
    </row>
    <row r="74" spans="1:5" ht="18.75" customHeight="1">
      <c r="A74" s="38" t="s">
        <v>136</v>
      </c>
      <c r="B74" s="22" t="s">
        <v>243</v>
      </c>
      <c r="C74" s="24" t="s">
        <v>137</v>
      </c>
      <c r="D74" s="26">
        <f>206600+66700</f>
        <v>273300</v>
      </c>
      <c r="E74" s="26">
        <v>273299.27</v>
      </c>
    </row>
    <row r="75" spans="1:5" ht="53.25" customHeight="1">
      <c r="A75" s="55" t="s">
        <v>553</v>
      </c>
      <c r="B75" s="56" t="s">
        <v>357</v>
      </c>
      <c r="C75" s="57"/>
      <c r="D75" s="87">
        <f>D76+D79+D85</f>
        <v>9813246</v>
      </c>
      <c r="E75" s="87">
        <f>E76+E79+E85</f>
        <v>9733119.3</v>
      </c>
    </row>
    <row r="76" spans="1:5" ht="42" customHeight="1">
      <c r="A76" s="30" t="s">
        <v>322</v>
      </c>
      <c r="B76" s="22" t="s">
        <v>358</v>
      </c>
      <c r="C76" s="24"/>
      <c r="D76" s="84">
        <f>D77</f>
        <v>8916646</v>
      </c>
      <c r="E76" s="84">
        <f>E77</f>
        <v>8916646</v>
      </c>
    </row>
    <row r="77" spans="1:5" ht="25.5" customHeight="1">
      <c r="A77" s="27" t="s">
        <v>277</v>
      </c>
      <c r="B77" s="22" t="s">
        <v>359</v>
      </c>
      <c r="C77" s="24"/>
      <c r="D77" s="84">
        <f>D78</f>
        <v>8916646</v>
      </c>
      <c r="E77" s="84">
        <f>E78</f>
        <v>8916646</v>
      </c>
    </row>
    <row r="78" spans="1:5" ht="15">
      <c r="A78" s="33" t="s">
        <v>136</v>
      </c>
      <c r="B78" s="22" t="s">
        <v>359</v>
      </c>
      <c r="C78" s="24" t="s">
        <v>137</v>
      </c>
      <c r="D78" s="26">
        <f>8817730+98916</f>
        <v>8916646</v>
      </c>
      <c r="E78" s="26">
        <f>8817730+98916</f>
        <v>8916646</v>
      </c>
    </row>
    <row r="79" spans="1:5" ht="42.75" customHeight="1">
      <c r="A79" s="132" t="s">
        <v>321</v>
      </c>
      <c r="B79" s="23" t="s">
        <v>360</v>
      </c>
      <c r="C79" s="29"/>
      <c r="D79" s="84">
        <f>D80+D83</f>
        <v>876600</v>
      </c>
      <c r="E79" s="84">
        <f>E80+E83</f>
        <v>796648.2999999999</v>
      </c>
    </row>
    <row r="80" spans="1:5" ht="41.25" customHeight="1">
      <c r="A80" s="31" t="s">
        <v>98</v>
      </c>
      <c r="B80" s="23" t="s">
        <v>361</v>
      </c>
      <c r="C80" s="29"/>
      <c r="D80" s="84">
        <f>D81+D82</f>
        <v>876600</v>
      </c>
      <c r="E80" s="84">
        <f>E81+E82</f>
        <v>796648.2999999999</v>
      </c>
    </row>
    <row r="81" spans="1:5" ht="39">
      <c r="A81" s="28" t="s">
        <v>84</v>
      </c>
      <c r="B81" s="23" t="s">
        <v>361</v>
      </c>
      <c r="C81" s="29" t="s">
        <v>85</v>
      </c>
      <c r="D81" s="26">
        <f>652000+196904+300-147600</f>
        <v>701604</v>
      </c>
      <c r="E81" s="26">
        <v>694698.2999999999</v>
      </c>
    </row>
    <row r="82" spans="1:5" ht="26.25">
      <c r="A82" s="28" t="s">
        <v>39</v>
      </c>
      <c r="B82" s="23" t="s">
        <v>361</v>
      </c>
      <c r="C82" s="29" t="s">
        <v>92</v>
      </c>
      <c r="D82" s="26">
        <f>27396+147600</f>
        <v>174996</v>
      </c>
      <c r="E82" s="26">
        <v>101950</v>
      </c>
    </row>
    <row r="83" spans="1:5" ht="64.5" hidden="1">
      <c r="A83" s="28" t="s">
        <v>472</v>
      </c>
      <c r="B83" s="23" t="s">
        <v>471</v>
      </c>
      <c r="C83" s="29"/>
      <c r="D83" s="84">
        <f>D84</f>
        <v>0</v>
      </c>
      <c r="E83" s="84">
        <f>E84</f>
        <v>0</v>
      </c>
    </row>
    <row r="84" spans="1:5" ht="26.25" hidden="1">
      <c r="A84" s="28" t="s">
        <v>39</v>
      </c>
      <c r="B84" s="23" t="s">
        <v>471</v>
      </c>
      <c r="C84" s="29" t="s">
        <v>92</v>
      </c>
      <c r="D84" s="84"/>
      <c r="E84" s="84"/>
    </row>
    <row r="85" spans="1:5" ht="31.5" customHeight="1">
      <c r="A85" s="112" t="s">
        <v>537</v>
      </c>
      <c r="B85" s="22" t="s">
        <v>538</v>
      </c>
      <c r="C85" s="24"/>
      <c r="D85" s="26">
        <f>D86</f>
        <v>20000</v>
      </c>
      <c r="E85" s="26">
        <f>E86</f>
        <v>19825</v>
      </c>
    </row>
    <row r="86" spans="1:5" ht="38.25" customHeight="1">
      <c r="A86" s="101" t="s">
        <v>540</v>
      </c>
      <c r="B86" s="36" t="s">
        <v>539</v>
      </c>
      <c r="C86" s="24"/>
      <c r="D86" s="26">
        <f>D87</f>
        <v>20000</v>
      </c>
      <c r="E86" s="26">
        <f>E87</f>
        <v>19825</v>
      </c>
    </row>
    <row r="87" spans="1:5" ht="26.25" customHeight="1">
      <c r="A87" s="28" t="s">
        <v>39</v>
      </c>
      <c r="B87" s="36" t="s">
        <v>539</v>
      </c>
      <c r="C87" s="24" t="s">
        <v>92</v>
      </c>
      <c r="D87" s="26">
        <v>20000</v>
      </c>
      <c r="E87" s="26">
        <v>19825</v>
      </c>
    </row>
    <row r="88" spans="1:5" ht="58.5" customHeight="1">
      <c r="A88" s="58" t="s">
        <v>554</v>
      </c>
      <c r="B88" s="43" t="s">
        <v>362</v>
      </c>
      <c r="C88" s="44"/>
      <c r="D88" s="83">
        <f>D89+D94</f>
        <v>2249510</v>
      </c>
      <c r="E88" s="83">
        <f>E89+E94</f>
        <v>2249050</v>
      </c>
    </row>
    <row r="89" spans="1:5" ht="30.75" customHeight="1">
      <c r="A89" s="27" t="s">
        <v>376</v>
      </c>
      <c r="B89" s="22" t="s">
        <v>363</v>
      </c>
      <c r="C89" s="24"/>
      <c r="D89" s="84">
        <f>D90+D92</f>
        <v>125900</v>
      </c>
      <c r="E89" s="84">
        <f>E90+E92</f>
        <v>125900</v>
      </c>
    </row>
    <row r="90" spans="1:5" ht="30" customHeight="1">
      <c r="A90" s="27" t="s">
        <v>123</v>
      </c>
      <c r="B90" s="22" t="s">
        <v>377</v>
      </c>
      <c r="C90" s="24"/>
      <c r="D90" s="84">
        <f>D91</f>
        <v>122900</v>
      </c>
      <c r="E90" s="84">
        <f>E91</f>
        <v>122900</v>
      </c>
    </row>
    <row r="91" spans="1:5" ht="32.25" customHeight="1">
      <c r="A91" s="28" t="s">
        <v>124</v>
      </c>
      <c r="B91" s="22" t="s">
        <v>377</v>
      </c>
      <c r="C91" s="29" t="s">
        <v>125</v>
      </c>
      <c r="D91" s="86">
        <v>122900</v>
      </c>
      <c r="E91" s="86">
        <v>122900</v>
      </c>
    </row>
    <row r="92" spans="1:5" ht="20.25" customHeight="1">
      <c r="A92" s="27" t="s">
        <v>378</v>
      </c>
      <c r="B92" s="22" t="s">
        <v>379</v>
      </c>
      <c r="C92" s="29"/>
      <c r="D92" s="84">
        <f>D93</f>
        <v>3000</v>
      </c>
      <c r="E92" s="84">
        <f>E93</f>
        <v>3000</v>
      </c>
    </row>
    <row r="93" spans="1:5" ht="32.25" customHeight="1">
      <c r="A93" s="28" t="s">
        <v>124</v>
      </c>
      <c r="B93" s="22" t="s">
        <v>379</v>
      </c>
      <c r="C93" s="29" t="s">
        <v>125</v>
      </c>
      <c r="D93" s="84">
        <v>3000</v>
      </c>
      <c r="E93" s="84">
        <v>3000</v>
      </c>
    </row>
    <row r="94" spans="1:5" ht="28.5" customHeight="1">
      <c r="A94" s="109" t="s">
        <v>364</v>
      </c>
      <c r="B94" s="23" t="s">
        <v>319</v>
      </c>
      <c r="C94" s="24"/>
      <c r="D94" s="86">
        <f>D95+D98</f>
        <v>2123610</v>
      </c>
      <c r="E94" s="86">
        <f>E95+E98</f>
        <v>2123150</v>
      </c>
    </row>
    <row r="95" spans="1:5" ht="30.75" customHeight="1">
      <c r="A95" s="27" t="s">
        <v>99</v>
      </c>
      <c r="B95" s="23" t="s">
        <v>320</v>
      </c>
      <c r="C95" s="24"/>
      <c r="D95" s="86">
        <f>D96+D97</f>
        <v>2045400</v>
      </c>
      <c r="E95" s="86">
        <f>E96+E97</f>
        <v>2045400</v>
      </c>
    </row>
    <row r="96" spans="1:5" ht="44.25" customHeight="1">
      <c r="A96" s="28" t="s">
        <v>84</v>
      </c>
      <c r="B96" s="23" t="s">
        <v>320</v>
      </c>
      <c r="C96" s="29" t="s">
        <v>85</v>
      </c>
      <c r="D96" s="26">
        <f>1524168+460299+300+60633</f>
        <v>2045400</v>
      </c>
      <c r="E96" s="26">
        <f>1524168+460299+300+60633</f>
        <v>2045400</v>
      </c>
    </row>
    <row r="97" spans="1:5" ht="26.25">
      <c r="A97" s="28" t="s">
        <v>39</v>
      </c>
      <c r="B97" s="23" t="s">
        <v>320</v>
      </c>
      <c r="C97" s="29" t="s">
        <v>92</v>
      </c>
      <c r="D97" s="26">
        <f>60633-60633</f>
        <v>0</v>
      </c>
      <c r="E97" s="26">
        <f>60633-60633</f>
        <v>0</v>
      </c>
    </row>
    <row r="98" spans="1:5" ht="15">
      <c r="A98" s="112" t="s">
        <v>129</v>
      </c>
      <c r="B98" s="22" t="s">
        <v>611</v>
      </c>
      <c r="C98" s="29"/>
      <c r="D98" s="26">
        <f>D99</f>
        <v>78210</v>
      </c>
      <c r="E98" s="26">
        <f>E99</f>
        <v>77750</v>
      </c>
    </row>
    <row r="99" spans="1:5" ht="26.25">
      <c r="A99" s="28" t="s">
        <v>39</v>
      </c>
      <c r="B99" s="22" t="s">
        <v>611</v>
      </c>
      <c r="C99" s="29" t="s">
        <v>92</v>
      </c>
      <c r="D99" s="26">
        <f>90000-11790</f>
        <v>78210</v>
      </c>
      <c r="E99" s="26">
        <v>77750</v>
      </c>
    </row>
    <row r="100" spans="1:8" ht="32.25" customHeight="1">
      <c r="A100" s="21" t="s">
        <v>225</v>
      </c>
      <c r="B100" s="22" t="s">
        <v>392</v>
      </c>
      <c r="C100" s="24"/>
      <c r="D100" s="84">
        <f>D101+D160+D175</f>
        <v>398860091.4</v>
      </c>
      <c r="E100" s="84">
        <f>E101+E160+E175</f>
        <v>397023606.08000004</v>
      </c>
      <c r="H100" s="20"/>
    </row>
    <row r="101" spans="1:5" s="47" customFormat="1" ht="41.25" customHeight="1">
      <c r="A101" s="67" t="s">
        <v>226</v>
      </c>
      <c r="B101" s="43" t="s">
        <v>393</v>
      </c>
      <c r="C101" s="44"/>
      <c r="D101" s="83">
        <f>D102+D125+D152</f>
        <v>357687378.4</v>
      </c>
      <c r="E101" s="83">
        <f>E102+E125+E152</f>
        <v>356121805.27000004</v>
      </c>
    </row>
    <row r="102" spans="1:5" ht="27.75" customHeight="1">
      <c r="A102" s="30" t="s">
        <v>412</v>
      </c>
      <c r="B102" s="50" t="s">
        <v>198</v>
      </c>
      <c r="C102" s="24"/>
      <c r="D102" s="86">
        <f>D103+D110+D117+D119+D121+D115+D114</f>
        <v>90336428.52</v>
      </c>
      <c r="E102" s="86">
        <f>E103+E110+E117+E119+E121+E115+E114</f>
        <v>89237160.95</v>
      </c>
    </row>
    <row r="103" spans="1:5" ht="18.75" customHeight="1">
      <c r="A103" s="154" t="s">
        <v>279</v>
      </c>
      <c r="B103" s="50" t="s">
        <v>163</v>
      </c>
      <c r="C103" s="24"/>
      <c r="D103" s="86">
        <f>D105+D104</f>
        <v>2312646</v>
      </c>
      <c r="E103" s="86">
        <f>E105+E104</f>
        <v>2312646</v>
      </c>
    </row>
    <row r="104" spans="1:5" ht="31.5" customHeight="1" hidden="1">
      <c r="A104" s="28" t="s">
        <v>39</v>
      </c>
      <c r="B104" s="50" t="s">
        <v>163</v>
      </c>
      <c r="C104" s="24" t="s">
        <v>92</v>
      </c>
      <c r="D104" s="26"/>
      <c r="E104" s="26"/>
    </row>
    <row r="105" spans="1:5" ht="17.25" customHeight="1">
      <c r="A105" s="33" t="s">
        <v>136</v>
      </c>
      <c r="B105" s="50" t="s">
        <v>163</v>
      </c>
      <c r="C105" s="24" t="s">
        <v>137</v>
      </c>
      <c r="D105" s="26">
        <f>2038919+273727</f>
        <v>2312646</v>
      </c>
      <c r="E105" s="26">
        <f>2038919+273727</f>
        <v>2312646</v>
      </c>
    </row>
    <row r="106" spans="1:5" ht="27" customHeight="1" hidden="1">
      <c r="A106" s="40" t="s">
        <v>233</v>
      </c>
      <c r="B106" s="22" t="s">
        <v>234</v>
      </c>
      <c r="C106" s="24"/>
      <c r="D106" s="84">
        <f>D107</f>
        <v>0</v>
      </c>
      <c r="E106" s="84">
        <f>E107</f>
        <v>0</v>
      </c>
    </row>
    <row r="107" spans="1:5" ht="16.5" customHeight="1" hidden="1">
      <c r="A107" s="28" t="s">
        <v>91</v>
      </c>
      <c r="B107" s="22" t="s">
        <v>234</v>
      </c>
      <c r="C107" s="24" t="s">
        <v>92</v>
      </c>
      <c r="D107" s="84"/>
      <c r="E107" s="84"/>
    </row>
    <row r="108" spans="1:5" ht="38.25" customHeight="1" hidden="1">
      <c r="A108" s="160" t="s">
        <v>235</v>
      </c>
      <c r="B108" s="22" t="s">
        <v>236</v>
      </c>
      <c r="C108" s="24"/>
      <c r="D108" s="84">
        <f>D109</f>
        <v>0</v>
      </c>
      <c r="E108" s="84">
        <f>E109</f>
        <v>0</v>
      </c>
    </row>
    <row r="109" spans="1:5" ht="15.75" customHeight="1" hidden="1">
      <c r="A109" s="28" t="s">
        <v>91</v>
      </c>
      <c r="B109" s="22" t="s">
        <v>236</v>
      </c>
      <c r="C109" s="24" t="s">
        <v>92</v>
      </c>
      <c r="D109" s="84"/>
      <c r="E109" s="84"/>
    </row>
    <row r="110" spans="1:5" ht="66" customHeight="1">
      <c r="A110" s="31" t="s">
        <v>199</v>
      </c>
      <c r="B110" s="22" t="s">
        <v>200</v>
      </c>
      <c r="C110" s="24"/>
      <c r="D110" s="86">
        <f>D111+D112</f>
        <v>46494590</v>
      </c>
      <c r="E110" s="86">
        <f>E111+E112</f>
        <v>46494590</v>
      </c>
    </row>
    <row r="111" spans="1:5" ht="42" customHeight="1">
      <c r="A111" s="143" t="s">
        <v>84</v>
      </c>
      <c r="B111" s="22" t="s">
        <v>200</v>
      </c>
      <c r="C111" s="24" t="s">
        <v>85</v>
      </c>
      <c r="D111" s="26">
        <f>30620442+9247373+4173130+1225677+258492+426348</f>
        <v>45951462</v>
      </c>
      <c r="E111" s="26">
        <f>30620442+9247373+4173130+1225677+258492+426348</f>
        <v>45951462</v>
      </c>
    </row>
    <row r="112" spans="1:5" ht="25.5" customHeight="1">
      <c r="A112" s="28" t="s">
        <v>39</v>
      </c>
      <c r="B112" s="22" t="s">
        <v>200</v>
      </c>
      <c r="C112" s="24" t="s">
        <v>92</v>
      </c>
      <c r="D112" s="26">
        <f>508520+34608</f>
        <v>543128</v>
      </c>
      <c r="E112" s="26">
        <f>508520+34608</f>
        <v>543128</v>
      </c>
    </row>
    <row r="113" spans="1:5" ht="26.25" hidden="1">
      <c r="A113" s="42" t="s">
        <v>453</v>
      </c>
      <c r="B113" s="22" t="s">
        <v>452</v>
      </c>
      <c r="C113" s="24"/>
      <c r="D113" s="86">
        <f>D114</f>
        <v>0</v>
      </c>
      <c r="E113" s="86">
        <f>E114</f>
        <v>0</v>
      </c>
    </row>
    <row r="114" spans="1:5" ht="15" hidden="1">
      <c r="A114" s="140" t="s">
        <v>39</v>
      </c>
      <c r="B114" s="22" t="s">
        <v>452</v>
      </c>
      <c r="C114" s="24" t="s">
        <v>92</v>
      </c>
      <c r="D114" s="86"/>
      <c r="E114" s="86"/>
    </row>
    <row r="115" spans="1:5" ht="0.75" customHeight="1" hidden="1">
      <c r="A115" s="31" t="s">
        <v>455</v>
      </c>
      <c r="B115" s="22" t="s">
        <v>454</v>
      </c>
      <c r="C115" s="24"/>
      <c r="D115" s="86">
        <f>D116</f>
        <v>0</v>
      </c>
      <c r="E115" s="86">
        <f>E116</f>
        <v>0</v>
      </c>
    </row>
    <row r="116" spans="1:5" ht="15" hidden="1">
      <c r="A116" s="140" t="s">
        <v>39</v>
      </c>
      <c r="B116" s="22" t="s">
        <v>454</v>
      </c>
      <c r="C116" s="24" t="s">
        <v>92</v>
      </c>
      <c r="D116" s="86">
        <f>175343-175343</f>
        <v>0</v>
      </c>
      <c r="E116" s="86">
        <f>175343-175343</f>
        <v>0</v>
      </c>
    </row>
    <row r="117" spans="1:5" ht="26.25" hidden="1">
      <c r="A117" s="42" t="s">
        <v>620</v>
      </c>
      <c r="B117" s="22" t="s">
        <v>424</v>
      </c>
      <c r="C117" s="24"/>
      <c r="D117" s="86">
        <f>D118</f>
        <v>0</v>
      </c>
      <c r="E117" s="86">
        <f>E118</f>
        <v>0</v>
      </c>
    </row>
    <row r="118" spans="1:5" ht="26.25" hidden="1">
      <c r="A118" s="28" t="s">
        <v>39</v>
      </c>
      <c r="B118" s="22" t="s">
        <v>424</v>
      </c>
      <c r="C118" s="24" t="s">
        <v>92</v>
      </c>
      <c r="D118" s="86"/>
      <c r="E118" s="86"/>
    </row>
    <row r="119" spans="1:5" ht="31.5" customHeight="1">
      <c r="A119" s="42" t="s">
        <v>631</v>
      </c>
      <c r="B119" s="22" t="s">
        <v>619</v>
      </c>
      <c r="C119" s="24"/>
      <c r="D119" s="26">
        <f>D120</f>
        <v>2338427.5</v>
      </c>
      <c r="E119" s="26">
        <f>E120</f>
        <v>2338427.5</v>
      </c>
    </row>
    <row r="120" spans="1:5" ht="26.25">
      <c r="A120" s="28" t="s">
        <v>39</v>
      </c>
      <c r="B120" s="22" t="s">
        <v>619</v>
      </c>
      <c r="C120" s="24" t="s">
        <v>92</v>
      </c>
      <c r="D120" s="26">
        <f>233842.5+2104585</f>
        <v>2338427.5</v>
      </c>
      <c r="E120" s="26">
        <f>233842.5+2104585</f>
        <v>2338427.5</v>
      </c>
    </row>
    <row r="121" spans="1:5" ht="17.25" customHeight="1">
      <c r="A121" s="30" t="s">
        <v>130</v>
      </c>
      <c r="B121" s="22" t="s">
        <v>423</v>
      </c>
      <c r="C121" s="24"/>
      <c r="D121" s="86">
        <f>D122+D123+D124</f>
        <v>39190765.019999996</v>
      </c>
      <c r="E121" s="86">
        <f>E122+E123+E124</f>
        <v>38091497.45</v>
      </c>
    </row>
    <row r="122" spans="1:5" ht="44.25" customHeight="1">
      <c r="A122" s="28" t="s">
        <v>84</v>
      </c>
      <c r="B122" s="22" t="s">
        <v>423</v>
      </c>
      <c r="C122" s="24" t="s">
        <v>85</v>
      </c>
      <c r="D122" s="26">
        <f>16969000+2846562+913748+275952-836415</f>
        <v>20168847</v>
      </c>
      <c r="E122" s="26">
        <v>20168847</v>
      </c>
    </row>
    <row r="123" spans="1:5" ht="30" customHeight="1">
      <c r="A123" s="28" t="s">
        <v>39</v>
      </c>
      <c r="B123" s="22" t="s">
        <v>423</v>
      </c>
      <c r="C123" s="24" t="s">
        <v>92</v>
      </c>
      <c r="D123" s="26">
        <f>14806471+273170+321543.08+10000+406730-3500+260543+123390+92951-3500-544700-12600+90000+728895+35751+247212.94+218500-60170-163300</f>
        <v>16827387.02</v>
      </c>
      <c r="E123" s="26">
        <v>15744462.819999998</v>
      </c>
    </row>
    <row r="124" spans="1:5" ht="18" customHeight="1">
      <c r="A124" s="30" t="s">
        <v>93</v>
      </c>
      <c r="B124" s="22" t="s">
        <v>423</v>
      </c>
      <c r="C124" s="24" t="s">
        <v>94</v>
      </c>
      <c r="D124" s="26">
        <f>1959100+37200+3500+23502+977+3500+4710+160+161882</f>
        <v>2194531</v>
      </c>
      <c r="E124" s="26">
        <v>2178187.63</v>
      </c>
    </row>
    <row r="125" spans="1:5" ht="24.75" customHeight="1">
      <c r="A125" s="30" t="s">
        <v>413</v>
      </c>
      <c r="B125" s="50" t="s">
        <v>414</v>
      </c>
      <c r="C125" s="24"/>
      <c r="D125" s="86">
        <f>D130+D133+D135+D137+D143+D145+D147+D150+D141+D126+D128</f>
        <v>249486730.88</v>
      </c>
      <c r="E125" s="86">
        <f>E130+E133+E135+E137+E143+E145+E147+E150+E141+E126+E128</f>
        <v>249020425.32000002</v>
      </c>
    </row>
    <row r="126" spans="1:5" ht="25.5" hidden="1">
      <c r="A126" s="30" t="s">
        <v>587</v>
      </c>
      <c r="B126" s="22" t="s">
        <v>586</v>
      </c>
      <c r="C126" s="24"/>
      <c r="D126" s="26">
        <f>D127</f>
        <v>0</v>
      </c>
      <c r="E126" s="26">
        <f>E127</f>
        <v>0</v>
      </c>
    </row>
    <row r="127" spans="1:5" ht="26.25" hidden="1">
      <c r="A127" s="28" t="s">
        <v>39</v>
      </c>
      <c r="B127" s="22" t="s">
        <v>586</v>
      </c>
      <c r="C127" s="24" t="s">
        <v>92</v>
      </c>
      <c r="D127" s="26"/>
      <c r="E127" s="26"/>
    </row>
    <row r="128" spans="1:5" ht="33.75" customHeight="1">
      <c r="A128" s="112" t="s">
        <v>621</v>
      </c>
      <c r="B128" s="22" t="s">
        <v>588</v>
      </c>
      <c r="C128" s="24"/>
      <c r="D128" s="26">
        <f>D129</f>
        <v>1834369</v>
      </c>
      <c r="E128" s="26">
        <f>E129</f>
        <v>1834320.65</v>
      </c>
    </row>
    <row r="129" spans="1:5" ht="26.25">
      <c r="A129" s="28" t="s">
        <v>39</v>
      </c>
      <c r="B129" s="22" t="s">
        <v>588</v>
      </c>
      <c r="C129" s="24" t="s">
        <v>92</v>
      </c>
      <c r="D129" s="26">
        <f>642030+1192340-1</f>
        <v>1834369</v>
      </c>
      <c r="E129" s="26">
        <v>1834320.65</v>
      </c>
    </row>
    <row r="130" spans="1:5" ht="72" customHeight="1">
      <c r="A130" s="31" t="s">
        <v>416</v>
      </c>
      <c r="B130" s="22" t="s">
        <v>415</v>
      </c>
      <c r="C130" s="24"/>
      <c r="D130" s="86">
        <f>D131+D132</f>
        <v>211000561</v>
      </c>
      <c r="E130" s="86">
        <f>E131+E132</f>
        <v>211000561</v>
      </c>
    </row>
    <row r="131" spans="1:5" ht="45" customHeight="1">
      <c r="A131" s="28" t="s">
        <v>84</v>
      </c>
      <c r="B131" s="22" t="s">
        <v>415</v>
      </c>
      <c r="C131" s="24" t="s">
        <v>85</v>
      </c>
      <c r="D131" s="26">
        <f>115939654+35013776+20044281+14320550+16638912+600621</f>
        <v>202557794</v>
      </c>
      <c r="E131" s="26">
        <f>115939654+35013776+20044281+14320550+16638912+600621</f>
        <v>202557794</v>
      </c>
    </row>
    <row r="132" spans="1:5" ht="30" customHeight="1">
      <c r="A132" s="28" t="s">
        <v>39</v>
      </c>
      <c r="B132" s="22" t="s">
        <v>415</v>
      </c>
      <c r="C132" s="24" t="s">
        <v>92</v>
      </c>
      <c r="D132" s="26">
        <f>745991+5849976+1846800</f>
        <v>8442767</v>
      </c>
      <c r="E132" s="26">
        <f>745991+5849976+1846800</f>
        <v>8442767</v>
      </c>
    </row>
    <row r="133" spans="1:5" ht="15" hidden="1">
      <c r="A133" s="42" t="s">
        <v>418</v>
      </c>
      <c r="B133" s="22" t="s">
        <v>417</v>
      </c>
      <c r="C133" s="24"/>
      <c r="D133" s="86">
        <f>D134</f>
        <v>0</v>
      </c>
      <c r="E133" s="86">
        <f>E134</f>
        <v>0</v>
      </c>
    </row>
    <row r="134" spans="1:5" ht="0.75" customHeight="1" hidden="1">
      <c r="A134" s="28" t="s">
        <v>39</v>
      </c>
      <c r="B134" s="22" t="s">
        <v>417</v>
      </c>
      <c r="C134" s="24" t="s">
        <v>92</v>
      </c>
      <c r="D134" s="86"/>
      <c r="E134" s="86"/>
    </row>
    <row r="135" spans="1:5" ht="15" hidden="1">
      <c r="A135" s="42" t="s">
        <v>420</v>
      </c>
      <c r="B135" s="22" t="s">
        <v>419</v>
      </c>
      <c r="C135" s="24"/>
      <c r="D135" s="86">
        <f>D136</f>
        <v>0</v>
      </c>
      <c r="E135" s="86">
        <f>E136</f>
        <v>0</v>
      </c>
    </row>
    <row r="136" spans="1:5" ht="26.25" hidden="1">
      <c r="A136" s="28" t="s">
        <v>39</v>
      </c>
      <c r="B136" s="22" t="s">
        <v>419</v>
      </c>
      <c r="C136" s="24" t="s">
        <v>92</v>
      </c>
      <c r="D136" s="86"/>
      <c r="E136" s="86"/>
    </row>
    <row r="137" spans="1:5" ht="51.75">
      <c r="A137" s="42" t="s">
        <v>605</v>
      </c>
      <c r="B137" s="22" t="s">
        <v>421</v>
      </c>
      <c r="C137" s="24"/>
      <c r="D137" s="86">
        <f>D138</f>
        <v>56044</v>
      </c>
      <c r="E137" s="86">
        <f>E138</f>
        <v>56044</v>
      </c>
    </row>
    <row r="138" spans="1:5" ht="28.5" customHeight="1">
      <c r="A138" s="28" t="s">
        <v>39</v>
      </c>
      <c r="B138" s="22" t="s">
        <v>421</v>
      </c>
      <c r="C138" s="24" t="s">
        <v>92</v>
      </c>
      <c r="D138" s="86">
        <v>56044</v>
      </c>
      <c r="E138" s="86">
        <v>56044</v>
      </c>
    </row>
    <row r="139" spans="1:5" ht="26.25" hidden="1">
      <c r="A139" s="42" t="s">
        <v>453</v>
      </c>
      <c r="B139" s="22" t="s">
        <v>456</v>
      </c>
      <c r="C139" s="24"/>
      <c r="D139" s="86">
        <f>D140</f>
        <v>0</v>
      </c>
      <c r="E139" s="86">
        <f>E140</f>
        <v>0</v>
      </c>
    </row>
    <row r="140" spans="1:5" ht="15" hidden="1">
      <c r="A140" s="140" t="s">
        <v>39</v>
      </c>
      <c r="B140" s="22" t="s">
        <v>456</v>
      </c>
      <c r="C140" s="24"/>
      <c r="D140" s="86"/>
      <c r="E140" s="86"/>
    </row>
    <row r="141" spans="1:5" ht="26.25" hidden="1">
      <c r="A141" s="31" t="s">
        <v>455</v>
      </c>
      <c r="B141" s="22" t="s">
        <v>457</v>
      </c>
      <c r="C141" s="24"/>
      <c r="D141" s="86">
        <f>D142</f>
        <v>0</v>
      </c>
      <c r="E141" s="86">
        <f>E142</f>
        <v>0</v>
      </c>
    </row>
    <row r="142" spans="1:5" ht="15" hidden="1">
      <c r="A142" s="140" t="s">
        <v>39</v>
      </c>
      <c r="B142" s="22" t="s">
        <v>457</v>
      </c>
      <c r="C142" s="24" t="s">
        <v>92</v>
      </c>
      <c r="D142" s="86">
        <f>1526555.5-1526555.5</f>
        <v>0</v>
      </c>
      <c r="E142" s="86">
        <f>1526555.5-1526555.5</f>
        <v>0</v>
      </c>
    </row>
    <row r="143" spans="1:5" ht="39">
      <c r="A143" s="42" t="s">
        <v>612</v>
      </c>
      <c r="B143" s="22" t="s">
        <v>422</v>
      </c>
      <c r="C143" s="24"/>
      <c r="D143" s="86">
        <f>D144</f>
        <v>500000</v>
      </c>
      <c r="E143" s="86">
        <f>E144</f>
        <v>500000</v>
      </c>
    </row>
    <row r="144" spans="1:5" ht="26.25">
      <c r="A144" s="28" t="s">
        <v>39</v>
      </c>
      <c r="B144" s="22" t="s">
        <v>422</v>
      </c>
      <c r="C144" s="24" t="s">
        <v>92</v>
      </c>
      <c r="D144" s="86">
        <f>100000+400000</f>
        <v>500000</v>
      </c>
      <c r="E144" s="86">
        <f>100000+400000</f>
        <v>500000</v>
      </c>
    </row>
    <row r="145" spans="1:5" ht="15">
      <c r="A145" s="40" t="s">
        <v>228</v>
      </c>
      <c r="B145" s="22" t="s">
        <v>427</v>
      </c>
      <c r="C145" s="24"/>
      <c r="D145" s="86">
        <f>D146</f>
        <v>1966544</v>
      </c>
      <c r="E145" s="86">
        <f>E146</f>
        <v>1966544</v>
      </c>
    </row>
    <row r="146" spans="1:5" ht="47.25" customHeight="1">
      <c r="A146" s="28" t="s">
        <v>84</v>
      </c>
      <c r="B146" s="22" t="s">
        <v>427</v>
      </c>
      <c r="C146" s="24" t="s">
        <v>85</v>
      </c>
      <c r="D146" s="26">
        <f>1510402+456142</f>
        <v>1966544</v>
      </c>
      <c r="E146" s="26">
        <f>1510402+456142</f>
        <v>1966544</v>
      </c>
    </row>
    <row r="147" spans="1:5" ht="17.25" customHeight="1">
      <c r="A147" s="30" t="s">
        <v>130</v>
      </c>
      <c r="B147" s="22" t="s">
        <v>428</v>
      </c>
      <c r="C147" s="24"/>
      <c r="D147" s="86">
        <f>D148+D149</f>
        <v>33934512.879999995</v>
      </c>
      <c r="E147" s="86">
        <f>E148+E149</f>
        <v>33485355.67</v>
      </c>
    </row>
    <row r="148" spans="1:5" ht="27.75" customHeight="1">
      <c r="A148" s="28" t="s">
        <v>39</v>
      </c>
      <c r="B148" s="22" t="s">
        <v>428</v>
      </c>
      <c r="C148" s="24" t="s">
        <v>92</v>
      </c>
      <c r="D148" s="26">
        <f>24526554+807079+101313.32+151699.93+1+1124500+97600+2046796-200750+537000+1246408+332000+1331391+163300+6867+501600-496135.94-98300+60170</f>
        <v>32239093.31</v>
      </c>
      <c r="E148" s="26">
        <v>31794788.290000003</v>
      </c>
    </row>
    <row r="149" spans="1:5" ht="18" customHeight="1">
      <c r="A149" s="30" t="s">
        <v>93</v>
      </c>
      <c r="B149" s="22" t="s">
        <v>428</v>
      </c>
      <c r="C149" s="24" t="s">
        <v>94</v>
      </c>
      <c r="D149" s="26">
        <f>1521100+84418.5+82364+142-50000+1464.07+55931</f>
        <v>1695419.57</v>
      </c>
      <c r="E149" s="26">
        <v>1690567.3800000001</v>
      </c>
    </row>
    <row r="150" spans="1:5" ht="21" customHeight="1">
      <c r="A150" s="28" t="s">
        <v>439</v>
      </c>
      <c r="B150" s="22" t="s">
        <v>429</v>
      </c>
      <c r="C150" s="24"/>
      <c r="D150" s="26">
        <f>D151</f>
        <v>194700</v>
      </c>
      <c r="E150" s="26">
        <f>E151</f>
        <v>177600</v>
      </c>
    </row>
    <row r="151" spans="1:5" ht="30.75" customHeight="1">
      <c r="A151" s="28" t="s">
        <v>39</v>
      </c>
      <c r="B151" s="22" t="s">
        <v>429</v>
      </c>
      <c r="C151" s="24" t="s">
        <v>92</v>
      </c>
      <c r="D151" s="26">
        <f>100000-3600+98300</f>
        <v>194700</v>
      </c>
      <c r="E151" s="26">
        <v>177600</v>
      </c>
    </row>
    <row r="152" spans="1:5" ht="33" customHeight="1">
      <c r="A152" s="30" t="s">
        <v>444</v>
      </c>
      <c r="B152" s="22" t="s">
        <v>445</v>
      </c>
      <c r="C152" s="24"/>
      <c r="D152" s="86">
        <f>D157+D153+D155</f>
        <v>17864219</v>
      </c>
      <c r="E152" s="86">
        <f>E157+E153+E155</f>
        <v>17864219</v>
      </c>
    </row>
    <row r="153" spans="1:5" ht="33" customHeight="1" hidden="1">
      <c r="A153" s="42" t="s">
        <v>425</v>
      </c>
      <c r="B153" s="22" t="s">
        <v>461</v>
      </c>
      <c r="C153" s="24"/>
      <c r="D153" s="86">
        <f>D154</f>
        <v>0</v>
      </c>
      <c r="E153" s="86">
        <f>E154</f>
        <v>0</v>
      </c>
    </row>
    <row r="154" spans="1:5" ht="45" customHeight="1" hidden="1">
      <c r="A154" s="28" t="s">
        <v>84</v>
      </c>
      <c r="B154" s="22" t="s">
        <v>461</v>
      </c>
      <c r="C154" s="24" t="s">
        <v>85</v>
      </c>
      <c r="D154" s="86"/>
      <c r="E154" s="86"/>
    </row>
    <row r="155" spans="1:5" ht="26.25" customHeight="1" hidden="1">
      <c r="A155" s="42" t="s">
        <v>332</v>
      </c>
      <c r="B155" s="22" t="s">
        <v>462</v>
      </c>
      <c r="C155" s="24"/>
      <c r="D155" s="86">
        <f>D156</f>
        <v>0</v>
      </c>
      <c r="E155" s="86">
        <f>E156</f>
        <v>0</v>
      </c>
    </row>
    <row r="156" spans="1:5" ht="44.25" customHeight="1" hidden="1">
      <c r="A156" s="28" t="s">
        <v>84</v>
      </c>
      <c r="B156" s="22" t="s">
        <v>462</v>
      </c>
      <c r="C156" s="24" t="s">
        <v>85</v>
      </c>
      <c r="D156" s="86">
        <f>100000-100000</f>
        <v>0</v>
      </c>
      <c r="E156" s="86">
        <f>100000-100000</f>
        <v>0</v>
      </c>
    </row>
    <row r="157" spans="1:5" ht="58.5" customHeight="1">
      <c r="A157" s="31" t="s">
        <v>447</v>
      </c>
      <c r="B157" s="22" t="s">
        <v>446</v>
      </c>
      <c r="C157" s="24"/>
      <c r="D157" s="84">
        <f>D158+D159</f>
        <v>17864219</v>
      </c>
      <c r="E157" s="84">
        <f>E158+E159</f>
        <v>17864219</v>
      </c>
    </row>
    <row r="158" spans="1:5" ht="33" customHeight="1" hidden="1">
      <c r="A158" s="28" t="s">
        <v>39</v>
      </c>
      <c r="B158" s="22" t="s">
        <v>446</v>
      </c>
      <c r="C158" s="24" t="s">
        <v>92</v>
      </c>
      <c r="D158" s="86"/>
      <c r="E158" s="86"/>
    </row>
    <row r="159" spans="1:5" ht="15.75" customHeight="1">
      <c r="A159" s="33" t="s">
        <v>136</v>
      </c>
      <c r="B159" s="22" t="s">
        <v>446</v>
      </c>
      <c r="C159" s="24" t="s">
        <v>137</v>
      </c>
      <c r="D159" s="26">
        <f>17864219</f>
        <v>17864219</v>
      </c>
      <c r="E159" s="26">
        <f>17864219</f>
        <v>17864219</v>
      </c>
    </row>
    <row r="160" spans="1:5" s="47" customFormat="1" ht="48" customHeight="1">
      <c r="A160" s="55" t="s">
        <v>247</v>
      </c>
      <c r="B160" s="43" t="s">
        <v>430</v>
      </c>
      <c r="C160" s="44"/>
      <c r="D160" s="87">
        <f>D161+D166+D171</f>
        <v>32471661</v>
      </c>
      <c r="E160" s="87">
        <f>E161+E166+E171</f>
        <v>32253797.75</v>
      </c>
    </row>
    <row r="161" spans="1:5" ht="36.75" customHeight="1">
      <c r="A161" s="30" t="s">
        <v>431</v>
      </c>
      <c r="B161" s="22" t="s">
        <v>432</v>
      </c>
      <c r="C161" s="24"/>
      <c r="D161" s="86">
        <f>D162</f>
        <v>13941586</v>
      </c>
      <c r="E161" s="86">
        <f>E162</f>
        <v>13847583.68</v>
      </c>
    </row>
    <row r="162" spans="1:5" ht="15.75" customHeight="1">
      <c r="A162" s="30" t="s">
        <v>130</v>
      </c>
      <c r="B162" s="22" t="s">
        <v>433</v>
      </c>
      <c r="C162" s="24"/>
      <c r="D162" s="86">
        <f>D163+D164+D165</f>
        <v>13941586</v>
      </c>
      <c r="E162" s="86">
        <f>E163+E164+E165</f>
        <v>13847583.68</v>
      </c>
    </row>
    <row r="163" spans="1:5" ht="47.25" customHeight="1">
      <c r="A163" s="28" t="s">
        <v>84</v>
      </c>
      <c r="B163" s="22" t="s">
        <v>433</v>
      </c>
      <c r="C163" s="24" t="s">
        <v>85</v>
      </c>
      <c r="D163" s="26">
        <f>9499200+2868800+339700-579200+824630</f>
        <v>12953130</v>
      </c>
      <c r="E163" s="26">
        <v>12953130</v>
      </c>
    </row>
    <row r="164" spans="1:5" ht="33" customHeight="1">
      <c r="A164" s="28" t="s">
        <v>39</v>
      </c>
      <c r="B164" s="22" t="s">
        <v>433</v>
      </c>
      <c r="C164" s="24" t="s">
        <v>92</v>
      </c>
      <c r="D164" s="26">
        <f>40600+273100+78500+80200+176400+50000+47050+9000+77360-7300+53828+24700</f>
        <v>903438</v>
      </c>
      <c r="E164" s="26">
        <v>809436.3099999999</v>
      </c>
    </row>
    <row r="165" spans="1:5" ht="20.25" customHeight="1">
      <c r="A165" s="30" t="s">
        <v>93</v>
      </c>
      <c r="B165" s="22" t="s">
        <v>433</v>
      </c>
      <c r="C165" s="24" t="s">
        <v>94</v>
      </c>
      <c r="D165" s="26">
        <f>80800+2000+1910+308</f>
        <v>85018</v>
      </c>
      <c r="E165" s="26">
        <v>85017.37</v>
      </c>
    </row>
    <row r="166" spans="1:5" ht="19.5" customHeight="1">
      <c r="A166" s="30" t="s">
        <v>326</v>
      </c>
      <c r="B166" s="22" t="s">
        <v>327</v>
      </c>
      <c r="C166" s="24"/>
      <c r="D166" s="86">
        <f>D167</f>
        <v>17131075</v>
      </c>
      <c r="E166" s="86">
        <f>E167</f>
        <v>17007214.07</v>
      </c>
    </row>
    <row r="167" spans="1:5" ht="15.75" customHeight="1">
      <c r="A167" s="30" t="s">
        <v>130</v>
      </c>
      <c r="B167" s="22" t="s">
        <v>328</v>
      </c>
      <c r="C167" s="24"/>
      <c r="D167" s="86">
        <f>D168+D169+D170</f>
        <v>17131075</v>
      </c>
      <c r="E167" s="86">
        <f>E168+E169+E170</f>
        <v>17007214.07</v>
      </c>
    </row>
    <row r="168" spans="1:5" ht="45" customHeight="1">
      <c r="A168" s="28" t="s">
        <v>84</v>
      </c>
      <c r="B168" s="22" t="s">
        <v>328</v>
      </c>
      <c r="C168" s="24" t="s">
        <v>85</v>
      </c>
      <c r="D168" s="26">
        <f>13071600+3947600+6000+3000+148200-6000-52000-130000-626245</f>
        <v>16362155</v>
      </c>
      <c r="E168" s="26">
        <v>16358636.44</v>
      </c>
    </row>
    <row r="169" spans="1:5" ht="26.25" customHeight="1">
      <c r="A169" s="28" t="s">
        <v>39</v>
      </c>
      <c r="B169" s="22" t="s">
        <v>328</v>
      </c>
      <c r="C169" s="24" t="s">
        <v>92</v>
      </c>
      <c r="D169" s="26">
        <f>24570+6000+423600+62000+87000+70600+10000+44800+31200-16400+6000+7500-37850</f>
        <v>719020</v>
      </c>
      <c r="E169" s="26">
        <v>609025.13</v>
      </c>
    </row>
    <row r="170" spans="1:5" ht="16.5" customHeight="1">
      <c r="A170" s="30" t="s">
        <v>93</v>
      </c>
      <c r="B170" s="22" t="s">
        <v>328</v>
      </c>
      <c r="C170" s="24" t="s">
        <v>94</v>
      </c>
      <c r="D170" s="26">
        <f>37900+4000+3000+5000</f>
        <v>49900</v>
      </c>
      <c r="E170" s="26">
        <v>39552.5</v>
      </c>
    </row>
    <row r="171" spans="1:5" ht="29.25" customHeight="1">
      <c r="A171" s="153" t="s">
        <v>0</v>
      </c>
      <c r="B171" s="22" t="s">
        <v>448</v>
      </c>
      <c r="C171" s="24"/>
      <c r="D171" s="86">
        <f>D172</f>
        <v>1399000</v>
      </c>
      <c r="E171" s="86">
        <f>E172</f>
        <v>1399000</v>
      </c>
    </row>
    <row r="172" spans="1:5" ht="57" customHeight="1">
      <c r="A172" s="40" t="s">
        <v>253</v>
      </c>
      <c r="B172" s="22" t="s">
        <v>1</v>
      </c>
      <c r="C172" s="24"/>
      <c r="D172" s="86">
        <f>D173+D174</f>
        <v>1399000</v>
      </c>
      <c r="E172" s="86">
        <f>E173+E174</f>
        <v>1399000</v>
      </c>
    </row>
    <row r="173" spans="1:5" ht="26.25" hidden="1">
      <c r="A173" s="28" t="s">
        <v>39</v>
      </c>
      <c r="B173" s="22" t="s">
        <v>1</v>
      </c>
      <c r="C173" s="24" t="s">
        <v>92</v>
      </c>
      <c r="D173" s="86"/>
      <c r="E173" s="86"/>
    </row>
    <row r="174" spans="1:5" ht="19.5" customHeight="1">
      <c r="A174" s="33" t="s">
        <v>136</v>
      </c>
      <c r="B174" s="22" t="s">
        <v>1</v>
      </c>
      <c r="C174" s="24" t="s">
        <v>137</v>
      </c>
      <c r="D174" s="26">
        <v>1399000</v>
      </c>
      <c r="E174" s="26">
        <v>1399000</v>
      </c>
    </row>
    <row r="175" spans="1:5" s="47" customFormat="1" ht="43.5" customHeight="1">
      <c r="A175" s="68" t="s">
        <v>434</v>
      </c>
      <c r="B175" s="43" t="s">
        <v>435</v>
      </c>
      <c r="C175" s="44"/>
      <c r="D175" s="87">
        <f>D176+D181</f>
        <v>8701052</v>
      </c>
      <c r="E175" s="87">
        <f>E176+E181</f>
        <v>8648003.06</v>
      </c>
    </row>
    <row r="176" spans="1:5" ht="32.25" customHeight="1">
      <c r="A176" s="30" t="s">
        <v>436</v>
      </c>
      <c r="B176" s="22" t="s">
        <v>437</v>
      </c>
      <c r="C176" s="24"/>
      <c r="D176" s="86">
        <f>D177</f>
        <v>8492901</v>
      </c>
      <c r="E176" s="86">
        <f>E177</f>
        <v>8439852.06</v>
      </c>
    </row>
    <row r="177" spans="1:5" ht="18.75" customHeight="1">
      <c r="A177" s="30" t="s">
        <v>130</v>
      </c>
      <c r="B177" s="22" t="s">
        <v>438</v>
      </c>
      <c r="C177" s="24"/>
      <c r="D177" s="86">
        <f>D178+D179+D180</f>
        <v>8492901</v>
      </c>
      <c r="E177" s="86">
        <f>E178+E179+E180</f>
        <v>8439852.06</v>
      </c>
    </row>
    <row r="178" spans="1:5" ht="42" customHeight="1">
      <c r="A178" s="28" t="s">
        <v>84</v>
      </c>
      <c r="B178" s="22" t="s">
        <v>438</v>
      </c>
      <c r="C178" s="24" t="s">
        <v>85</v>
      </c>
      <c r="D178" s="26">
        <f>4870000+1470700+110400+579200+48556+482245+15000</f>
        <v>7576101</v>
      </c>
      <c r="E178" s="26">
        <v>7576101</v>
      </c>
    </row>
    <row r="179" spans="1:5" ht="27.75" customHeight="1">
      <c r="A179" s="28" t="s">
        <v>39</v>
      </c>
      <c r="B179" s="22" t="s">
        <v>438</v>
      </c>
      <c r="C179" s="24" t="s">
        <v>92</v>
      </c>
      <c r="D179" s="26">
        <f>112900+144900+55200+104000+107500+235800-35600+37300+7300+19000+12600+13300+69120+16150</f>
        <v>899470</v>
      </c>
      <c r="E179" s="26">
        <v>846466.8900000001</v>
      </c>
    </row>
    <row r="180" spans="1:5" ht="16.5" customHeight="1">
      <c r="A180" s="30" t="s">
        <v>93</v>
      </c>
      <c r="B180" s="22" t="s">
        <v>438</v>
      </c>
      <c r="C180" s="24" t="s">
        <v>94</v>
      </c>
      <c r="D180" s="26">
        <f>16800+530</f>
        <v>17330</v>
      </c>
      <c r="E180" s="26">
        <v>17284.17</v>
      </c>
    </row>
    <row r="181" spans="1:5" ht="27.75" customHeight="1">
      <c r="A181" s="30" t="s">
        <v>440</v>
      </c>
      <c r="B181" s="22" t="s">
        <v>441</v>
      </c>
      <c r="C181" s="24"/>
      <c r="D181" s="86">
        <f>D182+D184</f>
        <v>208151</v>
      </c>
      <c r="E181" s="86">
        <f>E182+E184</f>
        <v>208151</v>
      </c>
    </row>
    <row r="182" spans="1:5" ht="28.5" customHeight="1">
      <c r="A182" s="150" t="s">
        <v>252</v>
      </c>
      <c r="B182" s="22" t="s">
        <v>442</v>
      </c>
      <c r="C182" s="24"/>
      <c r="D182" s="86">
        <f>D183</f>
        <v>208151</v>
      </c>
      <c r="E182" s="86">
        <f>E183</f>
        <v>208151</v>
      </c>
    </row>
    <row r="183" spans="1:5" ht="39" customHeight="1">
      <c r="A183" s="28" t="s">
        <v>84</v>
      </c>
      <c r="B183" s="22" t="s">
        <v>442</v>
      </c>
      <c r="C183" s="24" t="s">
        <v>85</v>
      </c>
      <c r="D183" s="26">
        <f>117585+35511+55055</f>
        <v>208151</v>
      </c>
      <c r="E183" s="26">
        <f>117585+35511+55055</f>
        <v>208151</v>
      </c>
    </row>
    <row r="184" spans="1:5" ht="16.5" customHeight="1" hidden="1">
      <c r="A184" s="28" t="s">
        <v>439</v>
      </c>
      <c r="B184" s="22" t="s">
        <v>443</v>
      </c>
      <c r="C184" s="24"/>
      <c r="D184" s="86">
        <f>D185</f>
        <v>0</v>
      </c>
      <c r="E184" s="86">
        <f>E185</f>
        <v>0</v>
      </c>
    </row>
    <row r="185" spans="1:5" ht="27" customHeight="1" hidden="1">
      <c r="A185" s="28" t="s">
        <v>39</v>
      </c>
      <c r="B185" s="22" t="s">
        <v>443</v>
      </c>
      <c r="C185" s="24" t="s">
        <v>92</v>
      </c>
      <c r="D185" s="86"/>
      <c r="E185" s="86"/>
    </row>
    <row r="186" spans="1:5" ht="43.5" customHeight="1">
      <c r="A186" s="134" t="s">
        <v>153</v>
      </c>
      <c r="B186" s="22" t="s">
        <v>54</v>
      </c>
      <c r="C186" s="24"/>
      <c r="D186" s="86">
        <f>D187</f>
        <v>100000</v>
      </c>
      <c r="E186" s="86">
        <f>E187</f>
        <v>58681.520000000004</v>
      </c>
    </row>
    <row r="187" spans="1:5" s="47" customFormat="1" ht="54" customHeight="1">
      <c r="A187" s="102" t="s">
        <v>154</v>
      </c>
      <c r="B187" s="43" t="s">
        <v>55</v>
      </c>
      <c r="C187" s="44"/>
      <c r="D187" s="87">
        <f>D188</f>
        <v>100000</v>
      </c>
      <c r="E187" s="87">
        <f>E188</f>
        <v>58681.520000000004</v>
      </c>
    </row>
    <row r="188" spans="1:5" s="47" customFormat="1" ht="44.25" customHeight="1">
      <c r="A188" s="30" t="s">
        <v>533</v>
      </c>
      <c r="B188" s="22" t="s">
        <v>56</v>
      </c>
      <c r="C188" s="24"/>
      <c r="D188" s="26">
        <f>D189+D191</f>
        <v>100000</v>
      </c>
      <c r="E188" s="26">
        <f>E189+E191</f>
        <v>58681.520000000004</v>
      </c>
    </row>
    <row r="189" spans="1:5" ht="18" customHeight="1" hidden="1">
      <c r="A189" s="27" t="s">
        <v>53</v>
      </c>
      <c r="B189" s="22" t="s">
        <v>57</v>
      </c>
      <c r="C189" s="24"/>
      <c r="D189" s="26">
        <f>D190</f>
        <v>0</v>
      </c>
      <c r="E189" s="26">
        <f>E190</f>
        <v>0</v>
      </c>
    </row>
    <row r="190" spans="1:5" ht="27" customHeight="1" hidden="1">
      <c r="A190" s="28" t="s">
        <v>39</v>
      </c>
      <c r="B190" s="22" t="s">
        <v>57</v>
      </c>
      <c r="C190" s="24" t="s">
        <v>92</v>
      </c>
      <c r="D190" s="26"/>
      <c r="E190" s="26"/>
    </row>
    <row r="191" spans="1:5" ht="18.75" customHeight="1">
      <c r="A191" s="27" t="s">
        <v>524</v>
      </c>
      <c r="B191" s="22" t="s">
        <v>531</v>
      </c>
      <c r="C191" s="24"/>
      <c r="D191" s="26">
        <f>D192</f>
        <v>100000</v>
      </c>
      <c r="E191" s="26">
        <f>E192</f>
        <v>58681.520000000004</v>
      </c>
    </row>
    <row r="192" spans="1:5" ht="27" customHeight="1">
      <c r="A192" s="28" t="s">
        <v>39</v>
      </c>
      <c r="B192" s="22" t="s">
        <v>531</v>
      </c>
      <c r="C192" s="24" t="s">
        <v>92</v>
      </c>
      <c r="D192" s="26">
        <v>100000</v>
      </c>
      <c r="E192" s="26">
        <v>58681.520000000004</v>
      </c>
    </row>
    <row r="193" spans="1:5" ht="42.75" customHeight="1">
      <c r="A193" s="142" t="s">
        <v>222</v>
      </c>
      <c r="B193" s="32" t="s">
        <v>294</v>
      </c>
      <c r="C193" s="24"/>
      <c r="D193" s="84">
        <f>D194</f>
        <v>0</v>
      </c>
      <c r="E193" s="84">
        <f>E194</f>
        <v>0</v>
      </c>
    </row>
    <row r="194" spans="1:5" s="47" customFormat="1" ht="67.5" customHeight="1">
      <c r="A194" s="60" t="s">
        <v>223</v>
      </c>
      <c r="B194" s="74" t="s">
        <v>295</v>
      </c>
      <c r="C194" s="44"/>
      <c r="D194" s="83">
        <f>D196</f>
        <v>0</v>
      </c>
      <c r="E194" s="83">
        <f>E196</f>
        <v>0</v>
      </c>
    </row>
    <row r="195" spans="1:5" s="47" customFormat="1" ht="31.5" customHeight="1">
      <c r="A195" s="30" t="s">
        <v>297</v>
      </c>
      <c r="B195" s="32" t="s">
        <v>296</v>
      </c>
      <c r="C195" s="24"/>
      <c r="D195" s="84">
        <f>D196</f>
        <v>0</v>
      </c>
      <c r="E195" s="84">
        <f>E196</f>
        <v>0</v>
      </c>
    </row>
    <row r="196" spans="1:5" ht="15.75">
      <c r="A196" s="41" t="s">
        <v>155</v>
      </c>
      <c r="B196" s="32" t="s">
        <v>298</v>
      </c>
      <c r="C196" s="24"/>
      <c r="D196" s="84">
        <f>D197</f>
        <v>0</v>
      </c>
      <c r="E196" s="84">
        <f>E197</f>
        <v>0</v>
      </c>
    </row>
    <row r="197" spans="1:5" ht="30.75" customHeight="1">
      <c r="A197" s="28" t="s">
        <v>39</v>
      </c>
      <c r="B197" s="32" t="s">
        <v>298</v>
      </c>
      <c r="C197" s="24" t="s">
        <v>92</v>
      </c>
      <c r="D197" s="84">
        <f>50000-50000</f>
        <v>0</v>
      </c>
      <c r="E197" s="84">
        <f>50000-50000</f>
        <v>0</v>
      </c>
    </row>
    <row r="198" spans="1:5" ht="43.5" customHeight="1" hidden="1">
      <c r="A198" s="41" t="s">
        <v>167</v>
      </c>
      <c r="B198" s="32" t="s">
        <v>244</v>
      </c>
      <c r="C198" s="29"/>
      <c r="D198" s="86">
        <f>D199</f>
        <v>0</v>
      </c>
      <c r="E198" s="86">
        <f>E199</f>
        <v>0</v>
      </c>
    </row>
    <row r="199" spans="1:5" s="47" customFormat="1" ht="54" customHeight="1" hidden="1">
      <c r="A199" s="64" t="s">
        <v>177</v>
      </c>
      <c r="B199" s="61" t="s">
        <v>245</v>
      </c>
      <c r="C199" s="57"/>
      <c r="D199" s="87">
        <f>D200</f>
        <v>0</v>
      </c>
      <c r="E199" s="87">
        <f>E200</f>
        <v>0</v>
      </c>
    </row>
    <row r="200" spans="1:5" ht="27" customHeight="1" hidden="1">
      <c r="A200" s="30" t="s">
        <v>51</v>
      </c>
      <c r="B200" s="36" t="s">
        <v>300</v>
      </c>
      <c r="C200" s="29"/>
      <c r="D200" s="86">
        <f>D201+D203+D205+D207</f>
        <v>0</v>
      </c>
      <c r="E200" s="86">
        <f>E201+E203+E205+E207</f>
        <v>0</v>
      </c>
    </row>
    <row r="201" spans="1:5" ht="39" hidden="1">
      <c r="A201" s="42" t="s">
        <v>46</v>
      </c>
      <c r="B201" s="36" t="s">
        <v>40</v>
      </c>
      <c r="C201" s="29"/>
      <c r="D201" s="86">
        <f>D202</f>
        <v>0</v>
      </c>
      <c r="E201" s="86">
        <f>E202</f>
        <v>0</v>
      </c>
    </row>
    <row r="202" spans="1:5" ht="15" hidden="1">
      <c r="A202" s="40" t="s">
        <v>132</v>
      </c>
      <c r="B202" s="36" t="s">
        <v>40</v>
      </c>
      <c r="C202" s="29" t="s">
        <v>133</v>
      </c>
      <c r="D202" s="86"/>
      <c r="E202" s="86"/>
    </row>
    <row r="203" spans="1:5" ht="51.75" hidden="1">
      <c r="A203" s="42" t="s">
        <v>47</v>
      </c>
      <c r="B203" s="36" t="s">
        <v>41</v>
      </c>
      <c r="C203" s="29"/>
      <c r="D203" s="86">
        <f>D204</f>
        <v>0</v>
      </c>
      <c r="E203" s="86">
        <f>E204</f>
        <v>0</v>
      </c>
    </row>
    <row r="204" spans="1:5" ht="15" hidden="1">
      <c r="A204" s="40" t="s">
        <v>132</v>
      </c>
      <c r="B204" s="36" t="s">
        <v>41</v>
      </c>
      <c r="C204" s="29" t="s">
        <v>133</v>
      </c>
      <c r="D204" s="86"/>
      <c r="E204" s="86"/>
    </row>
    <row r="205" spans="1:5" ht="25.5" hidden="1">
      <c r="A205" s="112" t="s">
        <v>595</v>
      </c>
      <c r="B205" s="36" t="s">
        <v>596</v>
      </c>
      <c r="C205" s="29"/>
      <c r="D205" s="86">
        <f>D206</f>
        <v>0</v>
      </c>
      <c r="E205" s="86">
        <f>E206</f>
        <v>0</v>
      </c>
    </row>
    <row r="206" spans="1:5" ht="15" hidden="1">
      <c r="A206" s="40" t="s">
        <v>132</v>
      </c>
      <c r="B206" s="36" t="s">
        <v>596</v>
      </c>
      <c r="C206" s="29" t="s">
        <v>133</v>
      </c>
      <c r="D206" s="86"/>
      <c r="E206" s="86"/>
    </row>
    <row r="207" spans="1:5" ht="25.5" hidden="1">
      <c r="A207" s="112" t="s">
        <v>597</v>
      </c>
      <c r="B207" s="36" t="s">
        <v>583</v>
      </c>
      <c r="C207" s="29"/>
      <c r="D207" s="86">
        <f>D208</f>
        <v>0</v>
      </c>
      <c r="E207" s="86">
        <f>E208</f>
        <v>0</v>
      </c>
    </row>
    <row r="208" spans="1:5" ht="15" hidden="1">
      <c r="A208" s="40" t="s">
        <v>132</v>
      </c>
      <c r="B208" s="36" t="s">
        <v>583</v>
      </c>
      <c r="C208" s="29" t="s">
        <v>133</v>
      </c>
      <c r="D208" s="26">
        <f>1500000-80000-100000-200000-1120000</f>
        <v>0</v>
      </c>
      <c r="E208" s="26">
        <f>1500000-80000-100000-200000-1120000</f>
        <v>0</v>
      </c>
    </row>
    <row r="209" spans="1:5" ht="42" customHeight="1">
      <c r="A209" s="139" t="s">
        <v>45</v>
      </c>
      <c r="B209" s="37" t="s">
        <v>19</v>
      </c>
      <c r="C209" s="24"/>
      <c r="D209" s="84">
        <f>D221+D210</f>
        <v>4499155</v>
      </c>
      <c r="E209" s="84">
        <f>E221+E210</f>
        <v>3311715</v>
      </c>
    </row>
    <row r="210" spans="1:5" s="47" customFormat="1" ht="64.5" hidden="1">
      <c r="A210" s="66" t="s">
        <v>179</v>
      </c>
      <c r="B210" s="61" t="s">
        <v>269</v>
      </c>
      <c r="C210" s="57"/>
      <c r="D210" s="83">
        <f>D211+D214</f>
        <v>0</v>
      </c>
      <c r="E210" s="83">
        <f>E211+E214</f>
        <v>0</v>
      </c>
    </row>
    <row r="211" spans="1:5" ht="25.5" hidden="1">
      <c r="A211" s="30" t="s">
        <v>273</v>
      </c>
      <c r="B211" s="32" t="s">
        <v>270</v>
      </c>
      <c r="C211" s="29"/>
      <c r="D211" s="84">
        <f>D213</f>
        <v>0</v>
      </c>
      <c r="E211" s="84">
        <f>E213</f>
        <v>0</v>
      </c>
    </row>
    <row r="212" spans="1:5" ht="15.75" hidden="1">
      <c r="A212" s="40" t="s">
        <v>180</v>
      </c>
      <c r="B212" s="36" t="s">
        <v>272</v>
      </c>
      <c r="C212" s="29"/>
      <c r="D212" s="84">
        <f>D213</f>
        <v>0</v>
      </c>
      <c r="E212" s="84">
        <f>E213</f>
        <v>0</v>
      </c>
    </row>
    <row r="213" spans="1:5" ht="15.75" hidden="1">
      <c r="A213" s="40" t="s">
        <v>132</v>
      </c>
      <c r="B213" s="36" t="s">
        <v>272</v>
      </c>
      <c r="C213" s="29" t="s">
        <v>133</v>
      </c>
      <c r="D213" s="84"/>
      <c r="E213" s="84"/>
    </row>
    <row r="214" spans="1:5" ht="26.25" hidden="1">
      <c r="A214" s="21" t="s">
        <v>271</v>
      </c>
      <c r="B214" s="32" t="s">
        <v>274</v>
      </c>
      <c r="C214" s="29"/>
      <c r="D214" s="84">
        <f>D215</f>
        <v>0</v>
      </c>
      <c r="E214" s="84">
        <f>E215</f>
        <v>0</v>
      </c>
    </row>
    <row r="215" spans="1:5" ht="15.75" hidden="1">
      <c r="A215" s="27" t="s">
        <v>334</v>
      </c>
      <c r="B215" s="36" t="s">
        <v>275</v>
      </c>
      <c r="C215" s="29"/>
      <c r="D215" s="84">
        <f>D216</f>
        <v>0</v>
      </c>
      <c r="E215" s="84">
        <f>E216</f>
        <v>0</v>
      </c>
    </row>
    <row r="216" spans="1:5" ht="15.75" hidden="1">
      <c r="A216" s="40" t="s">
        <v>132</v>
      </c>
      <c r="B216" s="36" t="s">
        <v>275</v>
      </c>
      <c r="C216" s="29" t="s">
        <v>133</v>
      </c>
      <c r="D216" s="84"/>
      <c r="E216" s="84"/>
    </row>
    <row r="217" spans="1:5" ht="15.75" hidden="1">
      <c r="A217" s="40" t="s">
        <v>180</v>
      </c>
      <c r="B217" s="36" t="s">
        <v>237</v>
      </c>
      <c r="C217" s="29"/>
      <c r="D217" s="84">
        <f>D218</f>
        <v>0</v>
      </c>
      <c r="E217" s="84">
        <f>E218</f>
        <v>0</v>
      </c>
    </row>
    <row r="218" spans="1:5" ht="15.75" hidden="1">
      <c r="A218" s="40" t="s">
        <v>132</v>
      </c>
      <c r="B218" s="36" t="s">
        <v>237</v>
      </c>
      <c r="C218" s="29" t="s">
        <v>133</v>
      </c>
      <c r="D218" s="84"/>
      <c r="E218" s="84"/>
    </row>
    <row r="219" spans="1:5" ht="15.75" hidden="1">
      <c r="A219" s="40" t="s">
        <v>181</v>
      </c>
      <c r="B219" s="36" t="s">
        <v>238</v>
      </c>
      <c r="C219" s="29"/>
      <c r="D219" s="84">
        <f>D220</f>
        <v>0</v>
      </c>
      <c r="E219" s="84">
        <f>E220</f>
        <v>0</v>
      </c>
    </row>
    <row r="220" spans="1:5" ht="15.75" hidden="1">
      <c r="A220" s="40" t="s">
        <v>132</v>
      </c>
      <c r="B220" s="36" t="s">
        <v>238</v>
      </c>
      <c r="C220" s="29" t="s">
        <v>133</v>
      </c>
      <c r="D220" s="84"/>
      <c r="E220" s="84"/>
    </row>
    <row r="221" spans="1:5" s="47" customFormat="1" ht="62.25" customHeight="1">
      <c r="A221" s="60" t="s">
        <v>157</v>
      </c>
      <c r="B221" s="63" t="s">
        <v>276</v>
      </c>
      <c r="C221" s="44"/>
      <c r="D221" s="84">
        <f>D222+D229+D235+D244+D238</f>
        <v>4499155</v>
      </c>
      <c r="E221" s="84">
        <f>E222+E229+E235+E244+E238</f>
        <v>3311715</v>
      </c>
    </row>
    <row r="222" spans="1:5" s="47" customFormat="1" ht="26.25" hidden="1">
      <c r="A222" s="141" t="s">
        <v>259</v>
      </c>
      <c r="B222" s="32" t="s">
        <v>260</v>
      </c>
      <c r="C222" s="29"/>
      <c r="D222" s="84">
        <f>D223+D225+D227</f>
        <v>0</v>
      </c>
      <c r="E222" s="84">
        <f>E223+E225+E227</f>
        <v>0</v>
      </c>
    </row>
    <row r="223" spans="1:5" s="47" customFormat="1" ht="39" hidden="1">
      <c r="A223" s="27" t="s">
        <v>261</v>
      </c>
      <c r="B223" s="32" t="s">
        <v>262</v>
      </c>
      <c r="C223" s="29"/>
      <c r="D223" s="84">
        <f>D224</f>
        <v>0</v>
      </c>
      <c r="E223" s="84">
        <f>E224</f>
        <v>0</v>
      </c>
    </row>
    <row r="224" spans="1:5" s="47" customFormat="1" ht="15.75" hidden="1">
      <c r="A224" s="40" t="s">
        <v>132</v>
      </c>
      <c r="B224" s="32" t="s">
        <v>262</v>
      </c>
      <c r="C224" s="29" t="s">
        <v>133</v>
      </c>
      <c r="D224" s="84"/>
      <c r="E224" s="84"/>
    </row>
    <row r="225" spans="1:5" s="47" customFormat="1" ht="26.25" hidden="1">
      <c r="A225" s="27" t="s">
        <v>265</v>
      </c>
      <c r="B225" s="32" t="s">
        <v>266</v>
      </c>
      <c r="C225" s="29"/>
      <c r="D225" s="84">
        <f>D226</f>
        <v>0</v>
      </c>
      <c r="E225" s="84">
        <f>E226</f>
        <v>0</v>
      </c>
    </row>
    <row r="226" spans="1:5" s="47" customFormat="1" ht="15.75" hidden="1">
      <c r="A226" s="40" t="s">
        <v>132</v>
      </c>
      <c r="B226" s="32" t="s">
        <v>266</v>
      </c>
      <c r="C226" s="29" t="s">
        <v>133</v>
      </c>
      <c r="D226" s="84"/>
      <c r="E226" s="84"/>
    </row>
    <row r="227" spans="1:5" s="47" customFormat="1" ht="26.25" hidden="1">
      <c r="A227" s="27" t="s">
        <v>265</v>
      </c>
      <c r="B227" s="32" t="s">
        <v>267</v>
      </c>
      <c r="C227" s="29"/>
      <c r="D227" s="84">
        <f>D228</f>
        <v>0</v>
      </c>
      <c r="E227" s="84">
        <f>E228</f>
        <v>0</v>
      </c>
    </row>
    <row r="228" spans="1:5" s="47" customFormat="1" ht="15.75" hidden="1">
      <c r="A228" s="40" t="s">
        <v>132</v>
      </c>
      <c r="B228" s="32" t="s">
        <v>267</v>
      </c>
      <c r="C228" s="29" t="s">
        <v>133</v>
      </c>
      <c r="D228" s="84"/>
      <c r="E228" s="84"/>
    </row>
    <row r="229" spans="1:5" s="47" customFormat="1" ht="25.5" hidden="1">
      <c r="A229" s="30" t="s">
        <v>263</v>
      </c>
      <c r="B229" s="32" t="s">
        <v>264</v>
      </c>
      <c r="C229" s="29"/>
      <c r="D229" s="84">
        <f>D230+D232</f>
        <v>0</v>
      </c>
      <c r="E229" s="84">
        <f>E230+E232</f>
        <v>0</v>
      </c>
    </row>
    <row r="230" spans="1:5" s="47" customFormat="1" ht="24" hidden="1">
      <c r="A230" s="171" t="s">
        <v>593</v>
      </c>
      <c r="B230" s="32" t="s">
        <v>585</v>
      </c>
      <c r="C230" s="29"/>
      <c r="D230" s="84">
        <f>D231</f>
        <v>0</v>
      </c>
      <c r="E230" s="84">
        <f>E231</f>
        <v>0</v>
      </c>
    </row>
    <row r="231" spans="1:5" s="47" customFormat="1" ht="15.75" hidden="1">
      <c r="A231" s="40" t="s">
        <v>132</v>
      </c>
      <c r="B231" s="32" t="s">
        <v>585</v>
      </c>
      <c r="C231" s="29" t="s">
        <v>133</v>
      </c>
      <c r="D231" s="84"/>
      <c r="E231" s="84"/>
    </row>
    <row r="232" spans="1:5" s="47" customFormat="1" ht="28.5" customHeight="1" hidden="1">
      <c r="A232" s="171" t="s">
        <v>594</v>
      </c>
      <c r="B232" s="32" t="s">
        <v>584</v>
      </c>
      <c r="C232" s="29"/>
      <c r="D232" s="84">
        <f>D234+D233</f>
        <v>0</v>
      </c>
      <c r="E232" s="84">
        <f>E234+E233</f>
        <v>0</v>
      </c>
    </row>
    <row r="233" spans="1:5" s="47" customFormat="1" ht="21" customHeight="1" hidden="1">
      <c r="A233" s="28" t="s">
        <v>530</v>
      </c>
      <c r="B233" s="32" t="s">
        <v>584</v>
      </c>
      <c r="C233" s="29" t="s">
        <v>529</v>
      </c>
      <c r="D233" s="84"/>
      <c r="E233" s="84"/>
    </row>
    <row r="234" spans="1:5" s="47" customFormat="1" ht="15.75" hidden="1">
      <c r="A234" s="40" t="s">
        <v>132</v>
      </c>
      <c r="B234" s="32" t="s">
        <v>584</v>
      </c>
      <c r="C234" s="29" t="s">
        <v>133</v>
      </c>
      <c r="D234" s="100"/>
      <c r="E234" s="100"/>
    </row>
    <row r="235" spans="1:5" s="47" customFormat="1" ht="30.75" customHeight="1">
      <c r="A235" s="30" t="s">
        <v>256</v>
      </c>
      <c r="B235" s="32" t="s">
        <v>268</v>
      </c>
      <c r="C235" s="29"/>
      <c r="D235" s="86">
        <f>D236</f>
        <v>2695300</v>
      </c>
      <c r="E235" s="86">
        <f>E236</f>
        <v>2695300</v>
      </c>
    </row>
    <row r="236" spans="1:5" s="47" customFormat="1" ht="39">
      <c r="A236" s="27" t="s">
        <v>257</v>
      </c>
      <c r="B236" s="32" t="s">
        <v>258</v>
      </c>
      <c r="C236" s="29"/>
      <c r="D236" s="86">
        <f>D237</f>
        <v>2695300</v>
      </c>
      <c r="E236" s="86">
        <f>E237</f>
        <v>2695300</v>
      </c>
    </row>
    <row r="237" spans="1:5" s="47" customFormat="1" ht="15">
      <c r="A237" s="40" t="s">
        <v>132</v>
      </c>
      <c r="B237" s="32" t="s">
        <v>258</v>
      </c>
      <c r="C237" s="29" t="s">
        <v>133</v>
      </c>
      <c r="D237" s="86">
        <f>2000000+80000+165300+100000+350000</f>
        <v>2695300</v>
      </c>
      <c r="E237" s="86">
        <f>2000000+80000+165300+100000+350000</f>
        <v>2695300</v>
      </c>
    </row>
    <row r="238" spans="1:5" s="47" customFormat="1" ht="51" customHeight="1">
      <c r="A238" s="28" t="s">
        <v>623</v>
      </c>
      <c r="B238" s="22" t="s">
        <v>624</v>
      </c>
      <c r="C238" s="29"/>
      <c r="D238" s="26">
        <f>D239+D241</f>
        <v>1034845</v>
      </c>
      <c r="E238" s="26">
        <f>E239+E241</f>
        <v>10000</v>
      </c>
    </row>
    <row r="239" spans="1:5" s="47" customFormat="1" ht="26.25">
      <c r="A239" s="28" t="s">
        <v>625</v>
      </c>
      <c r="B239" s="22" t="s">
        <v>626</v>
      </c>
      <c r="C239" s="29"/>
      <c r="D239" s="26">
        <f>D240</f>
        <v>954845</v>
      </c>
      <c r="E239" s="26">
        <f>E240</f>
        <v>0</v>
      </c>
    </row>
    <row r="240" spans="1:5" s="47" customFormat="1" ht="22.5" customHeight="1">
      <c r="A240" s="40" t="s">
        <v>132</v>
      </c>
      <c r="B240" s="22" t="s">
        <v>626</v>
      </c>
      <c r="C240" s="29" t="s">
        <v>133</v>
      </c>
      <c r="D240" s="26">
        <f>954845</f>
        <v>954845</v>
      </c>
      <c r="E240" s="26"/>
    </row>
    <row r="241" spans="1:5" s="47" customFormat="1" ht="26.25">
      <c r="A241" s="40" t="s">
        <v>628</v>
      </c>
      <c r="B241" s="22" t="s">
        <v>627</v>
      </c>
      <c r="C241" s="29"/>
      <c r="D241" s="26">
        <f>D243+D242</f>
        <v>80000</v>
      </c>
      <c r="E241" s="26">
        <f>E243+E242</f>
        <v>10000</v>
      </c>
    </row>
    <row r="242" spans="1:5" s="47" customFormat="1" ht="26.25">
      <c r="A242" s="28" t="s">
        <v>39</v>
      </c>
      <c r="B242" s="22" t="s">
        <v>627</v>
      </c>
      <c r="C242" s="29" t="s">
        <v>92</v>
      </c>
      <c r="D242" s="26">
        <f>10000</f>
        <v>10000</v>
      </c>
      <c r="E242" s="26">
        <f>10000</f>
        <v>10000</v>
      </c>
    </row>
    <row r="243" spans="1:5" s="47" customFormat="1" ht="26.25">
      <c r="A243" s="40" t="s">
        <v>530</v>
      </c>
      <c r="B243" s="22" t="s">
        <v>627</v>
      </c>
      <c r="C243" s="29" t="s">
        <v>529</v>
      </c>
      <c r="D243" s="26">
        <f>80000-10000</f>
        <v>70000</v>
      </c>
      <c r="E243" s="26"/>
    </row>
    <row r="244" spans="1:5" s="47" customFormat="1" ht="30" customHeight="1">
      <c r="A244" s="30" t="s">
        <v>532</v>
      </c>
      <c r="B244" s="32" t="s">
        <v>486</v>
      </c>
      <c r="C244" s="29"/>
      <c r="D244" s="86">
        <f>D249+D246+D247</f>
        <v>769010</v>
      </c>
      <c r="E244" s="86">
        <f>E249+E246+E247</f>
        <v>606415</v>
      </c>
    </row>
    <row r="245" spans="1:5" s="47" customFormat="1" ht="30" customHeight="1">
      <c r="A245" s="30" t="s">
        <v>591</v>
      </c>
      <c r="B245" s="32" t="s">
        <v>589</v>
      </c>
      <c r="C245" s="29"/>
      <c r="D245" s="86">
        <f>D246</f>
        <v>424491</v>
      </c>
      <c r="E245" s="86">
        <f>E246</f>
        <v>424491</v>
      </c>
    </row>
    <row r="246" spans="1:5" s="47" customFormat="1" ht="15">
      <c r="A246" s="40" t="s">
        <v>132</v>
      </c>
      <c r="B246" s="32" t="s">
        <v>589</v>
      </c>
      <c r="C246" s="29" t="s">
        <v>133</v>
      </c>
      <c r="D246" s="86">
        <f>424491</f>
        <v>424491</v>
      </c>
      <c r="E246" s="86">
        <f>424491</f>
        <v>424491</v>
      </c>
    </row>
    <row r="247" spans="1:5" s="47" customFormat="1" ht="30" customHeight="1">
      <c r="A247" s="30" t="s">
        <v>592</v>
      </c>
      <c r="B247" s="32" t="s">
        <v>590</v>
      </c>
      <c r="C247" s="29"/>
      <c r="D247" s="86">
        <f>D248</f>
        <v>344519</v>
      </c>
      <c r="E247" s="86">
        <f>E248</f>
        <v>181924</v>
      </c>
    </row>
    <row r="248" spans="1:5" s="47" customFormat="1" ht="23.25" customHeight="1">
      <c r="A248" s="40" t="s">
        <v>132</v>
      </c>
      <c r="B248" s="32" t="s">
        <v>590</v>
      </c>
      <c r="C248" s="29" t="s">
        <v>133</v>
      </c>
      <c r="D248" s="26">
        <v>344519</v>
      </c>
      <c r="E248" s="26">
        <v>181924</v>
      </c>
    </row>
    <row r="249" spans="1:5" s="47" customFormat="1" ht="30" customHeight="1" hidden="1">
      <c r="A249" s="40" t="s">
        <v>488</v>
      </c>
      <c r="B249" s="32" t="s">
        <v>487</v>
      </c>
      <c r="C249" s="29"/>
      <c r="D249" s="86">
        <f>D250</f>
        <v>0</v>
      </c>
      <c r="E249" s="86">
        <f>E250</f>
        <v>0</v>
      </c>
    </row>
    <row r="250" spans="1:5" s="47" customFormat="1" ht="15" hidden="1">
      <c r="A250" s="40" t="s">
        <v>132</v>
      </c>
      <c r="B250" s="32" t="s">
        <v>487</v>
      </c>
      <c r="C250" s="29" t="s">
        <v>133</v>
      </c>
      <c r="D250" s="86">
        <f>400000-400000</f>
        <v>0</v>
      </c>
      <c r="E250" s="86">
        <f>400000-400000</f>
        <v>0</v>
      </c>
    </row>
    <row r="251" spans="1:5" ht="45" customHeight="1">
      <c r="A251" s="30" t="s">
        <v>304</v>
      </c>
      <c r="B251" s="36" t="s">
        <v>301</v>
      </c>
      <c r="C251" s="24"/>
      <c r="D251" s="86">
        <f>D252+D257+D267</f>
        <v>3733616.06</v>
      </c>
      <c r="E251" s="86">
        <f>E252+E257+E267</f>
        <v>3722417.94</v>
      </c>
    </row>
    <row r="252" spans="1:5" s="47" customFormat="1" ht="63" customHeight="1">
      <c r="A252" s="30" t="s">
        <v>305</v>
      </c>
      <c r="B252" s="36" t="s">
        <v>302</v>
      </c>
      <c r="C252" s="35"/>
      <c r="D252" s="86">
        <f>D253</f>
        <v>85000</v>
      </c>
      <c r="E252" s="86">
        <f>E253</f>
        <v>85000</v>
      </c>
    </row>
    <row r="253" spans="1:5" ht="45" customHeight="1">
      <c r="A253" s="30" t="s">
        <v>613</v>
      </c>
      <c r="B253" s="36" t="s">
        <v>303</v>
      </c>
      <c r="C253" s="35"/>
      <c r="D253" s="86">
        <f>D254</f>
        <v>85000</v>
      </c>
      <c r="E253" s="86">
        <f>E254</f>
        <v>85000</v>
      </c>
    </row>
    <row r="254" spans="1:5" ht="15.75" customHeight="1">
      <c r="A254" s="30" t="s">
        <v>183</v>
      </c>
      <c r="B254" s="36" t="s">
        <v>306</v>
      </c>
      <c r="C254" s="35"/>
      <c r="D254" s="86">
        <f>D255+D256</f>
        <v>85000</v>
      </c>
      <c r="E254" s="86">
        <f>E255+E256</f>
        <v>85000</v>
      </c>
    </row>
    <row r="255" spans="1:5" s="47" customFormat="1" ht="26.25">
      <c r="A255" s="28" t="s">
        <v>39</v>
      </c>
      <c r="B255" s="36" t="s">
        <v>306</v>
      </c>
      <c r="C255" s="35" t="s">
        <v>92</v>
      </c>
      <c r="D255" s="86">
        <f>85000-20000</f>
        <v>65000</v>
      </c>
      <c r="E255" s="86">
        <f>85000-20000</f>
        <v>65000</v>
      </c>
    </row>
    <row r="256" spans="1:5" s="47" customFormat="1" ht="15">
      <c r="A256" s="21" t="s">
        <v>136</v>
      </c>
      <c r="B256" s="36" t="s">
        <v>306</v>
      </c>
      <c r="C256" s="35" t="s">
        <v>137</v>
      </c>
      <c r="D256" s="86">
        <f>20000</f>
        <v>20000</v>
      </c>
      <c r="E256" s="86">
        <f>20000</f>
        <v>20000</v>
      </c>
    </row>
    <row r="257" spans="1:5" s="47" customFormat="1" ht="68.25" customHeight="1">
      <c r="A257" s="60" t="s">
        <v>308</v>
      </c>
      <c r="B257" s="61" t="s">
        <v>307</v>
      </c>
      <c r="C257" s="44"/>
      <c r="D257" s="87">
        <f>D258+D262</f>
        <v>150000</v>
      </c>
      <c r="E257" s="87">
        <f>E258+E262</f>
        <v>149905</v>
      </c>
    </row>
    <row r="258" spans="1:5" s="47" customFormat="1" ht="44.25" customHeight="1">
      <c r="A258" s="135" t="s">
        <v>309</v>
      </c>
      <c r="B258" s="36" t="s">
        <v>310</v>
      </c>
      <c r="C258" s="24"/>
      <c r="D258" s="86">
        <f>D259</f>
        <v>150000</v>
      </c>
      <c r="E258" s="86">
        <f>E259</f>
        <v>149905</v>
      </c>
    </row>
    <row r="259" spans="1:5" ht="39">
      <c r="A259" s="21" t="s">
        <v>211</v>
      </c>
      <c r="B259" s="36" t="s">
        <v>311</v>
      </c>
      <c r="C259" s="24"/>
      <c r="D259" s="86">
        <f>D261+D260</f>
        <v>150000</v>
      </c>
      <c r="E259" s="86">
        <f>E261+E260</f>
        <v>149905</v>
      </c>
    </row>
    <row r="260" spans="1:5" ht="39">
      <c r="A260" s="28" t="s">
        <v>84</v>
      </c>
      <c r="B260" s="36" t="s">
        <v>311</v>
      </c>
      <c r="C260" s="24" t="s">
        <v>85</v>
      </c>
      <c r="D260" s="86">
        <f>3195-3195</f>
        <v>0</v>
      </c>
      <c r="E260" s="86">
        <f>3195-3195</f>
        <v>0</v>
      </c>
    </row>
    <row r="261" spans="1:5" s="47" customFormat="1" ht="25.5" customHeight="1">
      <c r="A261" s="28" t="s">
        <v>39</v>
      </c>
      <c r="B261" s="36" t="s">
        <v>311</v>
      </c>
      <c r="C261" s="24" t="s">
        <v>92</v>
      </c>
      <c r="D261" s="86">
        <f>130000-3195+20000+3195</f>
        <v>150000</v>
      </c>
      <c r="E261" s="86">
        <v>149905</v>
      </c>
    </row>
    <row r="262" spans="1:5" s="47" customFormat="1" ht="41.25" customHeight="1" hidden="1">
      <c r="A262" s="135" t="s">
        <v>314</v>
      </c>
      <c r="B262" s="36" t="s">
        <v>312</v>
      </c>
      <c r="C262" s="24"/>
      <c r="D262" s="86">
        <f>D263</f>
        <v>0</v>
      </c>
      <c r="E262" s="86">
        <f>E263</f>
        <v>0</v>
      </c>
    </row>
    <row r="263" spans="1:5" s="47" customFormat="1" ht="30" customHeight="1" hidden="1">
      <c r="A263" s="30" t="s">
        <v>130</v>
      </c>
      <c r="B263" s="36" t="s">
        <v>333</v>
      </c>
      <c r="C263" s="24"/>
      <c r="D263" s="86">
        <f>D264+D265+D266</f>
        <v>0</v>
      </c>
      <c r="E263" s="86">
        <f>E264+E265+E266</f>
        <v>0</v>
      </c>
    </row>
    <row r="264" spans="1:5" ht="41.25" customHeight="1" hidden="1">
      <c r="A264" s="28" t="s">
        <v>84</v>
      </c>
      <c r="B264" s="36" t="s">
        <v>333</v>
      </c>
      <c r="C264" s="24" t="s">
        <v>85</v>
      </c>
      <c r="D264" s="86"/>
      <c r="E264" s="86"/>
    </row>
    <row r="265" spans="1:5" ht="28.5" customHeight="1" hidden="1">
      <c r="A265" s="28" t="s">
        <v>39</v>
      </c>
      <c r="B265" s="36" t="s">
        <v>333</v>
      </c>
      <c r="C265" s="24" t="s">
        <v>92</v>
      </c>
      <c r="D265" s="86"/>
      <c r="E265" s="86"/>
    </row>
    <row r="266" spans="1:5" ht="16.5" customHeight="1" hidden="1">
      <c r="A266" s="30" t="s">
        <v>93</v>
      </c>
      <c r="B266" s="36" t="s">
        <v>333</v>
      </c>
      <c r="C266" s="24" t="s">
        <v>94</v>
      </c>
      <c r="D266" s="86"/>
      <c r="E266" s="86"/>
    </row>
    <row r="267" spans="1:5" s="47" customFormat="1" ht="58.5" customHeight="1">
      <c r="A267" s="60" t="s">
        <v>323</v>
      </c>
      <c r="B267" s="61" t="s">
        <v>324</v>
      </c>
      <c r="C267" s="62"/>
      <c r="D267" s="87">
        <f>D268+D278+D275</f>
        <v>3498616.06</v>
      </c>
      <c r="E267" s="87">
        <f>E268+E278+E275</f>
        <v>3487512.94</v>
      </c>
    </row>
    <row r="268" spans="1:5" ht="25.5">
      <c r="A268" s="30" t="s">
        <v>168</v>
      </c>
      <c r="B268" s="36" t="s">
        <v>325</v>
      </c>
      <c r="C268" s="35"/>
      <c r="D268" s="86">
        <f>D269+D272</f>
        <v>1680648</v>
      </c>
      <c r="E268" s="86">
        <f>E269+E272</f>
        <v>1680620.4</v>
      </c>
    </row>
    <row r="269" spans="1:5" ht="15">
      <c r="A269" s="21" t="s">
        <v>184</v>
      </c>
      <c r="B269" s="36" t="s">
        <v>36</v>
      </c>
      <c r="C269" s="24"/>
      <c r="D269" s="86">
        <f>D270+D271</f>
        <v>595948</v>
      </c>
      <c r="E269" s="86">
        <f>E270+E271</f>
        <v>595948</v>
      </c>
    </row>
    <row r="270" spans="1:5" ht="26.25">
      <c r="A270" s="28" t="s">
        <v>39</v>
      </c>
      <c r="B270" s="36" t="s">
        <v>36</v>
      </c>
      <c r="C270" s="35" t="s">
        <v>92</v>
      </c>
      <c r="D270" s="173">
        <f>260284</f>
        <v>260284</v>
      </c>
      <c r="E270" s="173">
        <f>260284</f>
        <v>260284</v>
      </c>
    </row>
    <row r="271" spans="1:5" ht="15">
      <c r="A271" s="21" t="s">
        <v>136</v>
      </c>
      <c r="B271" s="36" t="s">
        <v>36</v>
      </c>
      <c r="C271" s="35" t="s">
        <v>137</v>
      </c>
      <c r="D271" s="26">
        <f>335664</f>
        <v>335664</v>
      </c>
      <c r="E271" s="26">
        <f>335664</f>
        <v>335664</v>
      </c>
    </row>
    <row r="272" spans="1:5" ht="18.75" customHeight="1">
      <c r="A272" s="42" t="s">
        <v>37</v>
      </c>
      <c r="B272" s="36" t="s">
        <v>38</v>
      </c>
      <c r="C272" s="24"/>
      <c r="D272" s="86">
        <f>D274+D273</f>
        <v>1084700</v>
      </c>
      <c r="E272" s="86">
        <f>E274+E273</f>
        <v>1084672.4</v>
      </c>
    </row>
    <row r="273" spans="1:5" ht="29.25" customHeight="1">
      <c r="A273" s="28" t="s">
        <v>39</v>
      </c>
      <c r="B273" s="36" t="s">
        <v>38</v>
      </c>
      <c r="C273" s="35" t="s">
        <v>92</v>
      </c>
      <c r="D273" s="26">
        <f>484700-4800+3402</f>
        <v>483302</v>
      </c>
      <c r="E273" s="26">
        <v>483274.4</v>
      </c>
    </row>
    <row r="274" spans="1:5" ht="21" customHeight="1">
      <c r="A274" s="21" t="s">
        <v>136</v>
      </c>
      <c r="B274" s="36" t="s">
        <v>38</v>
      </c>
      <c r="C274" s="35" t="s">
        <v>137</v>
      </c>
      <c r="D274" s="26">
        <f>600000+4800-3402</f>
        <v>601398</v>
      </c>
      <c r="E274" s="26">
        <v>601398</v>
      </c>
    </row>
    <row r="275" spans="1:5" ht="15.75" customHeight="1">
      <c r="A275" s="30" t="s">
        <v>169</v>
      </c>
      <c r="B275" s="36" t="s">
        <v>338</v>
      </c>
      <c r="C275" s="35"/>
      <c r="D275" s="86">
        <f>D276</f>
        <v>36000</v>
      </c>
      <c r="E275" s="86">
        <f>E276</f>
        <v>36000</v>
      </c>
    </row>
    <row r="276" spans="1:5" ht="15" customHeight="1">
      <c r="A276" s="140" t="s">
        <v>171</v>
      </c>
      <c r="B276" s="36" t="s">
        <v>170</v>
      </c>
      <c r="C276" s="35"/>
      <c r="D276" s="86">
        <f>D277</f>
        <v>36000</v>
      </c>
      <c r="E276" s="86">
        <f>E277</f>
        <v>36000</v>
      </c>
    </row>
    <row r="277" spans="1:5" ht="22.5" customHeight="1">
      <c r="A277" s="140" t="s">
        <v>39</v>
      </c>
      <c r="B277" s="36" t="s">
        <v>170</v>
      </c>
      <c r="C277" s="35" t="s">
        <v>92</v>
      </c>
      <c r="D277" s="86">
        <v>36000</v>
      </c>
      <c r="E277" s="86">
        <v>36000</v>
      </c>
    </row>
    <row r="278" spans="1:5" ht="39.75" customHeight="1">
      <c r="A278" s="30" t="s">
        <v>337</v>
      </c>
      <c r="B278" s="36" t="s">
        <v>172</v>
      </c>
      <c r="C278" s="35"/>
      <c r="D278" s="86">
        <f>D279</f>
        <v>1781968.06</v>
      </c>
      <c r="E278" s="86">
        <f>E279</f>
        <v>1770892.54</v>
      </c>
    </row>
    <row r="279" spans="1:5" ht="20.25" customHeight="1">
      <c r="A279" s="27" t="s">
        <v>130</v>
      </c>
      <c r="B279" s="36" t="s">
        <v>173</v>
      </c>
      <c r="C279" s="35"/>
      <c r="D279" s="86">
        <f>D280+D281+D282</f>
        <v>1781968.06</v>
      </c>
      <c r="E279" s="86">
        <f>E280+E281+E282</f>
        <v>1770892.54</v>
      </c>
    </row>
    <row r="280" spans="1:5" ht="30.75" customHeight="1">
      <c r="A280" s="21" t="s">
        <v>250</v>
      </c>
      <c r="B280" s="36" t="s">
        <v>173</v>
      </c>
      <c r="C280" s="24" t="s">
        <v>85</v>
      </c>
      <c r="D280" s="26">
        <f>305200+92200+113000-36771</f>
        <v>473629</v>
      </c>
      <c r="E280" s="26">
        <v>473629</v>
      </c>
    </row>
    <row r="281" spans="1:5" ht="27" customHeight="1">
      <c r="A281" s="28" t="s">
        <v>39</v>
      </c>
      <c r="B281" s="36" t="s">
        <v>173</v>
      </c>
      <c r="C281" s="35" t="s">
        <v>92</v>
      </c>
      <c r="D281" s="26">
        <f>78700+1611000+32039.06+5600+7700-492000+15200</f>
        <v>1258239.06</v>
      </c>
      <c r="E281" s="26">
        <v>1247178.54</v>
      </c>
    </row>
    <row r="282" spans="1:5" ht="18.75" customHeight="1">
      <c r="A282" s="30" t="s">
        <v>93</v>
      </c>
      <c r="B282" s="36" t="s">
        <v>173</v>
      </c>
      <c r="C282" s="35" t="s">
        <v>94</v>
      </c>
      <c r="D282" s="26">
        <f>100+33600+22700-37300+50000-19000</f>
        <v>50100</v>
      </c>
      <c r="E282" s="26">
        <v>50085</v>
      </c>
    </row>
    <row r="283" spans="1:5" ht="43.5" customHeight="1">
      <c r="A283" s="134" t="s">
        <v>549</v>
      </c>
      <c r="B283" s="22" t="s">
        <v>48</v>
      </c>
      <c r="C283" s="29"/>
      <c r="D283" s="26">
        <f aca="true" t="shared" si="0" ref="D283:E286">D284</f>
        <v>871072.44</v>
      </c>
      <c r="E283" s="26">
        <f t="shared" si="0"/>
        <v>801315.0399999999</v>
      </c>
    </row>
    <row r="284" spans="1:5" s="47" customFormat="1" ht="57.75" customHeight="1">
      <c r="A284" s="60" t="s">
        <v>550</v>
      </c>
      <c r="B284" s="43" t="s">
        <v>49</v>
      </c>
      <c r="C284" s="57"/>
      <c r="D284" s="46">
        <f t="shared" si="0"/>
        <v>871072.44</v>
      </c>
      <c r="E284" s="46">
        <f t="shared" si="0"/>
        <v>801315.0399999999</v>
      </c>
    </row>
    <row r="285" spans="1:5" s="47" customFormat="1" ht="27" customHeight="1">
      <c r="A285" s="135" t="s">
        <v>145</v>
      </c>
      <c r="B285" s="22" t="s">
        <v>335</v>
      </c>
      <c r="C285" s="29"/>
      <c r="D285" s="26">
        <f t="shared" si="0"/>
        <v>871072.44</v>
      </c>
      <c r="E285" s="26">
        <f t="shared" si="0"/>
        <v>801315.0399999999</v>
      </c>
    </row>
    <row r="286" spans="1:5" ht="18" customHeight="1">
      <c r="A286" s="135" t="s">
        <v>126</v>
      </c>
      <c r="B286" s="22" t="s">
        <v>50</v>
      </c>
      <c r="C286" s="29"/>
      <c r="D286" s="26">
        <f t="shared" si="0"/>
        <v>871072.44</v>
      </c>
      <c r="E286" s="26">
        <f t="shared" si="0"/>
        <v>801315.0399999999</v>
      </c>
    </row>
    <row r="287" spans="1:5" ht="27" customHeight="1">
      <c r="A287" s="28" t="s">
        <v>39</v>
      </c>
      <c r="B287" s="22" t="s">
        <v>50</v>
      </c>
      <c r="C287" s="24" t="s">
        <v>92</v>
      </c>
      <c r="D287" s="26">
        <f>627100-100000+200000+20000+33300+41600-9827.56+58900</f>
        <v>871072.44</v>
      </c>
      <c r="E287" s="26">
        <v>801315.0399999999</v>
      </c>
    </row>
    <row r="288" spans="1:5" ht="40.5" customHeight="1">
      <c r="A288" s="41" t="s">
        <v>564</v>
      </c>
      <c r="B288" s="23" t="s">
        <v>52</v>
      </c>
      <c r="C288" s="24"/>
      <c r="D288" s="86">
        <f>D289</f>
        <v>387773</v>
      </c>
      <c r="E288" s="86">
        <f>E289</f>
        <v>387773</v>
      </c>
    </row>
    <row r="289" spans="1:5" s="47" customFormat="1" ht="69" customHeight="1">
      <c r="A289" s="98" t="s">
        <v>563</v>
      </c>
      <c r="B289" s="56" t="s">
        <v>58</v>
      </c>
      <c r="C289" s="44"/>
      <c r="D289" s="87">
        <f>D290</f>
        <v>387773</v>
      </c>
      <c r="E289" s="87">
        <f>E290</f>
        <v>387773</v>
      </c>
    </row>
    <row r="290" spans="1:5" s="47" customFormat="1" ht="29.25" customHeight="1">
      <c r="A290" s="30" t="s">
        <v>403</v>
      </c>
      <c r="B290" s="23" t="s">
        <v>59</v>
      </c>
      <c r="C290" s="24"/>
      <c r="D290" s="86">
        <f>D291+D294</f>
        <v>387773</v>
      </c>
      <c r="E290" s="86">
        <f>E291+E294</f>
        <v>387773</v>
      </c>
    </row>
    <row r="291" spans="1:5" ht="28.5" customHeight="1">
      <c r="A291" s="31" t="s">
        <v>100</v>
      </c>
      <c r="B291" s="23" t="s">
        <v>60</v>
      </c>
      <c r="C291" s="24"/>
      <c r="D291" s="86">
        <f>D292+D293</f>
        <v>327773</v>
      </c>
      <c r="E291" s="86">
        <f>E292+E293</f>
        <v>327773</v>
      </c>
    </row>
    <row r="292" spans="1:5" ht="42.75" customHeight="1">
      <c r="A292" s="28" t="s">
        <v>84</v>
      </c>
      <c r="B292" s="23" t="s">
        <v>60</v>
      </c>
      <c r="C292" s="29" t="s">
        <v>85</v>
      </c>
      <c r="D292" s="26">
        <f>231360+62914-54000+432.69+6082.69</f>
        <v>246789.38</v>
      </c>
      <c r="E292" s="26">
        <f>231360+62914-54000+432.69+6082.69</f>
        <v>246789.38</v>
      </c>
    </row>
    <row r="293" spans="1:5" ht="28.5" customHeight="1">
      <c r="A293" s="28" t="s">
        <v>39</v>
      </c>
      <c r="B293" s="23" t="s">
        <v>60</v>
      </c>
      <c r="C293" s="29" t="s">
        <v>92</v>
      </c>
      <c r="D293" s="26">
        <f>33499+54000-2950-3565.38</f>
        <v>80983.62</v>
      </c>
      <c r="E293" s="26">
        <f>33499+54000-2950-3565.38</f>
        <v>80983.62</v>
      </c>
    </row>
    <row r="294" spans="1:5" ht="28.5" customHeight="1">
      <c r="A294" s="28" t="s">
        <v>609</v>
      </c>
      <c r="B294" s="23" t="s">
        <v>610</v>
      </c>
      <c r="C294" s="24"/>
      <c r="D294" s="26">
        <f>D295</f>
        <v>60000</v>
      </c>
      <c r="E294" s="26">
        <f>E295</f>
        <v>60000</v>
      </c>
    </row>
    <row r="295" spans="1:5" ht="28.5" customHeight="1">
      <c r="A295" s="28" t="s">
        <v>39</v>
      </c>
      <c r="B295" s="23" t="s">
        <v>610</v>
      </c>
      <c r="C295" s="29" t="s">
        <v>92</v>
      </c>
      <c r="D295" s="26">
        <f>60000</f>
        <v>60000</v>
      </c>
      <c r="E295" s="26">
        <f>60000</f>
        <v>60000</v>
      </c>
    </row>
    <row r="296" spans="1:5" ht="62.25" customHeight="1">
      <c r="A296" s="149" t="s">
        <v>565</v>
      </c>
      <c r="B296" s="36" t="s">
        <v>339</v>
      </c>
      <c r="C296" s="24"/>
      <c r="D296" s="86">
        <f>D297+D306+D310</f>
        <v>6901224.71</v>
      </c>
      <c r="E296" s="86">
        <f>E297+E306+E310</f>
        <v>5884673.92</v>
      </c>
    </row>
    <row r="297" spans="1:5" s="47" customFormat="1" ht="63.75">
      <c r="A297" s="104" t="s">
        <v>566</v>
      </c>
      <c r="B297" s="61" t="s">
        <v>340</v>
      </c>
      <c r="C297" s="44"/>
      <c r="D297" s="87">
        <f>D298+D301</f>
        <v>5379544.71</v>
      </c>
      <c r="E297" s="87">
        <f>E298+E301</f>
        <v>4362993.92</v>
      </c>
    </row>
    <row r="298" spans="1:5" s="47" customFormat="1" ht="25.5">
      <c r="A298" s="30" t="s">
        <v>342</v>
      </c>
      <c r="B298" s="36" t="s">
        <v>341</v>
      </c>
      <c r="C298" s="24"/>
      <c r="D298" s="86">
        <f>D299</f>
        <v>1200000</v>
      </c>
      <c r="E298" s="86">
        <f>E299</f>
        <v>1117245</v>
      </c>
    </row>
    <row r="299" spans="1:5" ht="26.25">
      <c r="A299" s="28" t="s">
        <v>484</v>
      </c>
      <c r="B299" s="36" t="s">
        <v>485</v>
      </c>
      <c r="C299" s="24"/>
      <c r="D299" s="86">
        <f>D300</f>
        <v>1200000</v>
      </c>
      <c r="E299" s="86">
        <f>E300</f>
        <v>1117245</v>
      </c>
    </row>
    <row r="300" spans="1:5" ht="18" customHeight="1">
      <c r="A300" s="28" t="s">
        <v>91</v>
      </c>
      <c r="B300" s="36" t="s">
        <v>485</v>
      </c>
      <c r="C300" s="24" t="s">
        <v>92</v>
      </c>
      <c r="D300" s="26">
        <f>1200000</f>
        <v>1200000</v>
      </c>
      <c r="E300" s="26">
        <v>1117245</v>
      </c>
    </row>
    <row r="301" spans="1:5" ht="25.5">
      <c r="A301" s="30" t="s">
        <v>343</v>
      </c>
      <c r="B301" s="36" t="s">
        <v>344</v>
      </c>
      <c r="C301" s="24"/>
      <c r="D301" s="86">
        <f>D302</f>
        <v>4179544.71</v>
      </c>
      <c r="E301" s="86">
        <f>E302</f>
        <v>3245748.92</v>
      </c>
    </row>
    <row r="302" spans="1:5" s="47" customFormat="1" ht="26.25">
      <c r="A302" s="28" t="s">
        <v>528</v>
      </c>
      <c r="B302" s="36" t="s">
        <v>526</v>
      </c>
      <c r="C302" s="24"/>
      <c r="D302" s="86">
        <f>D303</f>
        <v>4179544.71</v>
      </c>
      <c r="E302" s="86">
        <f>E303</f>
        <v>3245748.92</v>
      </c>
    </row>
    <row r="303" spans="1:5" ht="29.25" customHeight="1">
      <c r="A303" s="103" t="s">
        <v>530</v>
      </c>
      <c r="B303" s="36" t="s">
        <v>526</v>
      </c>
      <c r="C303" s="24" t="s">
        <v>529</v>
      </c>
      <c r="D303" s="26">
        <f>4662790+716754.71-1200000</f>
        <v>4179544.71</v>
      </c>
      <c r="E303" s="26">
        <v>3245748.92</v>
      </c>
    </row>
    <row r="304" spans="1:5" ht="25.5" hidden="1">
      <c r="A304" s="135" t="s">
        <v>150</v>
      </c>
      <c r="B304" s="36" t="s">
        <v>527</v>
      </c>
      <c r="C304" s="24"/>
      <c r="D304" s="86">
        <f>D305</f>
        <v>0</v>
      </c>
      <c r="E304" s="86">
        <f>E305</f>
        <v>0</v>
      </c>
    </row>
    <row r="305" spans="1:5" ht="15" hidden="1">
      <c r="A305" s="28" t="s">
        <v>91</v>
      </c>
      <c r="B305" s="36" t="s">
        <v>527</v>
      </c>
      <c r="C305" s="24" t="s">
        <v>92</v>
      </c>
      <c r="D305" s="86"/>
      <c r="E305" s="86"/>
    </row>
    <row r="306" spans="1:5" s="47" customFormat="1" ht="69.75" customHeight="1">
      <c r="A306" s="104" t="s">
        <v>567</v>
      </c>
      <c r="B306" s="61" t="s">
        <v>345</v>
      </c>
      <c r="C306" s="44"/>
      <c r="D306" s="87">
        <f aca="true" t="shared" si="1" ref="D306:E308">D307</f>
        <v>1100000</v>
      </c>
      <c r="E306" s="87">
        <f t="shared" si="1"/>
        <v>1100000</v>
      </c>
    </row>
    <row r="307" spans="1:5" s="47" customFormat="1" ht="30" customHeight="1">
      <c r="A307" s="30" t="s">
        <v>475</v>
      </c>
      <c r="B307" s="36" t="s">
        <v>346</v>
      </c>
      <c r="C307" s="24"/>
      <c r="D307" s="86">
        <f t="shared" si="1"/>
        <v>1100000</v>
      </c>
      <c r="E307" s="86">
        <f t="shared" si="1"/>
        <v>1100000</v>
      </c>
    </row>
    <row r="308" spans="1:5" ht="15">
      <c r="A308" s="21" t="s">
        <v>142</v>
      </c>
      <c r="B308" s="36" t="s">
        <v>347</v>
      </c>
      <c r="C308" s="24"/>
      <c r="D308" s="86">
        <f t="shared" si="1"/>
        <v>1100000</v>
      </c>
      <c r="E308" s="86">
        <f t="shared" si="1"/>
        <v>1100000</v>
      </c>
    </row>
    <row r="309" spans="1:5" ht="15">
      <c r="A309" s="28" t="s">
        <v>93</v>
      </c>
      <c r="B309" s="36" t="s">
        <v>347</v>
      </c>
      <c r="C309" s="24" t="s">
        <v>94</v>
      </c>
      <c r="D309" s="86">
        <f>600000+700000-200000</f>
        <v>1100000</v>
      </c>
      <c r="E309" s="86">
        <f>600000+700000-200000</f>
        <v>1100000</v>
      </c>
    </row>
    <row r="310" spans="1:5" s="47" customFormat="1" ht="71.25" customHeight="1">
      <c r="A310" s="60" t="s">
        <v>568</v>
      </c>
      <c r="B310" s="61" t="s">
        <v>410</v>
      </c>
      <c r="C310" s="44"/>
      <c r="D310" s="87">
        <f>D311+D314</f>
        <v>421680</v>
      </c>
      <c r="E310" s="87">
        <f>E311+E314</f>
        <v>421680</v>
      </c>
    </row>
    <row r="311" spans="1:5" ht="25.5" hidden="1">
      <c r="A311" s="138" t="s">
        <v>2</v>
      </c>
      <c r="B311" s="36" t="s">
        <v>411</v>
      </c>
      <c r="C311" s="24"/>
      <c r="D311" s="86">
        <f>D312</f>
        <v>0</v>
      </c>
      <c r="E311" s="86">
        <f>E312</f>
        <v>0</v>
      </c>
    </row>
    <row r="312" spans="1:5" ht="25.5" hidden="1">
      <c r="A312" s="30" t="s">
        <v>249</v>
      </c>
      <c r="B312" s="36" t="s">
        <v>3</v>
      </c>
      <c r="C312" s="24"/>
      <c r="D312" s="86">
        <f>D313</f>
        <v>0</v>
      </c>
      <c r="E312" s="86">
        <f>E313</f>
        <v>0</v>
      </c>
    </row>
    <row r="313" spans="1:5" ht="26.25" hidden="1">
      <c r="A313" s="28" t="s">
        <v>39</v>
      </c>
      <c r="B313" s="36" t="s">
        <v>3</v>
      </c>
      <c r="C313" s="24" t="s">
        <v>92</v>
      </c>
      <c r="D313" s="86"/>
      <c r="E313" s="86"/>
    </row>
    <row r="314" spans="1:5" ht="57.75" customHeight="1">
      <c r="A314" s="138" t="s">
        <v>4</v>
      </c>
      <c r="B314" s="36" t="s">
        <v>160</v>
      </c>
      <c r="C314" s="24"/>
      <c r="D314" s="86">
        <f>D315</f>
        <v>421680</v>
      </c>
      <c r="E314" s="86">
        <f>E315</f>
        <v>421680</v>
      </c>
    </row>
    <row r="315" spans="1:5" ht="31.5" customHeight="1">
      <c r="A315" s="30" t="s">
        <v>249</v>
      </c>
      <c r="B315" s="36" t="s">
        <v>5</v>
      </c>
      <c r="C315" s="24"/>
      <c r="D315" s="86">
        <f>D316</f>
        <v>421680</v>
      </c>
      <c r="E315" s="86">
        <f>E316</f>
        <v>421680</v>
      </c>
    </row>
    <row r="316" spans="1:5" ht="27.75" customHeight="1">
      <c r="A316" s="28" t="s">
        <v>39</v>
      </c>
      <c r="B316" s="36" t="s">
        <v>5</v>
      </c>
      <c r="C316" s="24" t="s">
        <v>92</v>
      </c>
      <c r="D316" s="26">
        <f>143500+278180</f>
        <v>421680</v>
      </c>
      <c r="E316" s="26">
        <f>143500+278180</f>
        <v>421680</v>
      </c>
    </row>
    <row r="317" spans="1:5" ht="43.5" customHeight="1">
      <c r="A317" s="21" t="s">
        <v>101</v>
      </c>
      <c r="B317" s="23" t="s">
        <v>6</v>
      </c>
      <c r="C317" s="29"/>
      <c r="D317" s="86">
        <f>D324+D318</f>
        <v>649400</v>
      </c>
      <c r="E317" s="86">
        <f>E324+E318</f>
        <v>609399</v>
      </c>
    </row>
    <row r="318" spans="1:5" ht="80.25" customHeight="1">
      <c r="A318" s="172" t="s">
        <v>598</v>
      </c>
      <c r="B318" s="23" t="s">
        <v>599</v>
      </c>
      <c r="C318" s="24"/>
      <c r="D318" s="26">
        <f>D319</f>
        <v>65000</v>
      </c>
      <c r="E318" s="26">
        <f>E319</f>
        <v>24999</v>
      </c>
    </row>
    <row r="319" spans="1:5" ht="31.5" customHeight="1">
      <c r="A319" s="109" t="s">
        <v>600</v>
      </c>
      <c r="B319" s="32" t="s">
        <v>602</v>
      </c>
      <c r="C319" s="24"/>
      <c r="D319" s="26">
        <f>D320+D322</f>
        <v>65000</v>
      </c>
      <c r="E319" s="26">
        <f>E320+E322</f>
        <v>24999</v>
      </c>
    </row>
    <row r="320" spans="1:5" ht="32.25" customHeight="1">
      <c r="A320" s="28" t="s">
        <v>601</v>
      </c>
      <c r="B320" s="32" t="s">
        <v>603</v>
      </c>
      <c r="C320" s="24"/>
      <c r="D320" s="26">
        <f>D321</f>
        <v>25000</v>
      </c>
      <c r="E320" s="26">
        <f>E321</f>
        <v>24999</v>
      </c>
    </row>
    <row r="321" spans="1:5" ht="28.5" customHeight="1">
      <c r="A321" s="28" t="s">
        <v>39</v>
      </c>
      <c r="B321" s="32" t="s">
        <v>603</v>
      </c>
      <c r="C321" s="24" t="s">
        <v>92</v>
      </c>
      <c r="D321" s="26">
        <f>10000+15000</f>
        <v>25000</v>
      </c>
      <c r="E321" s="26">
        <v>24999</v>
      </c>
    </row>
    <row r="322" spans="1:5" ht="23.25" customHeight="1">
      <c r="A322" s="28" t="s">
        <v>607</v>
      </c>
      <c r="B322" s="32" t="s">
        <v>608</v>
      </c>
      <c r="C322" s="24"/>
      <c r="D322" s="26">
        <f>D323</f>
        <v>40000</v>
      </c>
      <c r="E322" s="26">
        <f>E323</f>
        <v>0</v>
      </c>
    </row>
    <row r="323" spans="1:5" ht="28.5" customHeight="1">
      <c r="A323" s="28" t="s">
        <v>39</v>
      </c>
      <c r="B323" s="32" t="s">
        <v>608</v>
      </c>
      <c r="C323" s="24" t="s">
        <v>92</v>
      </c>
      <c r="D323" s="26">
        <f>40000</f>
        <v>40000</v>
      </c>
      <c r="E323" s="26"/>
    </row>
    <row r="324" spans="1:5" s="47" customFormat="1" ht="59.25" customHeight="1">
      <c r="A324" s="21" t="s">
        <v>102</v>
      </c>
      <c r="B324" s="23" t="s">
        <v>7</v>
      </c>
      <c r="C324" s="29"/>
      <c r="D324" s="86">
        <f>D326+D329</f>
        <v>584400</v>
      </c>
      <c r="E324" s="86">
        <f>E326+E329</f>
        <v>584400</v>
      </c>
    </row>
    <row r="325" spans="1:5" ht="45.75" customHeight="1">
      <c r="A325" s="109" t="s">
        <v>10</v>
      </c>
      <c r="B325" s="23" t="s">
        <v>9</v>
      </c>
      <c r="C325" s="29"/>
      <c r="D325" s="86">
        <f>D326+D329</f>
        <v>584400</v>
      </c>
      <c r="E325" s="86">
        <f>E326+E329</f>
        <v>584400</v>
      </c>
    </row>
    <row r="326" spans="1:5" ht="40.5" customHeight="1">
      <c r="A326" s="31" t="s">
        <v>582</v>
      </c>
      <c r="B326" s="22" t="s">
        <v>8</v>
      </c>
      <c r="C326" s="24"/>
      <c r="D326" s="86">
        <f>D327+D328</f>
        <v>292200</v>
      </c>
      <c r="E326" s="86">
        <f>E327+E328</f>
        <v>292200</v>
      </c>
    </row>
    <row r="327" spans="1:5" ht="43.5" customHeight="1">
      <c r="A327" s="28" t="s">
        <v>84</v>
      </c>
      <c r="B327" s="22" t="s">
        <v>8</v>
      </c>
      <c r="C327" s="29" t="s">
        <v>85</v>
      </c>
      <c r="D327" s="26">
        <f>199680+60303</f>
        <v>259983</v>
      </c>
      <c r="E327" s="26">
        <f>199680+60303</f>
        <v>259983</v>
      </c>
    </row>
    <row r="328" spans="1:5" ht="26.25">
      <c r="A328" s="28" t="s">
        <v>39</v>
      </c>
      <c r="B328" s="22" t="s">
        <v>8</v>
      </c>
      <c r="C328" s="29" t="s">
        <v>92</v>
      </c>
      <c r="D328" s="26">
        <f>32217</f>
        <v>32217</v>
      </c>
      <c r="E328" s="26">
        <f>32217</f>
        <v>32217</v>
      </c>
    </row>
    <row r="329" spans="1:5" ht="33.75" customHeight="1">
      <c r="A329" s="31" t="s">
        <v>103</v>
      </c>
      <c r="B329" s="22" t="s">
        <v>11</v>
      </c>
      <c r="C329" s="24"/>
      <c r="D329" s="86">
        <f>D330+D331</f>
        <v>292200</v>
      </c>
      <c r="E329" s="86">
        <f>E330+E331</f>
        <v>292200</v>
      </c>
    </row>
    <row r="330" spans="1:5" ht="39">
      <c r="A330" s="28" t="s">
        <v>84</v>
      </c>
      <c r="B330" s="22" t="s">
        <v>11</v>
      </c>
      <c r="C330" s="29" t="s">
        <v>85</v>
      </c>
      <c r="D330" s="26">
        <f>193920+58564+39716</f>
        <v>292200</v>
      </c>
      <c r="E330" s="26">
        <f>193920+58564+39716</f>
        <v>292200</v>
      </c>
    </row>
    <row r="331" spans="1:5" ht="26.25">
      <c r="A331" s="28" t="s">
        <v>39</v>
      </c>
      <c r="B331" s="22" t="s">
        <v>11</v>
      </c>
      <c r="C331" s="29" t="s">
        <v>92</v>
      </c>
      <c r="D331" s="26">
        <f>39716-39716</f>
        <v>0</v>
      </c>
      <c r="E331" s="26">
        <f>39716-39716</f>
        <v>0</v>
      </c>
    </row>
    <row r="332" spans="1:6" ht="59.25" customHeight="1">
      <c r="A332" s="109" t="s">
        <v>499</v>
      </c>
      <c r="B332" s="61" t="s">
        <v>502</v>
      </c>
      <c r="C332" s="29"/>
      <c r="D332" s="86">
        <f>D333</f>
        <v>48000</v>
      </c>
      <c r="E332" s="86">
        <f>E333</f>
        <v>48000</v>
      </c>
      <c r="F332" s="130"/>
    </row>
    <row r="333" spans="1:6" ht="84.75" customHeight="1">
      <c r="A333" s="111" t="s">
        <v>500</v>
      </c>
      <c r="B333" s="61" t="s">
        <v>503</v>
      </c>
      <c r="C333" s="57"/>
      <c r="D333" s="87">
        <f>D334+D337+D340+D343</f>
        <v>48000</v>
      </c>
      <c r="E333" s="87">
        <f>E334+E337+E340+E343</f>
        <v>48000</v>
      </c>
      <c r="F333" s="130"/>
    </row>
    <row r="334" spans="1:6" ht="25.5" hidden="1">
      <c r="A334" s="112" t="s">
        <v>504</v>
      </c>
      <c r="B334" s="36" t="s">
        <v>505</v>
      </c>
      <c r="C334" s="29"/>
      <c r="D334" s="86">
        <f>D335</f>
        <v>0</v>
      </c>
      <c r="E334" s="86">
        <f>E335</f>
        <v>0</v>
      </c>
      <c r="F334" s="130"/>
    </row>
    <row r="335" spans="1:6" ht="26.25" hidden="1">
      <c r="A335" s="28" t="s">
        <v>511</v>
      </c>
      <c r="B335" s="36" t="s">
        <v>512</v>
      </c>
      <c r="C335" s="29"/>
      <c r="D335" s="86">
        <f>D336</f>
        <v>0</v>
      </c>
      <c r="E335" s="86">
        <f>E336</f>
        <v>0</v>
      </c>
      <c r="F335" s="130"/>
    </row>
    <row r="336" spans="1:6" ht="26.25" hidden="1">
      <c r="A336" s="28" t="s">
        <v>39</v>
      </c>
      <c r="B336" s="36" t="s">
        <v>512</v>
      </c>
      <c r="C336" s="29" t="s">
        <v>92</v>
      </c>
      <c r="D336" s="86"/>
      <c r="E336" s="86"/>
      <c r="F336" s="130"/>
    </row>
    <row r="337" spans="1:6" ht="57" customHeight="1">
      <c r="A337" s="112" t="s">
        <v>521</v>
      </c>
      <c r="B337" s="36" t="s">
        <v>506</v>
      </c>
      <c r="C337" s="29"/>
      <c r="D337" s="86">
        <f>D338</f>
        <v>48000</v>
      </c>
      <c r="E337" s="86">
        <f>E338</f>
        <v>48000</v>
      </c>
      <c r="F337" s="130"/>
    </row>
    <row r="338" spans="1:6" ht="26.25">
      <c r="A338" s="28" t="s">
        <v>511</v>
      </c>
      <c r="B338" s="36" t="s">
        <v>513</v>
      </c>
      <c r="C338" s="29"/>
      <c r="D338" s="86">
        <f>D339</f>
        <v>48000</v>
      </c>
      <c r="E338" s="86">
        <f>E339</f>
        <v>48000</v>
      </c>
      <c r="F338" s="130"/>
    </row>
    <row r="339" spans="1:5" ht="26.25">
      <c r="A339" s="28" t="s">
        <v>39</v>
      </c>
      <c r="B339" s="36" t="s">
        <v>513</v>
      </c>
      <c r="C339" s="29" t="s">
        <v>92</v>
      </c>
      <c r="D339" s="26">
        <v>48000</v>
      </c>
      <c r="E339" s="26">
        <v>48000</v>
      </c>
    </row>
    <row r="340" spans="1:5" ht="38.25" hidden="1">
      <c r="A340" s="112" t="s">
        <v>507</v>
      </c>
      <c r="B340" s="36" t="s">
        <v>508</v>
      </c>
      <c r="C340" s="29"/>
      <c r="D340" s="86">
        <f>D341</f>
        <v>0</v>
      </c>
      <c r="E340" s="86">
        <f>E341</f>
        <v>0</v>
      </c>
    </row>
    <row r="341" spans="1:5" ht="26.25" hidden="1">
      <c r="A341" s="28" t="s">
        <v>511</v>
      </c>
      <c r="B341" s="36" t="s">
        <v>514</v>
      </c>
      <c r="C341" s="29"/>
      <c r="D341" s="86">
        <f>D342</f>
        <v>0</v>
      </c>
      <c r="E341" s="86">
        <f>E342</f>
        <v>0</v>
      </c>
    </row>
    <row r="342" spans="1:5" ht="26.25" hidden="1">
      <c r="A342" s="28" t="s">
        <v>39</v>
      </c>
      <c r="B342" s="36" t="s">
        <v>514</v>
      </c>
      <c r="C342" s="29" t="s">
        <v>92</v>
      </c>
      <c r="D342" s="86"/>
      <c r="E342" s="86"/>
    </row>
    <row r="343" spans="1:5" ht="25.5" hidden="1">
      <c r="A343" s="112" t="s">
        <v>509</v>
      </c>
      <c r="B343" s="36" t="s">
        <v>510</v>
      </c>
      <c r="C343" s="29"/>
      <c r="D343" s="86">
        <f>D344</f>
        <v>0</v>
      </c>
      <c r="E343" s="86">
        <f>E344</f>
        <v>0</v>
      </c>
    </row>
    <row r="344" spans="1:5" ht="26.25" hidden="1">
      <c r="A344" s="28" t="s">
        <v>511</v>
      </c>
      <c r="B344" s="36" t="s">
        <v>517</v>
      </c>
      <c r="C344" s="29"/>
      <c r="D344" s="86">
        <f>D345</f>
        <v>0</v>
      </c>
      <c r="E344" s="86">
        <f>E345</f>
        <v>0</v>
      </c>
    </row>
    <row r="345" spans="1:5" ht="26.25" hidden="1">
      <c r="A345" s="28" t="s">
        <v>39</v>
      </c>
      <c r="B345" s="36" t="s">
        <v>517</v>
      </c>
      <c r="C345" s="29" t="s">
        <v>92</v>
      </c>
      <c r="D345" s="86"/>
      <c r="E345" s="86"/>
    </row>
    <row r="346" spans="1:5" ht="45.75" customHeight="1">
      <c r="A346" s="109" t="s">
        <v>544</v>
      </c>
      <c r="B346" s="32" t="s">
        <v>12</v>
      </c>
      <c r="C346" s="24"/>
      <c r="D346" s="84">
        <f>D347+D351</f>
        <v>7827458</v>
      </c>
      <c r="E346" s="84">
        <f>E347+E351</f>
        <v>7827448.57</v>
      </c>
    </row>
    <row r="347" spans="1:5" s="47" customFormat="1" ht="57" customHeight="1">
      <c r="A347" s="105" t="s">
        <v>545</v>
      </c>
      <c r="B347" s="74" t="s">
        <v>13</v>
      </c>
      <c r="C347" s="44"/>
      <c r="D347" s="83">
        <f aca="true" t="shared" si="2" ref="D347:E349">D348</f>
        <v>11400</v>
      </c>
      <c r="E347" s="83">
        <f t="shared" si="2"/>
        <v>11390.57</v>
      </c>
    </row>
    <row r="348" spans="1:5" ht="48" customHeight="1">
      <c r="A348" s="41" t="s">
        <v>395</v>
      </c>
      <c r="B348" s="32" t="s">
        <v>14</v>
      </c>
      <c r="C348" s="24"/>
      <c r="D348" s="84">
        <f t="shared" si="2"/>
        <v>11400</v>
      </c>
      <c r="E348" s="84">
        <f t="shared" si="2"/>
        <v>11390.57</v>
      </c>
    </row>
    <row r="349" spans="1:5" ht="19.5" customHeight="1">
      <c r="A349" s="21" t="s">
        <v>214</v>
      </c>
      <c r="B349" s="32" t="s">
        <v>394</v>
      </c>
      <c r="C349" s="24"/>
      <c r="D349" s="84">
        <f t="shared" si="2"/>
        <v>11400</v>
      </c>
      <c r="E349" s="84">
        <f t="shared" si="2"/>
        <v>11390.57</v>
      </c>
    </row>
    <row r="350" spans="1:5" ht="19.5" customHeight="1">
      <c r="A350" s="41" t="s">
        <v>215</v>
      </c>
      <c r="B350" s="32" t="s">
        <v>394</v>
      </c>
      <c r="C350" s="24" t="s">
        <v>216</v>
      </c>
      <c r="D350" s="84">
        <f>4300+6500+600</f>
        <v>11400</v>
      </c>
      <c r="E350" s="84">
        <v>11390.57</v>
      </c>
    </row>
    <row r="351" spans="1:5" s="47" customFormat="1" ht="60" customHeight="1">
      <c r="A351" s="105" t="s">
        <v>546</v>
      </c>
      <c r="B351" s="43" t="s">
        <v>399</v>
      </c>
      <c r="C351" s="44"/>
      <c r="D351" s="83">
        <f aca="true" t="shared" si="3" ref="D351:E353">D352</f>
        <v>7816058</v>
      </c>
      <c r="E351" s="83">
        <f t="shared" si="3"/>
        <v>7816058</v>
      </c>
    </row>
    <row r="352" spans="1:5" s="47" customFormat="1" ht="36" customHeight="1">
      <c r="A352" s="109" t="s">
        <v>396</v>
      </c>
      <c r="B352" s="22" t="s">
        <v>397</v>
      </c>
      <c r="C352" s="24"/>
      <c r="D352" s="86">
        <f t="shared" si="3"/>
        <v>7816058</v>
      </c>
      <c r="E352" s="86">
        <f t="shared" si="3"/>
        <v>7816058</v>
      </c>
    </row>
    <row r="353" spans="1:5" ht="29.25" customHeight="1">
      <c r="A353" s="31" t="s">
        <v>398</v>
      </c>
      <c r="B353" s="22" t="s">
        <v>401</v>
      </c>
      <c r="C353" s="24"/>
      <c r="D353" s="86">
        <f t="shared" si="3"/>
        <v>7816058</v>
      </c>
      <c r="E353" s="86">
        <f t="shared" si="3"/>
        <v>7816058</v>
      </c>
    </row>
    <row r="354" spans="1:5" s="47" customFormat="1" ht="15">
      <c r="A354" s="40" t="s">
        <v>132</v>
      </c>
      <c r="B354" s="22" t="s">
        <v>401</v>
      </c>
      <c r="C354" s="29" t="s">
        <v>133</v>
      </c>
      <c r="D354" s="26">
        <f>7816058</f>
        <v>7816058</v>
      </c>
      <c r="E354" s="26">
        <f>7816058</f>
        <v>7816058</v>
      </c>
    </row>
    <row r="355" spans="1:5" ht="38.25">
      <c r="A355" s="135" t="s">
        <v>158</v>
      </c>
      <c r="B355" s="22" t="s">
        <v>329</v>
      </c>
      <c r="C355" s="29"/>
      <c r="D355" s="170">
        <f>D356+D360</f>
        <v>20000</v>
      </c>
      <c r="E355" s="170">
        <f>E356+E360</f>
        <v>20000</v>
      </c>
    </row>
    <row r="356" spans="1:5" s="47" customFormat="1" ht="63.75">
      <c r="A356" s="102" t="s">
        <v>159</v>
      </c>
      <c r="B356" s="43" t="s">
        <v>330</v>
      </c>
      <c r="C356" s="57"/>
      <c r="D356" s="87">
        <f aca="true" t="shared" si="4" ref="D356:E358">D357</f>
        <v>20000</v>
      </c>
      <c r="E356" s="87">
        <f t="shared" si="4"/>
        <v>20000</v>
      </c>
    </row>
    <row r="357" spans="1:5" ht="25.5">
      <c r="A357" s="138" t="s">
        <v>522</v>
      </c>
      <c r="B357" s="22" t="s">
        <v>579</v>
      </c>
      <c r="C357" s="29"/>
      <c r="D357" s="86">
        <f t="shared" si="4"/>
        <v>20000</v>
      </c>
      <c r="E357" s="86">
        <f t="shared" si="4"/>
        <v>20000</v>
      </c>
    </row>
    <row r="358" spans="1:5" ht="26.25">
      <c r="A358" s="27" t="s">
        <v>331</v>
      </c>
      <c r="B358" s="22" t="s">
        <v>578</v>
      </c>
      <c r="C358" s="29"/>
      <c r="D358" s="86">
        <f t="shared" si="4"/>
        <v>20000</v>
      </c>
      <c r="E358" s="86">
        <f t="shared" si="4"/>
        <v>20000</v>
      </c>
    </row>
    <row r="359" spans="1:5" ht="27.75" customHeight="1">
      <c r="A359" s="28" t="s">
        <v>39</v>
      </c>
      <c r="B359" s="22" t="s">
        <v>578</v>
      </c>
      <c r="C359" s="29" t="s">
        <v>92</v>
      </c>
      <c r="D359" s="86">
        <f>30000-10000</f>
        <v>20000</v>
      </c>
      <c r="E359" s="86">
        <f>30000-10000</f>
        <v>20000</v>
      </c>
    </row>
    <row r="360" spans="1:5" ht="54.75" customHeight="1" hidden="1">
      <c r="A360" s="98" t="s">
        <v>519</v>
      </c>
      <c r="B360" s="43" t="s">
        <v>520</v>
      </c>
      <c r="C360" s="29"/>
      <c r="D360" s="86">
        <f aca="true" t="shared" si="5" ref="D360:E362">D361</f>
        <v>0</v>
      </c>
      <c r="E360" s="86">
        <f t="shared" si="5"/>
        <v>0</v>
      </c>
    </row>
    <row r="361" spans="1:5" ht="43.5" customHeight="1" hidden="1">
      <c r="A361" s="138" t="s">
        <v>523</v>
      </c>
      <c r="B361" s="22" t="s">
        <v>580</v>
      </c>
      <c r="C361" s="29"/>
      <c r="D361" s="86">
        <f t="shared" si="5"/>
        <v>0</v>
      </c>
      <c r="E361" s="86">
        <f t="shared" si="5"/>
        <v>0</v>
      </c>
    </row>
    <row r="362" spans="1:5" ht="31.5" customHeight="1" hidden="1">
      <c r="A362" s="28" t="s">
        <v>518</v>
      </c>
      <c r="B362" s="22" t="s">
        <v>581</v>
      </c>
      <c r="C362" s="29"/>
      <c r="D362" s="86">
        <f t="shared" si="5"/>
        <v>0</v>
      </c>
      <c r="E362" s="86">
        <f t="shared" si="5"/>
        <v>0</v>
      </c>
    </row>
    <row r="363" spans="1:5" ht="26.25" hidden="1">
      <c r="A363" s="28" t="s">
        <v>39</v>
      </c>
      <c r="B363" s="22" t="s">
        <v>581</v>
      </c>
      <c r="C363" s="29" t="s">
        <v>92</v>
      </c>
      <c r="D363" s="86">
        <f>5000-5000</f>
        <v>0</v>
      </c>
      <c r="E363" s="86">
        <f>5000-5000</f>
        <v>0</v>
      </c>
    </row>
    <row r="364" spans="1:5" ht="46.5" customHeight="1">
      <c r="A364" s="135" t="s">
        <v>15</v>
      </c>
      <c r="B364" s="36" t="s">
        <v>161</v>
      </c>
      <c r="C364" s="29"/>
      <c r="D364" s="86">
        <f>D365</f>
        <v>1539450</v>
      </c>
      <c r="E364" s="86">
        <f>E365</f>
        <v>1539450</v>
      </c>
    </row>
    <row r="365" spans="1:5" s="47" customFormat="1" ht="80.25" customHeight="1">
      <c r="A365" s="106" t="s">
        <v>16</v>
      </c>
      <c r="B365" s="61" t="s">
        <v>162</v>
      </c>
      <c r="C365" s="57"/>
      <c r="D365" s="87">
        <f>D373+D366</f>
        <v>1539450</v>
      </c>
      <c r="E365" s="87">
        <f>E373+E366</f>
        <v>1539450</v>
      </c>
    </row>
    <row r="366" spans="1:5" ht="24.75" customHeight="1" hidden="1">
      <c r="A366" s="112" t="s">
        <v>478</v>
      </c>
      <c r="B366" s="36" t="s">
        <v>479</v>
      </c>
      <c r="C366" s="57"/>
      <c r="D366" s="87">
        <f>D367+D369+D371</f>
        <v>0</v>
      </c>
      <c r="E366" s="87">
        <f>E367+E369+E371</f>
        <v>0</v>
      </c>
    </row>
    <row r="367" spans="1:5" ht="45" hidden="1">
      <c r="A367" s="107" t="s">
        <v>20</v>
      </c>
      <c r="B367" s="22" t="s">
        <v>480</v>
      </c>
      <c r="C367" s="57"/>
      <c r="D367" s="87">
        <f>D368</f>
        <v>0</v>
      </c>
      <c r="E367" s="87">
        <f>E368</f>
        <v>0</v>
      </c>
    </row>
    <row r="368" spans="1:5" ht="15" hidden="1">
      <c r="A368" s="108" t="s">
        <v>132</v>
      </c>
      <c r="B368" s="22" t="s">
        <v>480</v>
      </c>
      <c r="C368" s="57" t="s">
        <v>133</v>
      </c>
      <c r="D368" s="87"/>
      <c r="E368" s="87"/>
    </row>
    <row r="369" spans="1:5" ht="30" hidden="1">
      <c r="A369" s="107" t="s">
        <v>460</v>
      </c>
      <c r="B369" s="22" t="s">
        <v>481</v>
      </c>
      <c r="C369" s="57"/>
      <c r="D369" s="87">
        <f>D370</f>
        <v>0</v>
      </c>
      <c r="E369" s="87">
        <f>E370</f>
        <v>0</v>
      </c>
    </row>
    <row r="370" spans="1:5" ht="15" hidden="1">
      <c r="A370" s="108" t="s">
        <v>132</v>
      </c>
      <c r="B370" s="22" t="s">
        <v>481</v>
      </c>
      <c r="C370" s="57" t="s">
        <v>133</v>
      </c>
      <c r="D370" s="87"/>
      <c r="E370" s="87"/>
    </row>
    <row r="371" spans="1:5" ht="30" hidden="1">
      <c r="A371" s="107" t="s">
        <v>18</v>
      </c>
      <c r="B371" s="22" t="s">
        <v>482</v>
      </c>
      <c r="C371" s="57"/>
      <c r="D371" s="87">
        <f>D372</f>
        <v>0</v>
      </c>
      <c r="E371" s="87">
        <f>E372</f>
        <v>0</v>
      </c>
    </row>
    <row r="372" spans="1:5" ht="15" hidden="1">
      <c r="A372" s="108" t="s">
        <v>132</v>
      </c>
      <c r="B372" s="22" t="s">
        <v>482</v>
      </c>
      <c r="C372" s="57" t="s">
        <v>133</v>
      </c>
      <c r="D372" s="87"/>
      <c r="E372" s="87"/>
    </row>
    <row r="373" spans="1:5" ht="24" customHeight="1">
      <c r="A373" s="40" t="s">
        <v>17</v>
      </c>
      <c r="B373" s="36" t="s">
        <v>629</v>
      </c>
      <c r="C373" s="29"/>
      <c r="D373" s="86">
        <f>D378+D376+D374+D380</f>
        <v>1539450</v>
      </c>
      <c r="E373" s="86">
        <f>E378+E376+E374+E380</f>
        <v>1539450</v>
      </c>
    </row>
    <row r="374" spans="1:5" ht="39" hidden="1">
      <c r="A374" s="31" t="s">
        <v>20</v>
      </c>
      <c r="B374" s="36" t="s">
        <v>21</v>
      </c>
      <c r="C374" s="29"/>
      <c r="D374" s="86">
        <f>D375</f>
        <v>0</v>
      </c>
      <c r="E374" s="86">
        <f>E375</f>
        <v>0</v>
      </c>
    </row>
    <row r="375" spans="1:5" ht="15" hidden="1">
      <c r="A375" s="108" t="s">
        <v>132</v>
      </c>
      <c r="B375" s="36" t="s">
        <v>21</v>
      </c>
      <c r="C375" s="29" t="s">
        <v>133</v>
      </c>
      <c r="D375" s="86"/>
      <c r="E375" s="86"/>
    </row>
    <row r="376" spans="1:5" ht="32.25" customHeight="1">
      <c r="A376" s="112" t="s">
        <v>632</v>
      </c>
      <c r="B376" s="36" t="s">
        <v>634</v>
      </c>
      <c r="C376" s="29"/>
      <c r="D376" s="86">
        <f>D377</f>
        <v>879750</v>
      </c>
      <c r="E376" s="86">
        <f>E377</f>
        <v>879750</v>
      </c>
    </row>
    <row r="377" spans="1:5" ht="15">
      <c r="A377" s="40" t="s">
        <v>132</v>
      </c>
      <c r="B377" s="36" t="s">
        <v>634</v>
      </c>
      <c r="C377" s="29" t="s">
        <v>133</v>
      </c>
      <c r="D377" s="86">
        <f>879750</f>
        <v>879750</v>
      </c>
      <c r="E377" s="86">
        <f>879750</f>
        <v>879750</v>
      </c>
    </row>
    <row r="378" spans="1:5" ht="35.25" customHeight="1">
      <c r="A378" s="112" t="s">
        <v>633</v>
      </c>
      <c r="B378" s="36" t="s">
        <v>635</v>
      </c>
      <c r="C378" s="29"/>
      <c r="D378" s="86">
        <f>D379</f>
        <v>155250</v>
      </c>
      <c r="E378" s="86">
        <f>E379</f>
        <v>155250</v>
      </c>
    </row>
    <row r="379" spans="1:5" ht="21" customHeight="1">
      <c r="A379" s="40" t="s">
        <v>132</v>
      </c>
      <c r="B379" s="36" t="s">
        <v>635</v>
      </c>
      <c r="C379" s="29" t="s">
        <v>133</v>
      </c>
      <c r="D379" s="86">
        <v>155250</v>
      </c>
      <c r="E379" s="86">
        <v>155250</v>
      </c>
    </row>
    <row r="380" spans="1:5" ht="45.75" customHeight="1">
      <c r="A380" s="27" t="s">
        <v>257</v>
      </c>
      <c r="B380" s="36" t="s">
        <v>630</v>
      </c>
      <c r="C380" s="29"/>
      <c r="D380" s="26">
        <f>D381</f>
        <v>504450</v>
      </c>
      <c r="E380" s="26">
        <f>E381</f>
        <v>504450</v>
      </c>
    </row>
    <row r="381" spans="1:5" ht="24" customHeight="1">
      <c r="A381" s="40" t="s">
        <v>132</v>
      </c>
      <c r="B381" s="36" t="s">
        <v>630</v>
      </c>
      <c r="C381" s="29" t="s">
        <v>133</v>
      </c>
      <c r="D381" s="26">
        <f>300000+1144750-290300-150000-500000</f>
        <v>504450</v>
      </c>
      <c r="E381" s="26">
        <f>300000+1144750-290300-150000-500000</f>
        <v>504450</v>
      </c>
    </row>
    <row r="382" spans="1:5" ht="29.25" customHeight="1">
      <c r="A382" s="137" t="s">
        <v>576</v>
      </c>
      <c r="B382" s="22" t="s">
        <v>174</v>
      </c>
      <c r="C382" s="29"/>
      <c r="D382" s="86">
        <f aca="true" t="shared" si="6" ref="D382:E385">D383</f>
        <v>10000</v>
      </c>
      <c r="E382" s="86">
        <f t="shared" si="6"/>
        <v>10000</v>
      </c>
    </row>
    <row r="383" spans="1:5" ht="45.75" customHeight="1">
      <c r="A383" s="98" t="s">
        <v>577</v>
      </c>
      <c r="B383" s="22" t="s">
        <v>175</v>
      </c>
      <c r="C383" s="29"/>
      <c r="D383" s="86">
        <f t="shared" si="6"/>
        <v>10000</v>
      </c>
      <c r="E383" s="86">
        <f t="shared" si="6"/>
        <v>10000</v>
      </c>
    </row>
    <row r="384" spans="1:5" ht="28.5" customHeight="1">
      <c r="A384" s="112" t="s">
        <v>573</v>
      </c>
      <c r="B384" s="22" t="s">
        <v>574</v>
      </c>
      <c r="C384" s="29"/>
      <c r="D384" s="86">
        <f t="shared" si="6"/>
        <v>10000</v>
      </c>
      <c r="E384" s="86">
        <f t="shared" si="6"/>
        <v>10000</v>
      </c>
    </row>
    <row r="385" spans="1:5" ht="20.25" customHeight="1">
      <c r="A385" s="110" t="s">
        <v>176</v>
      </c>
      <c r="B385" s="22" t="s">
        <v>575</v>
      </c>
      <c r="C385" s="29"/>
      <c r="D385" s="86">
        <f t="shared" si="6"/>
        <v>10000</v>
      </c>
      <c r="E385" s="86">
        <f t="shared" si="6"/>
        <v>10000</v>
      </c>
    </row>
    <row r="386" spans="1:5" ht="30" customHeight="1">
      <c r="A386" s="140" t="s">
        <v>39</v>
      </c>
      <c r="B386" s="22" t="s">
        <v>575</v>
      </c>
      <c r="C386" s="24" t="s">
        <v>92</v>
      </c>
      <c r="D386" s="86">
        <v>10000</v>
      </c>
      <c r="E386" s="86">
        <v>10000</v>
      </c>
    </row>
    <row r="387" spans="1:5" ht="41.25" customHeight="1">
      <c r="A387" s="137" t="s">
        <v>489</v>
      </c>
      <c r="B387" s="36" t="s">
        <v>490</v>
      </c>
      <c r="C387" s="24"/>
      <c r="D387" s="26">
        <f>D388+D392</f>
        <v>91100</v>
      </c>
      <c r="E387" s="26">
        <f>E388+E392</f>
        <v>91082.62</v>
      </c>
    </row>
    <row r="388" spans="1:5" ht="45" customHeight="1" hidden="1">
      <c r="A388" s="111" t="s">
        <v>491</v>
      </c>
      <c r="B388" s="36" t="s">
        <v>492</v>
      </c>
      <c r="C388" s="24"/>
      <c r="D388" s="26">
        <f aca="true" t="shared" si="7" ref="D388:E390">D389</f>
        <v>0</v>
      </c>
      <c r="E388" s="26">
        <f t="shared" si="7"/>
        <v>0</v>
      </c>
    </row>
    <row r="389" spans="1:5" ht="25.5" hidden="1">
      <c r="A389" s="112" t="s">
        <v>493</v>
      </c>
      <c r="B389" s="36" t="s">
        <v>494</v>
      </c>
      <c r="C389" s="24"/>
      <c r="D389" s="26">
        <f t="shared" si="7"/>
        <v>0</v>
      </c>
      <c r="E389" s="26">
        <f t="shared" si="7"/>
        <v>0</v>
      </c>
    </row>
    <row r="390" spans="1:5" ht="26.25" hidden="1">
      <c r="A390" s="28" t="s">
        <v>515</v>
      </c>
      <c r="B390" s="36" t="s">
        <v>516</v>
      </c>
      <c r="C390" s="24"/>
      <c r="D390" s="26">
        <f t="shared" si="7"/>
        <v>0</v>
      </c>
      <c r="E390" s="26">
        <f t="shared" si="7"/>
        <v>0</v>
      </c>
    </row>
    <row r="391" spans="1:5" ht="26.25" hidden="1">
      <c r="A391" s="28" t="s">
        <v>39</v>
      </c>
      <c r="B391" s="36" t="s">
        <v>516</v>
      </c>
      <c r="C391" s="24" t="s">
        <v>92</v>
      </c>
      <c r="D391" s="26"/>
      <c r="E391" s="26"/>
    </row>
    <row r="392" spans="1:5" ht="57.75" customHeight="1">
      <c r="A392" s="111" t="s">
        <v>495</v>
      </c>
      <c r="B392" s="36" t="s">
        <v>496</v>
      </c>
      <c r="C392" s="24"/>
      <c r="D392" s="26">
        <f aca="true" t="shared" si="8" ref="D392:E394">D393</f>
        <v>91100</v>
      </c>
      <c r="E392" s="26">
        <f t="shared" si="8"/>
        <v>91082.62</v>
      </c>
    </row>
    <row r="393" spans="1:5" ht="19.5" customHeight="1">
      <c r="A393" s="112" t="s">
        <v>497</v>
      </c>
      <c r="B393" s="36" t="s">
        <v>498</v>
      </c>
      <c r="C393" s="24"/>
      <c r="D393" s="26">
        <f t="shared" si="8"/>
        <v>91100</v>
      </c>
      <c r="E393" s="26">
        <f t="shared" si="8"/>
        <v>91082.62</v>
      </c>
    </row>
    <row r="394" spans="1:5" ht="15">
      <c r="A394" s="112" t="s">
        <v>129</v>
      </c>
      <c r="B394" s="36" t="s">
        <v>525</v>
      </c>
      <c r="C394" s="24"/>
      <c r="D394" s="26">
        <f t="shared" si="8"/>
        <v>91100</v>
      </c>
      <c r="E394" s="26">
        <f t="shared" si="8"/>
        <v>91082.62</v>
      </c>
    </row>
    <row r="395" spans="1:5" ht="26.25">
      <c r="A395" s="28" t="s">
        <v>39</v>
      </c>
      <c r="B395" s="36" t="s">
        <v>525</v>
      </c>
      <c r="C395" s="24" t="s">
        <v>92</v>
      </c>
      <c r="D395" s="26">
        <f>150000-58900</f>
        <v>91100</v>
      </c>
      <c r="E395" s="26">
        <v>91082.62</v>
      </c>
    </row>
    <row r="396" spans="1:5" ht="33" customHeight="1">
      <c r="A396" s="28" t="s">
        <v>548</v>
      </c>
      <c r="B396" s="36" t="s">
        <v>146</v>
      </c>
      <c r="C396" s="35"/>
      <c r="D396" s="86">
        <f>D397</f>
        <v>1559394</v>
      </c>
      <c r="E396" s="86">
        <f>E397</f>
        <v>1559394</v>
      </c>
    </row>
    <row r="397" spans="1:5" s="47" customFormat="1" ht="61.5" customHeight="1">
      <c r="A397" s="55" t="s">
        <v>547</v>
      </c>
      <c r="B397" s="61" t="s">
        <v>147</v>
      </c>
      <c r="C397" s="62"/>
      <c r="D397" s="87">
        <f>D399</f>
        <v>1559394</v>
      </c>
      <c r="E397" s="87">
        <f>E399</f>
        <v>1559394</v>
      </c>
    </row>
    <row r="398" spans="1:5" s="47" customFormat="1" ht="60" customHeight="1">
      <c r="A398" s="148" t="s">
        <v>402</v>
      </c>
      <c r="B398" s="36" t="s">
        <v>148</v>
      </c>
      <c r="C398" s="35"/>
      <c r="D398" s="86">
        <f>D399</f>
        <v>1559394</v>
      </c>
      <c r="E398" s="86">
        <f>E399</f>
        <v>1559394</v>
      </c>
    </row>
    <row r="399" spans="1:5" s="47" customFormat="1" ht="81.75" customHeight="1">
      <c r="A399" s="27" t="s">
        <v>606</v>
      </c>
      <c r="B399" s="36" t="s">
        <v>149</v>
      </c>
      <c r="C399" s="35"/>
      <c r="D399" s="86">
        <f>D400+D401</f>
        <v>1559394</v>
      </c>
      <c r="E399" s="86">
        <f>E400+E401</f>
        <v>1559394</v>
      </c>
    </row>
    <row r="400" spans="1:5" ht="39">
      <c r="A400" s="28" t="s">
        <v>84</v>
      </c>
      <c r="B400" s="36" t="s">
        <v>149</v>
      </c>
      <c r="C400" s="35" t="s">
        <v>85</v>
      </c>
      <c r="D400" s="26">
        <f>833562.95-105780.95+15898+4800.09+54572.05+20852.22-0.9</f>
        <v>823903.46</v>
      </c>
      <c r="E400" s="26">
        <f>833562.95-105780.95+15898+4800.09+54572.05+20852.22-0.9</f>
        <v>823903.46</v>
      </c>
    </row>
    <row r="401" spans="1:5" ht="26.25">
      <c r="A401" s="28" t="s">
        <v>39</v>
      </c>
      <c r="B401" s="36" t="s">
        <v>149</v>
      </c>
      <c r="C401" s="35" t="s">
        <v>92</v>
      </c>
      <c r="D401" s="26">
        <f>1345431.05+105780.95+312800-6117.04-14581.05-75424.27-932399.1</f>
        <v>735490.5399999999</v>
      </c>
      <c r="E401" s="26">
        <f>1345431.05+105780.95+312800-6117.04-14581.05-75424.27-932399.1</f>
        <v>735490.5399999999</v>
      </c>
    </row>
    <row r="402" spans="1:5" ht="15.75">
      <c r="A402" s="28" t="s">
        <v>81</v>
      </c>
      <c r="B402" s="23" t="s">
        <v>348</v>
      </c>
      <c r="C402" s="24"/>
      <c r="D402" s="84">
        <f aca="true" t="shared" si="9" ref="D402:E404">D403</f>
        <v>1559260</v>
      </c>
      <c r="E402" s="84">
        <f t="shared" si="9"/>
        <v>1525525</v>
      </c>
    </row>
    <row r="403" spans="1:5" s="47" customFormat="1" ht="15.75">
      <c r="A403" s="59" t="s">
        <v>82</v>
      </c>
      <c r="B403" s="56" t="s">
        <v>349</v>
      </c>
      <c r="C403" s="44"/>
      <c r="D403" s="83">
        <f t="shared" si="9"/>
        <v>1559260</v>
      </c>
      <c r="E403" s="83">
        <f t="shared" si="9"/>
        <v>1525525</v>
      </c>
    </row>
    <row r="404" spans="1:5" ht="26.25">
      <c r="A404" s="27" t="s">
        <v>83</v>
      </c>
      <c r="B404" s="23" t="s">
        <v>350</v>
      </c>
      <c r="C404" s="24"/>
      <c r="D404" s="84">
        <f t="shared" si="9"/>
        <v>1559260</v>
      </c>
      <c r="E404" s="84">
        <f t="shared" si="9"/>
        <v>1525525</v>
      </c>
    </row>
    <row r="405" spans="1:5" ht="39">
      <c r="A405" s="28" t="s">
        <v>84</v>
      </c>
      <c r="B405" s="23" t="s">
        <v>350</v>
      </c>
      <c r="C405" s="29" t="s">
        <v>85</v>
      </c>
      <c r="D405" s="26">
        <f>1205904+253860+77189+22307</f>
        <v>1559260</v>
      </c>
      <c r="E405" s="26">
        <v>1525525</v>
      </c>
    </row>
    <row r="406" spans="1:5" ht="15" customHeight="1">
      <c r="A406" s="28" t="s">
        <v>104</v>
      </c>
      <c r="B406" s="22" t="s">
        <v>365</v>
      </c>
      <c r="C406" s="24"/>
      <c r="D406" s="86">
        <f>D407</f>
        <v>17271936</v>
      </c>
      <c r="E406" s="86">
        <f>E407</f>
        <v>17215239.76</v>
      </c>
    </row>
    <row r="407" spans="1:5" s="47" customFormat="1" ht="15.75" customHeight="1">
      <c r="A407" s="58" t="s">
        <v>105</v>
      </c>
      <c r="B407" s="43" t="s">
        <v>366</v>
      </c>
      <c r="C407" s="44"/>
      <c r="D407" s="87">
        <f>D408</f>
        <v>17271936</v>
      </c>
      <c r="E407" s="87">
        <f>E408</f>
        <v>17215239.76</v>
      </c>
    </row>
    <row r="408" spans="1:5" ht="27.75" customHeight="1">
      <c r="A408" s="27" t="s">
        <v>83</v>
      </c>
      <c r="B408" s="22" t="s">
        <v>367</v>
      </c>
      <c r="C408" s="24"/>
      <c r="D408" s="86">
        <f>D409+D410+D411</f>
        <v>17271936</v>
      </c>
      <c r="E408" s="86">
        <f>E409+E410+E411</f>
        <v>17215239.76</v>
      </c>
    </row>
    <row r="409" spans="1:5" ht="39">
      <c r="A409" s="28" t="s">
        <v>84</v>
      </c>
      <c r="B409" s="22" t="s">
        <v>367</v>
      </c>
      <c r="C409" s="29" t="s">
        <v>85</v>
      </c>
      <c r="D409" s="26">
        <f>12187544+3681144+8200-157545+305093+1126000</f>
        <v>17150436</v>
      </c>
      <c r="E409" s="26">
        <v>17145244.37</v>
      </c>
    </row>
    <row r="410" spans="1:5" ht="26.25">
      <c r="A410" s="28" t="s">
        <v>39</v>
      </c>
      <c r="B410" s="22" t="s">
        <v>367</v>
      </c>
      <c r="C410" s="29" t="s">
        <v>92</v>
      </c>
      <c r="D410" s="113">
        <f>1519300-225400-1141300-92000-20000</f>
        <v>40600</v>
      </c>
      <c r="E410" s="113">
        <v>36267.22</v>
      </c>
    </row>
    <row r="411" spans="1:5" ht="15">
      <c r="A411" s="30" t="s">
        <v>93</v>
      </c>
      <c r="B411" s="22" t="s">
        <v>367</v>
      </c>
      <c r="C411" s="29" t="s">
        <v>94</v>
      </c>
      <c r="D411" s="26">
        <f>80900</f>
        <v>80900</v>
      </c>
      <c r="E411" s="26">
        <v>33728.17</v>
      </c>
    </row>
    <row r="412" spans="1:5" ht="26.25">
      <c r="A412" s="147" t="s">
        <v>111</v>
      </c>
      <c r="B412" s="32" t="s">
        <v>370</v>
      </c>
      <c r="C412" s="29"/>
      <c r="D412" s="86">
        <f>D413</f>
        <v>573188</v>
      </c>
      <c r="E412" s="86">
        <f>E413</f>
        <v>573093.3099999999</v>
      </c>
    </row>
    <row r="413" spans="1:5" s="47" customFormat="1" ht="17.25" customHeight="1">
      <c r="A413" s="75" t="s">
        <v>112</v>
      </c>
      <c r="B413" s="74" t="s">
        <v>371</v>
      </c>
      <c r="C413" s="57"/>
      <c r="D413" s="87">
        <f>D414</f>
        <v>573188</v>
      </c>
      <c r="E413" s="87">
        <f>E414</f>
        <v>573093.3099999999</v>
      </c>
    </row>
    <row r="414" spans="1:5" ht="26.25">
      <c r="A414" s="27" t="s">
        <v>83</v>
      </c>
      <c r="B414" s="32" t="s">
        <v>372</v>
      </c>
      <c r="C414" s="24"/>
      <c r="D414" s="86">
        <f>D415+D416+D417</f>
        <v>573188</v>
      </c>
      <c r="E414" s="86">
        <f>E415+E416+E417</f>
        <v>573093.3099999999</v>
      </c>
    </row>
    <row r="415" spans="1:5" ht="38.25" customHeight="1">
      <c r="A415" s="28" t="s">
        <v>84</v>
      </c>
      <c r="B415" s="32" t="s">
        <v>372</v>
      </c>
      <c r="C415" s="29" t="s">
        <v>85</v>
      </c>
      <c r="D415" s="26">
        <f>367920+111112+80356+13800</f>
        <v>573188</v>
      </c>
      <c r="E415" s="26">
        <v>573093.3099999999</v>
      </c>
    </row>
    <row r="416" spans="1:5" ht="15" hidden="1">
      <c r="A416" s="28" t="s">
        <v>91</v>
      </c>
      <c r="B416" s="32" t="s">
        <v>372</v>
      </c>
      <c r="C416" s="29" t="s">
        <v>92</v>
      </c>
      <c r="D416" s="86"/>
      <c r="E416" s="86"/>
    </row>
    <row r="417" spans="1:5" ht="15" hidden="1">
      <c r="A417" s="30" t="s">
        <v>93</v>
      </c>
      <c r="B417" s="32" t="s">
        <v>372</v>
      </c>
      <c r="C417" s="29" t="s">
        <v>94</v>
      </c>
      <c r="D417" s="86"/>
      <c r="E417" s="86"/>
    </row>
    <row r="418" spans="1:5" ht="28.5" customHeight="1">
      <c r="A418" s="28" t="s">
        <v>88</v>
      </c>
      <c r="B418" s="23" t="s">
        <v>351</v>
      </c>
      <c r="C418" s="24"/>
      <c r="D418" s="86">
        <f>D419+D422</f>
        <v>2088416</v>
      </c>
      <c r="E418" s="86">
        <f>E419+E422</f>
        <v>2078269.96</v>
      </c>
    </row>
    <row r="419" spans="1:5" s="47" customFormat="1" ht="19.5" customHeight="1">
      <c r="A419" s="59" t="s">
        <v>89</v>
      </c>
      <c r="B419" s="56" t="s">
        <v>352</v>
      </c>
      <c r="C419" s="44"/>
      <c r="D419" s="87">
        <f>D420</f>
        <v>885866</v>
      </c>
      <c r="E419" s="87">
        <f>E420</f>
        <v>885644.1799999999</v>
      </c>
    </row>
    <row r="420" spans="1:5" ht="30.75" customHeight="1">
      <c r="A420" s="27" t="s">
        <v>83</v>
      </c>
      <c r="B420" s="23" t="s">
        <v>353</v>
      </c>
      <c r="C420" s="29"/>
      <c r="D420" s="86">
        <f>D421</f>
        <v>885866</v>
      </c>
      <c r="E420" s="86">
        <f>E421</f>
        <v>885644.1799999999</v>
      </c>
    </row>
    <row r="421" spans="1:5" ht="39.75" customHeight="1">
      <c r="A421" s="28" t="s">
        <v>84</v>
      </c>
      <c r="B421" s="23" t="s">
        <v>353</v>
      </c>
      <c r="C421" s="29" t="s">
        <v>85</v>
      </c>
      <c r="D421" s="26">
        <f>675626+204040+6200</f>
        <v>885866</v>
      </c>
      <c r="E421" s="26">
        <v>885644.1799999999</v>
      </c>
    </row>
    <row r="422" spans="1:5" s="47" customFormat="1" ht="15.75" customHeight="1">
      <c r="A422" s="59" t="s">
        <v>90</v>
      </c>
      <c r="B422" s="56" t="s">
        <v>354</v>
      </c>
      <c r="C422" s="57"/>
      <c r="D422" s="87">
        <f>D423</f>
        <v>1202550</v>
      </c>
      <c r="E422" s="87">
        <f>E423</f>
        <v>1192625.78</v>
      </c>
    </row>
    <row r="423" spans="1:5" ht="28.5" customHeight="1">
      <c r="A423" s="27" t="s">
        <v>83</v>
      </c>
      <c r="B423" s="23" t="s">
        <v>355</v>
      </c>
      <c r="C423" s="29"/>
      <c r="D423" s="86">
        <f>D424+D425+D426</f>
        <v>1202550</v>
      </c>
      <c r="E423" s="86">
        <f>E424+E425+E426</f>
        <v>1192625.78</v>
      </c>
    </row>
    <row r="424" spans="1:5" ht="42.75" customHeight="1">
      <c r="A424" s="28" t="s">
        <v>84</v>
      </c>
      <c r="B424" s="23" t="s">
        <v>355</v>
      </c>
      <c r="C424" s="29" t="s">
        <v>85</v>
      </c>
      <c r="D424" s="26">
        <f>816320+246530+66400+63300</f>
        <v>1192550</v>
      </c>
      <c r="E424" s="26">
        <v>1192512.53</v>
      </c>
    </row>
    <row r="425" spans="1:5" ht="15" hidden="1">
      <c r="A425" s="28" t="s">
        <v>91</v>
      </c>
      <c r="B425" s="23" t="s">
        <v>355</v>
      </c>
      <c r="C425" s="29" t="s">
        <v>92</v>
      </c>
      <c r="D425" s="26"/>
      <c r="E425" s="26"/>
    </row>
    <row r="426" spans="1:5" ht="15">
      <c r="A426" s="30" t="s">
        <v>93</v>
      </c>
      <c r="B426" s="23" t="s">
        <v>355</v>
      </c>
      <c r="C426" s="29" t="s">
        <v>94</v>
      </c>
      <c r="D426" s="86">
        <v>10000</v>
      </c>
      <c r="E426" s="86">
        <v>113.25</v>
      </c>
    </row>
    <row r="427" spans="1:5" ht="26.25" customHeight="1">
      <c r="A427" s="28" t="s">
        <v>127</v>
      </c>
      <c r="B427" s="23" t="s">
        <v>22</v>
      </c>
      <c r="C427" s="35"/>
      <c r="D427" s="86">
        <f>D428</f>
        <v>3761548.74</v>
      </c>
      <c r="E427" s="86">
        <f>E428</f>
        <v>3647470.88</v>
      </c>
    </row>
    <row r="428" spans="1:5" s="47" customFormat="1" ht="17.25" customHeight="1">
      <c r="A428" s="55" t="s">
        <v>128</v>
      </c>
      <c r="B428" s="56" t="s">
        <v>23</v>
      </c>
      <c r="C428" s="62"/>
      <c r="D428" s="87">
        <f>D429</f>
        <v>3761548.74</v>
      </c>
      <c r="E428" s="87">
        <f>E429</f>
        <v>3647470.88</v>
      </c>
    </row>
    <row r="429" spans="1:5" ht="17.25" customHeight="1">
      <c r="A429" s="21" t="s">
        <v>129</v>
      </c>
      <c r="B429" s="23" t="s">
        <v>24</v>
      </c>
      <c r="C429" s="35"/>
      <c r="D429" s="86">
        <f>D430+D431</f>
        <v>3761548.74</v>
      </c>
      <c r="E429" s="86">
        <f>E430+E431</f>
        <v>3647470.88</v>
      </c>
    </row>
    <row r="430" spans="1:5" ht="16.5" customHeight="1">
      <c r="A430" s="28" t="s">
        <v>91</v>
      </c>
      <c r="B430" s="23" t="s">
        <v>24</v>
      </c>
      <c r="C430" s="35" t="s">
        <v>92</v>
      </c>
      <c r="D430" s="26">
        <f>3587866.74+40000-60000</f>
        <v>3567866.74</v>
      </c>
      <c r="E430" s="26">
        <v>3526872.38</v>
      </c>
    </row>
    <row r="431" spans="1:5" ht="17.25" customHeight="1">
      <c r="A431" s="30" t="s">
        <v>93</v>
      </c>
      <c r="B431" s="23" t="s">
        <v>24</v>
      </c>
      <c r="C431" s="35" t="s">
        <v>94</v>
      </c>
      <c r="D431" s="26">
        <f>306472.26+143682+564110.81-137600+25000-700000-1119-4710-2154.07</f>
        <v>193682.00000000006</v>
      </c>
      <c r="E431" s="26">
        <v>120598.5</v>
      </c>
    </row>
    <row r="432" spans="1:7" ht="18.75" customHeight="1">
      <c r="A432" s="21" t="s">
        <v>106</v>
      </c>
      <c r="B432" s="32" t="s">
        <v>368</v>
      </c>
      <c r="C432" s="29"/>
      <c r="D432" s="84">
        <f>D433+D437+D454</f>
        <v>11184855.56</v>
      </c>
      <c r="E432" s="84">
        <f>E433+E437+E454</f>
        <v>10783994.18</v>
      </c>
      <c r="F432" s="11"/>
      <c r="G432" s="11"/>
    </row>
    <row r="433" spans="1:6" s="47" customFormat="1" ht="30" customHeight="1">
      <c r="A433" s="98" t="s">
        <v>44</v>
      </c>
      <c r="B433" s="43" t="s">
        <v>42</v>
      </c>
      <c r="C433" s="44"/>
      <c r="D433" s="83">
        <f>D434</f>
        <v>292200</v>
      </c>
      <c r="E433" s="83">
        <f>E434</f>
        <v>292200</v>
      </c>
      <c r="F433" s="69"/>
    </row>
    <row r="434" spans="1:6" ht="26.25">
      <c r="A434" s="27" t="s">
        <v>108</v>
      </c>
      <c r="B434" s="22" t="s">
        <v>43</v>
      </c>
      <c r="C434" s="24"/>
      <c r="D434" s="86">
        <f>D435+D436</f>
        <v>292200</v>
      </c>
      <c r="E434" s="86">
        <f>E435+E436</f>
        <v>292200</v>
      </c>
      <c r="F434" s="11"/>
    </row>
    <row r="435" spans="1:6" ht="39">
      <c r="A435" s="28" t="s">
        <v>84</v>
      </c>
      <c r="B435" s="22" t="s">
        <v>43</v>
      </c>
      <c r="C435" s="29" t="s">
        <v>85</v>
      </c>
      <c r="D435" s="26">
        <f>208320+62913+20967</f>
        <v>292200</v>
      </c>
      <c r="E435" s="26">
        <f>208320+62913+20967</f>
        <v>292200</v>
      </c>
      <c r="F435" s="11"/>
    </row>
    <row r="436" spans="1:6" ht="15">
      <c r="A436" s="28" t="s">
        <v>91</v>
      </c>
      <c r="B436" s="22" t="s">
        <v>43</v>
      </c>
      <c r="C436" s="29" t="s">
        <v>92</v>
      </c>
      <c r="D436" s="26">
        <f>20967-20967</f>
        <v>0</v>
      </c>
      <c r="E436" s="26">
        <f>20967-20967</f>
        <v>0</v>
      </c>
      <c r="F436" s="11"/>
    </row>
    <row r="437" spans="1:6" ht="18" customHeight="1">
      <c r="A437" s="55" t="s">
        <v>107</v>
      </c>
      <c r="B437" s="43" t="s">
        <v>369</v>
      </c>
      <c r="C437" s="29"/>
      <c r="D437" s="86">
        <f>D438+D440+D442+D444+D446+D450+D452</f>
        <v>10002655.56</v>
      </c>
      <c r="E437" s="86">
        <f>E438+E440+E442+E444+E446+E450+E452</f>
        <v>9601794.18</v>
      </c>
      <c r="F437" s="11"/>
    </row>
    <row r="438" spans="1:6" ht="36.75" customHeight="1">
      <c r="A438" s="30" t="s">
        <v>604</v>
      </c>
      <c r="B438" s="22" t="s">
        <v>449</v>
      </c>
      <c r="C438" s="24"/>
      <c r="D438" s="86">
        <f>D439</f>
        <v>9200</v>
      </c>
      <c r="E438" s="86">
        <f>E439</f>
        <v>9200</v>
      </c>
      <c r="F438" s="11"/>
    </row>
    <row r="439" spans="1:6" ht="26.25" customHeight="1">
      <c r="A439" s="28" t="s">
        <v>39</v>
      </c>
      <c r="B439" s="22" t="s">
        <v>449</v>
      </c>
      <c r="C439" s="29" t="s">
        <v>92</v>
      </c>
      <c r="D439" s="26">
        <f>5053+4147</f>
        <v>9200</v>
      </c>
      <c r="E439" s="26">
        <f>5053+4147</f>
        <v>9200</v>
      </c>
      <c r="F439" s="11"/>
    </row>
    <row r="440" spans="1:6" ht="26.25" customHeight="1">
      <c r="A440" s="30" t="s">
        <v>458</v>
      </c>
      <c r="B440" s="22" t="s">
        <v>450</v>
      </c>
      <c r="C440" s="24"/>
      <c r="D440" s="86">
        <f>D441</f>
        <v>29220</v>
      </c>
      <c r="E440" s="86">
        <f>E441</f>
        <v>4869.89</v>
      </c>
      <c r="F440" s="11"/>
    </row>
    <row r="441" spans="1:6" ht="26.25">
      <c r="A441" s="28" t="s">
        <v>39</v>
      </c>
      <c r="B441" s="22" t="s">
        <v>450</v>
      </c>
      <c r="C441" s="29" t="s">
        <v>85</v>
      </c>
      <c r="D441" s="26">
        <f>22442+6778</f>
        <v>29220</v>
      </c>
      <c r="E441" s="26">
        <v>4869.89</v>
      </c>
      <c r="F441" s="11"/>
    </row>
    <row r="442" spans="1:6" ht="39">
      <c r="A442" s="42" t="s">
        <v>470</v>
      </c>
      <c r="B442" s="22" t="s">
        <v>469</v>
      </c>
      <c r="C442" s="29"/>
      <c r="D442" s="86">
        <f>D443</f>
        <v>76900</v>
      </c>
      <c r="E442" s="86">
        <f>E443</f>
        <v>12750</v>
      </c>
      <c r="F442" s="11"/>
    </row>
    <row r="443" spans="1:6" ht="19.5" customHeight="1">
      <c r="A443" s="28" t="s">
        <v>91</v>
      </c>
      <c r="B443" s="22" t="s">
        <v>469</v>
      </c>
      <c r="C443" s="29" t="s">
        <v>92</v>
      </c>
      <c r="D443" s="86">
        <f>76900</f>
        <v>76900</v>
      </c>
      <c r="E443" s="86">
        <v>12750</v>
      </c>
      <c r="F443" s="11"/>
    </row>
    <row r="444" spans="1:6" ht="3" customHeight="1" hidden="1">
      <c r="A444" s="30" t="s">
        <v>459</v>
      </c>
      <c r="B444" s="22" t="s">
        <v>451</v>
      </c>
      <c r="C444" s="24"/>
      <c r="D444" s="86"/>
      <c r="E444" s="86"/>
      <c r="F444" s="11"/>
    </row>
    <row r="445" spans="1:6" ht="26.25" hidden="1">
      <c r="A445" s="28" t="s">
        <v>39</v>
      </c>
      <c r="B445" s="22" t="s">
        <v>451</v>
      </c>
      <c r="C445" s="29" t="s">
        <v>92</v>
      </c>
      <c r="D445" s="86"/>
      <c r="E445" s="86"/>
      <c r="F445" s="11"/>
    </row>
    <row r="446" spans="1:5" ht="25.5">
      <c r="A446" s="30" t="s">
        <v>130</v>
      </c>
      <c r="B446" s="22" t="s">
        <v>380</v>
      </c>
      <c r="C446" s="24"/>
      <c r="D446" s="86">
        <f>D447+D448+D449</f>
        <v>9512015.56</v>
      </c>
      <c r="E446" s="86">
        <f>E447+E448+E449</f>
        <v>9199654.29</v>
      </c>
    </row>
    <row r="447" spans="1:5" ht="39">
      <c r="A447" s="28" t="s">
        <v>84</v>
      </c>
      <c r="B447" s="22" t="s">
        <v>380</v>
      </c>
      <c r="C447" s="29" t="s">
        <v>85</v>
      </c>
      <c r="D447" s="26">
        <f>3760400+1135600+6300+287700+202100+434900</f>
        <v>5827000</v>
      </c>
      <c r="E447" s="26">
        <v>5820319.399999999</v>
      </c>
    </row>
    <row r="448" spans="1:5" ht="26.25">
      <c r="A448" s="28" t="s">
        <v>39</v>
      </c>
      <c r="B448" s="22" t="s">
        <v>380</v>
      </c>
      <c r="C448" s="29" t="s">
        <v>92</v>
      </c>
      <c r="D448" s="26">
        <f>996500+225400+1141300+92000+100000+760000+44485+52900-3138.44-18000+235000</f>
        <v>3626446.56</v>
      </c>
      <c r="E448" s="26">
        <v>3328963.3900000006</v>
      </c>
    </row>
    <row r="449" spans="1:5" ht="15">
      <c r="A449" s="30" t="s">
        <v>93</v>
      </c>
      <c r="B449" s="22" t="s">
        <v>380</v>
      </c>
      <c r="C449" s="29" t="s">
        <v>94</v>
      </c>
      <c r="D449" s="26">
        <f>20775+6828+30966</f>
        <v>58569</v>
      </c>
      <c r="E449" s="26">
        <v>50371.5</v>
      </c>
    </row>
    <row r="450" spans="1:5" ht="15">
      <c r="A450" s="135" t="s">
        <v>131</v>
      </c>
      <c r="B450" s="22" t="s">
        <v>381</v>
      </c>
      <c r="C450" s="29"/>
      <c r="D450" s="86">
        <f>D451</f>
        <v>200000</v>
      </c>
      <c r="E450" s="86">
        <f>E451</f>
        <v>200000</v>
      </c>
    </row>
    <row r="451" spans="1:5" ht="25.5" customHeight="1">
      <c r="A451" s="28" t="s">
        <v>39</v>
      </c>
      <c r="B451" s="22" t="s">
        <v>381</v>
      </c>
      <c r="C451" s="29" t="s">
        <v>92</v>
      </c>
      <c r="D451" s="86">
        <f>100000+100000</f>
        <v>200000</v>
      </c>
      <c r="E451" s="86">
        <f>100000+100000</f>
        <v>200000</v>
      </c>
    </row>
    <row r="452" spans="1:5" ht="26.25">
      <c r="A452" s="28" t="s">
        <v>382</v>
      </c>
      <c r="B452" s="22" t="s">
        <v>383</v>
      </c>
      <c r="C452" s="29"/>
      <c r="D452" s="86">
        <f>D453</f>
        <v>175320</v>
      </c>
      <c r="E452" s="86">
        <f>E453</f>
        <v>175320</v>
      </c>
    </row>
    <row r="453" spans="1:5" ht="15">
      <c r="A453" s="28" t="s">
        <v>132</v>
      </c>
      <c r="B453" s="22" t="s">
        <v>383</v>
      </c>
      <c r="C453" s="29" t="s">
        <v>133</v>
      </c>
      <c r="D453" s="26">
        <f>175320</f>
        <v>175320</v>
      </c>
      <c r="E453" s="26">
        <f>175320</f>
        <v>175320</v>
      </c>
    </row>
    <row r="454" spans="1:5" s="47" customFormat="1" ht="15.75">
      <c r="A454" s="174" t="s">
        <v>114</v>
      </c>
      <c r="B454" s="175" t="s">
        <v>617</v>
      </c>
      <c r="C454" s="176"/>
      <c r="D454" s="177">
        <f>D455</f>
        <v>890000</v>
      </c>
      <c r="E454" s="177">
        <f>E455</f>
        <v>890000</v>
      </c>
    </row>
    <row r="455" spans="1:5" ht="15.75">
      <c r="A455" s="21" t="s">
        <v>115</v>
      </c>
      <c r="B455" s="22" t="s">
        <v>618</v>
      </c>
      <c r="C455" s="24"/>
      <c r="D455" s="84">
        <f>D456</f>
        <v>890000</v>
      </c>
      <c r="E455" s="84">
        <f>E456</f>
        <v>890000</v>
      </c>
    </row>
    <row r="456" spans="1:5" ht="15.75">
      <c r="A456" s="28" t="s">
        <v>91</v>
      </c>
      <c r="B456" s="22" t="s">
        <v>618</v>
      </c>
      <c r="C456" s="24" t="s">
        <v>94</v>
      </c>
      <c r="D456" s="84">
        <f>890000</f>
        <v>890000</v>
      </c>
      <c r="E456" s="84">
        <f>890000</f>
        <v>890000</v>
      </c>
    </row>
    <row r="457" spans="1:5" ht="15">
      <c r="A457" s="28" t="s">
        <v>118</v>
      </c>
      <c r="B457" s="23" t="s">
        <v>373</v>
      </c>
      <c r="C457" s="34" t="s">
        <v>119</v>
      </c>
      <c r="D457" s="86">
        <f aca="true" t="shared" si="10" ref="D457:E459">D458</f>
        <v>0</v>
      </c>
      <c r="E457" s="86">
        <f t="shared" si="10"/>
        <v>0</v>
      </c>
    </row>
    <row r="458" spans="1:5" s="47" customFormat="1" ht="15">
      <c r="A458" s="55" t="s">
        <v>116</v>
      </c>
      <c r="B458" s="56" t="s">
        <v>374</v>
      </c>
      <c r="C458" s="76" t="s">
        <v>119</v>
      </c>
      <c r="D458" s="87">
        <f t="shared" si="10"/>
        <v>0</v>
      </c>
      <c r="E458" s="87">
        <f t="shared" si="10"/>
        <v>0</v>
      </c>
    </row>
    <row r="459" spans="1:5" ht="15">
      <c r="A459" s="27" t="s">
        <v>120</v>
      </c>
      <c r="B459" s="23" t="s">
        <v>375</v>
      </c>
      <c r="C459" s="34" t="s">
        <v>119</v>
      </c>
      <c r="D459" s="86">
        <f t="shared" si="10"/>
        <v>0</v>
      </c>
      <c r="E459" s="86">
        <f t="shared" si="10"/>
        <v>0</v>
      </c>
    </row>
    <row r="460" spans="1:5" ht="15">
      <c r="A460" s="28" t="s">
        <v>93</v>
      </c>
      <c r="B460" s="23" t="s">
        <v>375</v>
      </c>
      <c r="C460" s="34" t="s">
        <v>94</v>
      </c>
      <c r="D460" s="86">
        <f>50000-50000</f>
        <v>0</v>
      </c>
      <c r="E460" s="86">
        <f>50000-50000</f>
        <v>0</v>
      </c>
    </row>
    <row r="461" spans="1:5" ht="15">
      <c r="A461" s="21" t="s">
        <v>251</v>
      </c>
      <c r="B461" s="23" t="s">
        <v>636</v>
      </c>
      <c r="C461" s="183"/>
      <c r="D461" s="170">
        <f aca="true" t="shared" si="11" ref="D461:E463">D462</f>
        <v>100000</v>
      </c>
      <c r="E461" s="170">
        <f t="shared" si="11"/>
        <v>100000</v>
      </c>
    </row>
    <row r="462" spans="1:5" ht="25.5">
      <c r="A462" s="166" t="s">
        <v>639</v>
      </c>
      <c r="B462" s="56" t="s">
        <v>637</v>
      </c>
      <c r="C462" s="183"/>
      <c r="D462" s="170">
        <f t="shared" si="11"/>
        <v>100000</v>
      </c>
      <c r="E462" s="170">
        <f t="shared" si="11"/>
        <v>100000</v>
      </c>
    </row>
    <row r="463" spans="1:5" ht="15">
      <c r="A463" s="166" t="s">
        <v>641</v>
      </c>
      <c r="B463" s="23" t="s">
        <v>640</v>
      </c>
      <c r="C463" s="183"/>
      <c r="D463" s="170">
        <f t="shared" si="11"/>
        <v>100000</v>
      </c>
      <c r="E463" s="170">
        <f t="shared" si="11"/>
        <v>100000</v>
      </c>
    </row>
    <row r="464" spans="1:5" ht="26.25">
      <c r="A464" s="28" t="s">
        <v>39</v>
      </c>
      <c r="B464" s="23" t="s">
        <v>642</v>
      </c>
      <c r="C464" s="183">
        <v>200</v>
      </c>
      <c r="D464" s="170">
        <f>100000</f>
        <v>100000</v>
      </c>
      <c r="E464" s="170">
        <f>100000</f>
        <v>100000</v>
      </c>
    </row>
    <row r="465" spans="1:5" ht="15.75">
      <c r="A465" s="161" t="s">
        <v>134</v>
      </c>
      <c r="B465" s="162" t="s">
        <v>384</v>
      </c>
      <c r="C465" s="163"/>
      <c r="D465" s="88">
        <f aca="true" t="shared" si="12" ref="D465:E467">D466</f>
        <v>30000</v>
      </c>
      <c r="E465" s="88">
        <f t="shared" si="12"/>
        <v>30000</v>
      </c>
    </row>
    <row r="466" spans="1:5" s="47" customFormat="1" ht="15.75">
      <c r="A466" s="55" t="s">
        <v>116</v>
      </c>
      <c r="B466" s="74" t="s">
        <v>385</v>
      </c>
      <c r="C466" s="57"/>
      <c r="D466" s="83">
        <f t="shared" si="12"/>
        <v>30000</v>
      </c>
      <c r="E466" s="83">
        <f t="shared" si="12"/>
        <v>30000</v>
      </c>
    </row>
    <row r="467" spans="1:5" ht="15.75">
      <c r="A467" s="28" t="s">
        <v>135</v>
      </c>
      <c r="B467" s="32" t="s">
        <v>386</v>
      </c>
      <c r="C467" s="29"/>
      <c r="D467" s="84">
        <f t="shared" si="12"/>
        <v>30000</v>
      </c>
      <c r="E467" s="84">
        <f t="shared" si="12"/>
        <v>30000</v>
      </c>
    </row>
    <row r="468" spans="1:5" ht="16.5" thickBot="1">
      <c r="A468" s="178" t="s">
        <v>136</v>
      </c>
      <c r="B468" s="179" t="s">
        <v>386</v>
      </c>
      <c r="C468" s="180" t="s">
        <v>137</v>
      </c>
      <c r="D468" s="181">
        <f>20000+10000</f>
        <v>30000</v>
      </c>
      <c r="E468" s="181">
        <f>20000+10000</f>
        <v>30000</v>
      </c>
    </row>
    <row r="469" spans="1:3" ht="15.75">
      <c r="A469" s="3"/>
      <c r="B469" s="77"/>
      <c r="C469" s="5"/>
    </row>
    <row r="470" spans="1:3" ht="15.75">
      <c r="A470" s="3"/>
      <c r="B470" s="77"/>
      <c r="C470" s="5"/>
    </row>
    <row r="471" spans="1:3" ht="15.75">
      <c r="A471" s="3"/>
      <c r="B471" s="77"/>
      <c r="C471" s="5"/>
    </row>
    <row r="472" spans="1:3" ht="15.75">
      <c r="A472" s="3"/>
      <c r="B472" s="77"/>
      <c r="C472" s="5"/>
    </row>
  </sheetData>
  <sheetProtection/>
  <mergeCells count="12">
    <mergeCell ref="B1:E1"/>
    <mergeCell ref="B5:E5"/>
    <mergeCell ref="B3:E3"/>
    <mergeCell ref="B2:E2"/>
    <mergeCell ref="F8:K8"/>
    <mergeCell ref="B4:E4"/>
    <mergeCell ref="A10:A11"/>
    <mergeCell ref="B10:B11"/>
    <mergeCell ref="C10:C11"/>
    <mergeCell ref="D10:D11"/>
    <mergeCell ref="E10:E11"/>
    <mergeCell ref="A8:E8"/>
  </mergeCells>
  <hyperlinks>
    <hyperlink ref="A210" r:id="rId1" display="consultantplus://offline/ref=C6EF3AE28B6C46D1117CBBA251A07B11C6C7C5768D67668B05322DA1BBA42282C9440EEF08E6CC43410E37U6VAM"/>
    <hyperlink ref="A199" r:id="rId2" display="consultantplus://offline/ref=C6EF3AE28B6C46D1117CBBA251A07B11C6C7C5768D606C8B0E322DA1BBA42282C9440EEF08E6CC43400230U6VFM"/>
  </hyperlinks>
  <printOptions/>
  <pageMargins left="0.984251968503937" right="0" top="0.5905511811023623" bottom="0.3937007874015748" header="0.31496062992125984" footer="0.31496062992125984"/>
  <pageSetup horizontalDpi="600" verticalDpi="600" orientation="portrait" paperSize="9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Финансы</cp:lastModifiedBy>
  <cp:lastPrinted>2019-04-09T05:57:30Z</cp:lastPrinted>
  <dcterms:created xsi:type="dcterms:W3CDTF">2015-11-10T07:02:37Z</dcterms:created>
  <dcterms:modified xsi:type="dcterms:W3CDTF">2019-05-28T13:06:10Z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