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7380" activeTab="8"/>
  </bookViews>
  <sheets>
    <sheet name="№1" sheetId="1" r:id="rId1"/>
    <sheet name="№2" sheetId="2" r:id="rId2"/>
    <sheet name="№5 " sheetId="3" r:id="rId3"/>
    <sheet name="№6" sheetId="4" r:id="rId4"/>
    <sheet name="№7" sheetId="5" r:id="rId5"/>
    <sheet name="№8" sheetId="6" r:id="rId6"/>
    <sheet name="№9" sheetId="7" r:id="rId7"/>
    <sheet name="№10" sheetId="8" r:id="rId8"/>
    <sheet name="№11" sheetId="9" r:id="rId9"/>
    <sheet name="№ 12" sheetId="10" r:id="rId10"/>
  </sheets>
  <definedNames>
    <definedName name="_xlnm.Print_Area" localSheetId="9">'№ 12'!$A$1:$E$478</definedName>
    <definedName name="_xlnm.Print_Area" localSheetId="0">'№1'!$A$1:$C$50</definedName>
    <definedName name="_xlnm.Print_Area" localSheetId="7">'№10'!$A$1:$L$610</definedName>
    <definedName name="_xlnm.Print_Area" localSheetId="8">'№11'!$A$1:$D$479</definedName>
    <definedName name="_xlnm.Print_Area" localSheetId="1">'№2'!$A$1:$E$50</definedName>
    <definedName name="_xlnm.Print_Area" localSheetId="4">'№7'!$A$1:$F$551</definedName>
    <definedName name="_xlnm.Print_Area" localSheetId="5">'№8'!$A$1:$G$564</definedName>
    <definedName name="_xlnm.Print_Area" localSheetId="6">'№9'!$A$1:$I$644</definedName>
  </definedNames>
  <calcPr fullCalcOnLoad="1"/>
</workbook>
</file>

<file path=xl/sharedStrings.xml><?xml version="1.0" encoding="utf-8"?>
<sst xmlns="http://schemas.openxmlformats.org/spreadsheetml/2006/main" count="14045" uniqueCount="1327">
  <si>
    <t>( в редакции решения Представительного</t>
  </si>
  <si>
    <t>собрания Глушковского района  Курской области</t>
  </si>
  <si>
    <t>Код бюджетной классификации Российской Федерации</t>
  </si>
  <si>
    <t>1 08 07150 01 0000 110</t>
  </si>
  <si>
    <t>Государственная пошлина за выдачу разрешения на установку рекламной конструкции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</si>
  <si>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</si>
  <si>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</si>
  <si>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</si>
  <si>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</si>
  <si>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</si>
  <si>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</si>
  <si>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</si>
  <si>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</si>
  <si>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1 11 09045 05 0000 120</t>
  </si>
  <si>
    <t>Прочие доходы от оказания платных услуг (работ) получателями средств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</si>
  <si>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</si>
  <si>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</si>
  <si>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</si>
  <si>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</si>
  <si>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</si>
  <si>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</si>
  <si>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1 14 06025 05 0000 430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</si>
  <si>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</si>
  <si>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</si>
  <si>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</si>
  <si>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</si>
  <si>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</si>
  <si>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</si>
  <si>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</si>
  <si>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</si>
  <si>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</si>
  <si>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</si>
  <si>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</si>
  <si>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</si>
  <si>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</si>
  <si>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</si>
  <si>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</si>
  <si>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</si>
  <si>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</si>
  <si>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</si>
  <si>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</si>
  <si>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</si>
  <si>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</si>
  <si>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</si>
  <si>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</si>
  <si>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 xml:space="preserve">"О бюджете муниципального района "Глушковский район"  </t>
  </si>
  <si>
    <t>Поступление доходов  в  бюджет</t>
  </si>
  <si>
    <t xml:space="preserve">муниципального района "Глушковский район" Курской области </t>
  </si>
  <si>
    <t xml:space="preserve">  рублей</t>
  </si>
  <si>
    <t>Наименование доходов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</si>
  <si>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</si>
  <si>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</si>
  <si>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</si>
  <si>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</si>
  <si>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</si>
  <si>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</si>
  <si>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</si>
  <si>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</si>
  <si>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</si>
  <si>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</si>
  <si>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</si>
  <si>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</si>
  <si>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</si>
  <si>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</si>
  <si>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</si>
  <si>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</si>
  <si>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</si>
  <si>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</si>
  <si>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</si>
  <si>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</si>
  <si>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</si>
  <si>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</si>
  <si>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</si>
  <si>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</si>
  <si>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</si>
  <si>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</si>
  <si>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</si>
  <si>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</si>
  <si>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</si>
  <si>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</si>
  <si>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</si>
  <si>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105 02000 02 0000 110</t>
  </si>
  <si>
    <t>Единый налог на вмененный доход для отдельных видов деятельности</t>
  </si>
  <si>
    <t>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</si>
  <si>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</si>
  <si>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</si>
  <si>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</si>
  <si>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</si>
  <si>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</si>
  <si>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</si>
  <si>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</si>
  <si>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</si>
  <si>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</si>
  <si>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</si>
  <si>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</si>
  <si>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</si>
  <si>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</si>
  <si>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</si>
  <si>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</si>
  <si>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</si>
  <si>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</si>
  <si>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</si>
  <si>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</si>
  <si>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</si>
  <si>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</si>
  <si>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</si>
  <si>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</si>
  <si>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</si>
  <si>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</si>
  <si>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</si>
  <si>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</si>
  <si>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</si>
  <si>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</si>
  <si>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</si>
  <si>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</si>
  <si>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</si>
  <si>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</si>
  <si>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</si>
  <si>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</si>
  <si>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</si>
  <si>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</si>
  <si>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</si>
  <si>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</si>
  <si>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</si>
  <si>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</si>
  <si>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</si>
  <si>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</si>
  <si>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</si>
  <si>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</si>
  <si>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1 11 07000 00 0000 120</t>
  </si>
  <si>
    <t>Платежи от государственных и муниципальных унитарных предприятий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</si>
  <si>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</si>
  <si>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</si>
  <si>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</si>
  <si>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</si>
  <si>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</si>
  <si>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</si>
  <si>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</si>
  <si>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</si>
  <si>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</si>
  <si>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</si>
  <si>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</si>
  <si>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</si>
  <si>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</si>
  <si>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</si>
  <si>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</si>
  <si>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112 01030 01 0000 120</t>
  </si>
  <si>
    <t>Плата за сбросы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</si>
  <si>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</si>
  <si>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</si>
  <si>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113 00000 00 0000 000</t>
  </si>
  <si>
    <t>113 01000 00 0000 130</t>
  </si>
  <si>
    <t>113 01995 05 0000 130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</si>
  <si>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</si>
  <si>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</si>
  <si>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</si>
  <si>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</si>
  <si>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</si>
  <si>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</si>
  <si>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</si>
  <si>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</si>
  <si>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</si>
  <si>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</si>
  <si>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</si>
  <si>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</si>
  <si>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</si>
  <si>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</si>
  <si>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</si>
  <si>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</si>
  <si>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</si>
  <si>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</si>
  <si>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</si>
  <si>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</si>
  <si>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</si>
  <si>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</si>
  <si>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</si>
  <si>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</si>
  <si>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</si>
  <si>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</si>
  <si>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</si>
  <si>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</si>
  <si>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</si>
  <si>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</si>
  <si>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</si>
  <si>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</si>
  <si>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</si>
  <si>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</si>
  <si>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</si>
  <si>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</si>
  <si>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</si>
  <si>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</si>
  <si>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</si>
  <si>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</si>
  <si>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</si>
  <si>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</si>
  <si>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</si>
  <si>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</si>
  <si>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</si>
  <si>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</si>
  <si>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</si>
  <si>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</si>
  <si>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</si>
  <si>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</si>
  <si>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</si>
  <si>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</si>
  <si>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</si>
  <si>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</si>
  <si>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</si>
  <si>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</si>
  <si>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</si>
  <si>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</si>
  <si>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</si>
  <si>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</si>
  <si>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</si>
  <si>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</si>
  <si>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</si>
  <si>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</si>
  <si>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</si>
  <si>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</si>
  <si>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</si>
  <si>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</si>
  <si>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</si>
  <si>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</si>
  <si>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</si>
  <si>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</si>
  <si>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</si>
  <si>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</si>
  <si>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</si>
  <si>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</si>
  <si>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</si>
  <si>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</si>
  <si>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</si>
  <si>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</si>
  <si>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</si>
  <si>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</si>
  <si>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</si>
  <si>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</si>
  <si>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</si>
  <si>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</si>
  <si>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</si>
  <si>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</si>
  <si>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</si>
  <si>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</si>
  <si>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</si>
  <si>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</si>
  <si>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</si>
  <si>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</si>
  <si>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</si>
  <si>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</si>
  <si>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</si>
  <si>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</si>
  <si>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</si>
  <si>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</si>
  <si>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</si>
  <si>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</si>
  <si>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</si>
  <si>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</si>
  <si>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1 17 00000 00 0000 000</t>
  </si>
  <si>
    <t>ПРОЧИЕ НЕНАЛОГОВЫЕ ДОХОДЫ</t>
  </si>
  <si>
    <t>1 17 05000 00 0000 180</t>
  </si>
  <si>
    <t>Прочие неналоговые доходы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</si>
  <si>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</si>
  <si>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</si>
  <si>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</si>
  <si>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</si>
  <si>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</si>
  <si>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</si>
  <si>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</si>
  <si>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</si>
  <si>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</si>
  <si>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</si>
  <si>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</si>
  <si>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</t>
  </si>
  <si>
    <t>202 29999 05 0000 151</t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</si>
  <si>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</si>
  <si>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</si>
  <si>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</si>
  <si>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</si>
  <si>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</si>
  <si>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</si>
  <si>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</si>
  <si>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</si>
  <si>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</si>
  <si>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</si>
  <si>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</si>
  <si>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</si>
  <si>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</si>
  <si>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</si>
  <si>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</si>
  <si>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</si>
  <si>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</si>
  <si>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Прочие субвенции</t>
  </si>
  <si>
    <t>202 39999 05 0000 151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</si>
  <si>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</si>
  <si>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</si>
  <si>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</si>
  <si>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</si>
  <si>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</si>
  <si>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</si>
  <si>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</si>
  <si>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</si>
  <si>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</si>
  <si>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</si>
  <si>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</si>
  <si>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</si>
  <si>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</si>
  <si>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</si>
  <si>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</si>
  <si>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</si>
  <si>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</si>
  <si>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Иные межбюджетные трансферты</t>
  </si>
  <si>
    <t>207 00000 00 0000 000</t>
  </si>
  <si>
    <t>ПРОЧИЕ БЕЗВОЗМЕЗДНЫЕ ПОСТУПЛЕНИЯ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</si>
  <si>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</si>
  <si>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</si>
  <si>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ОТ ОКАЗАНИЯ ПЛАТНЫХ УСЛУГ (РАБОТ) И КОМПЕНСАЦИИ ЗАТРАТ ГОСУДАРСТВА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</si>
  <si>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</si>
  <si>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</si>
  <si>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</si>
  <si>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</si>
  <si>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</si>
  <si>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</si>
  <si>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1 05 02020 02 0000 110</t>
  </si>
  <si>
    <t>1 05 03010 01 0000 110</t>
  </si>
  <si>
    <t>1 05 03020 01 0000 110</t>
  </si>
  <si>
    <t>1 16 23050 05 0000 140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</si>
  <si>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</si>
  <si>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</si>
  <si>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</si>
  <si>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</si>
  <si>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</si>
  <si>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</si>
  <si>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</si>
  <si>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</si>
  <si>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</si>
  <si>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112 01042 01 0000 120</t>
  </si>
  <si>
    <t>Плата за размещение твердых коммунальных отходов</t>
  </si>
  <si>
    <t>112 01041 01 0000 120</t>
  </si>
  <si>
    <t>Плата за размещение отходов производства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</si>
  <si>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</si>
  <si>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</si>
  <si>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</si>
  <si>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116 25000 00 0000 140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</si>
  <si>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</si>
  <si>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</si>
  <si>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</si>
  <si>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</si>
  <si>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</si>
  <si>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</si>
  <si>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</si>
  <si>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Доходы от оказания платных услуг (работ) </t>
  </si>
  <si>
    <t>105 01050 01 0000 110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</si>
  <si>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</si>
  <si>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</si>
  <si>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Субвенции местным бюджетам на </t>
    </r>
    <r>
      <rPr>
        <b/>
        <sz val="10"/>
        <rFont val="Times New Roman"/>
        <family val="1"/>
      </rPr>
      <t>содержание работников</t>
    </r>
    <r>
      <rPr>
        <sz val="10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10"/>
        <rFont val="Times New Roman"/>
        <family val="1"/>
      </rPr>
      <t>дошкольного</t>
    </r>
    <r>
      <rPr>
        <sz val="10"/>
        <rFont val="Times New Roman"/>
        <family val="1"/>
      </rPr>
      <t xml:space="preserve"> образования</t>
    </r>
  </si>
  <si>
    <r>
      <t xml:space="preserve">Субвенции местным бюджетам  на </t>
    </r>
    <r>
      <rPr>
        <b/>
        <sz val="10"/>
        <rFont val="Times New Roman"/>
        <family val="1"/>
      </rPr>
      <t>содержание работников,</t>
    </r>
    <r>
      <rPr>
        <sz val="10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10"/>
        <rFont val="Times New Roman"/>
        <family val="1"/>
      </rPr>
      <t>культуры</t>
    </r>
    <r>
      <rPr>
        <sz val="10"/>
        <rFont val="Times New Roman"/>
        <family val="1"/>
      </rPr>
      <t xml:space="preserve">  мер социальной поддержки</t>
    </r>
  </si>
  <si>
    <t>Прочие межбюджетные трансферты, передаваемые бюджетам муниципальных районов</t>
  </si>
  <si>
    <t>2 02 25027 05 0000 150</t>
  </si>
  <si>
    <t>2 02 25097 05 0000 150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</si>
  <si>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</si>
  <si>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</si>
  <si>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Единая субвенция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</si>
  <si>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</si>
  <si>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</si>
  <si>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</si>
  <si>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2 19 00000 05 0000 150</t>
  </si>
  <si>
    <t>2 19 60010 05 0000 150</t>
  </si>
  <si>
    <t xml:space="preserve">  Курской области на 2019год и плановый период 2020 и 2021 годов. "</t>
  </si>
  <si>
    <t>в 2019 году</t>
  </si>
  <si>
    <t>Сумма   на   2019 год</t>
  </si>
  <si>
    <t>202 10000 00 0000 150</t>
  </si>
  <si>
    <t>202 15001 00 0000 150</t>
  </si>
  <si>
    <t>202 15001 05 0000 150</t>
  </si>
  <si>
    <t>202 29999 00 0000 150</t>
  </si>
  <si>
    <t>202 29999 05 0000 150</t>
  </si>
  <si>
    <t>Субсидии местным бюджетам  на реализацию проекта "Народный бюджет" в Курской области"</t>
  </si>
  <si>
    <t>202 30000 00 0000 150</t>
  </si>
  <si>
    <t>202 30013 00 0000 150</t>
  </si>
  <si>
    <t>202 30013 05 0000 150</t>
  </si>
  <si>
    <t>202 30027 00 0000 150</t>
  </si>
  <si>
    <t>202 30027 05 0000 150</t>
  </si>
  <si>
    <t>202 39998 00 0000 150</t>
  </si>
  <si>
    <t>Единая субвенция местным бюджетам</t>
  </si>
  <si>
    <t>202 39998 05 0000 150</t>
  </si>
  <si>
    <t>202 39999 00 0000 150</t>
  </si>
  <si>
    <t>202 39999 05 0000 150</t>
  </si>
  <si>
    <t>207 05000 05 0000 150</t>
  </si>
  <si>
    <t>207 05030 05 0000 150</t>
  </si>
  <si>
    <t>от " _21_ "  декабря  2018г.  № 33</t>
  </si>
  <si>
    <t>202 20000 00 0000 150</t>
  </si>
  <si>
    <t>2 02 20077 05 0000 150</t>
  </si>
  <si>
    <t>2 02 27567 05 0000 150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</si>
  <si>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</si>
  <si>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</si>
  <si>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</si>
  <si>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</si>
  <si>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</si>
  <si>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</si>
  <si>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</si>
  <si>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</si>
  <si>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202 15002 00 0000 150</t>
  </si>
  <si>
    <t>202 15002 05 0000 150</t>
  </si>
  <si>
    <t>2 02 20077 00 0000 150</t>
  </si>
  <si>
    <t>2 02 25027 00 0000 150</t>
  </si>
  <si>
    <t>2 02 25097 00 0000 150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</si>
  <si>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</si>
  <si>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</si>
  <si>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</si>
  <si>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</si>
  <si>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</si>
  <si>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</si>
  <si>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</si>
  <si>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r>
  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</t>
    </r>
    <r>
      <rPr>
        <b/>
        <sz val="10"/>
        <rFont val="Times New Roman"/>
        <family val="1"/>
      </rPr>
      <t xml:space="preserve">культуры </t>
    </r>
  </si>
  <si>
    <r>
      <t xml:space="preserve"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</t>
    </r>
    <r>
      <rPr>
        <b/>
        <sz val="10"/>
        <rFont val="Times New Roman"/>
        <family val="1"/>
      </rPr>
      <t>образования</t>
    </r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</si>
  <si>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</si>
  <si>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</si>
  <si>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</si>
  <si>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</si>
  <si>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</si>
  <si>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207 05020 05 0000 150</t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</si>
  <si>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</si>
  <si>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</si>
  <si>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(п. Новоивановка Кульбакинского сельсовета)</t>
  </si>
  <si>
    <t>202 35120 00 0000 150</t>
  </si>
  <si>
    <t>202 35120 05 0000 150</t>
  </si>
  <si>
    <t>202 40000 00 0000 150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</si>
  <si>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</si>
  <si>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</si>
  <si>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</si>
  <si>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202 45160 05 0000 150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</si>
  <si>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</si>
  <si>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</si>
  <si>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</si>
  <si>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бюджетам  муниципальных районов на поддержку отрасли культуры</t>
  </si>
  <si>
    <t xml:space="preserve">                                  Приложение №  6</t>
  </si>
  <si>
    <t xml:space="preserve">                                         от " _21_ " декабря  2018г. № 33</t>
  </si>
  <si>
    <t>Поступления доходов  в  бюджет</t>
  </si>
  <si>
    <t>в 2020-2021 годах</t>
  </si>
  <si>
    <t>Сумма  на   2020 год</t>
  </si>
  <si>
    <t>Сумма  на   2021 год</t>
  </si>
  <si>
    <t>ВСЕГО</t>
  </si>
  <si>
    <t>НАЛОГОВЫЕ  ДОХОДЫ</t>
  </si>
  <si>
    <t>105 01000 00 0000 110</t>
  </si>
  <si>
    <t>105 01010 01 0000 110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</si>
  <si>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</si>
  <si>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</si>
  <si>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105 01020 01 0000 110</t>
  </si>
  <si>
    <t>105 01021 01 0000 110</t>
  </si>
  <si>
    <t>Минимальный налог, зачисляемый в бюджеты субъектов Российской Федерации</t>
  </si>
  <si>
    <t xml:space="preserve"> НЕНАЛОГОВЫЕ ДОХОДЫ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</si>
  <si>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</si>
  <si>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</t>
  </si>
  <si>
    <t>202 01003 00 0000 151</t>
  </si>
  <si>
    <t>202 01003 05 0000 151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</si>
  <si>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</si>
  <si>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</si>
  <si>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</si>
  <si>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</si>
  <si>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</si>
  <si>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</si>
  <si>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202 02145 00 0000 151</t>
  </si>
  <si>
    <t>Субсидии бюджетам на модернизацию региональных систем общего образования</t>
  </si>
  <si>
    <t>202 02145 05 0000 151</t>
  </si>
  <si>
    <t>Субсидии бюджетам муниципальных районов на модернизацию региональных систем общего образования</t>
  </si>
  <si>
    <t>202 02999 00 0000 151</t>
  </si>
  <si>
    <t>202 02999 05 0000 151</t>
  </si>
  <si>
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культуры </t>
  </si>
  <si>
    <t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образования</t>
  </si>
  <si>
    <t>Субсидии бюджетам муниципальных образований на приобретение оборудования для школьных столовых в рамках комплекса мер по модернизации  общего образования</t>
  </si>
  <si>
    <t>Субсидии бюджетам муниципальных образований на софинансирование расходов   муниципальных образований по разработке документов территориального планирования и градостроительного зонирования</t>
  </si>
  <si>
    <t>Субсидии бюджетам муниципальных образований на проведение капитального ремонта  муниципальных образовательных учреждений</t>
  </si>
  <si>
    <t>Субсидии бюджетам муниципальных образований на дополнительное финансирование мероприятий по организации питания обучающихся в муниципальных образовательных учреждениях</t>
  </si>
  <si>
    <t>Субсидии бюджетам муниципальных районов на софинансирование расходных обязательств местных бюджетов на приобретение автобусов ГАЗ, соответствующих ГОСТ Р 51160-98, для муниципальных общеобразовательных учреждений, расположенных в сельской местности</t>
  </si>
  <si>
    <t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</si>
  <si>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 на выполнение природоохранных мероприятий в рамках реализации в 2015 году подпрограммы "Экология и чистая вода в Курскоц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</si>
  <si>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Субвенции бюджетам субъектов Российской Федерации и муниципальных образований</t>
  </si>
  <si>
    <t>202 03007 00 0000 151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</si>
  <si>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</si>
  <si>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</si>
  <si>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</si>
  <si>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202 39999 00 0000 151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</si>
  <si>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</si>
  <si>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</si>
  <si>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 бюджетам  муниципальных   районов  на организацию проведения мероприятий по отлову и содержанию безнадзорных животных</t>
  </si>
  <si>
    <t>Субвенции местным бюджетам на содержание работников  органов местного самоуправления, осуществляющих предоставление субсидий на возмещение заемщикам процентной ставки по полученным кредитам и займам</t>
  </si>
  <si>
    <t>202  04000  00  0000  151</t>
  </si>
  <si>
    <t>202 04012 05 0000 151</t>
  </si>
  <si>
    <t>202 04999 05 0000 151</t>
  </si>
  <si>
    <r>
      <t xml:space="preserve">Субвенции местным бюджетам на оплату труда работников </t>
    </r>
    <r>
      <rPr>
        <b/>
        <sz val="10"/>
        <rFont val="Times New Roman"/>
        <family val="1"/>
      </rPr>
      <t>общеобразовательных</t>
    </r>
    <r>
      <rPr>
        <sz val="10"/>
        <rFont val="Times New Roman"/>
        <family val="1"/>
      </rPr>
      <t xml:space="preserve">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</si>
  <si>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t>Субвенции  бюджетам  муниципальных   районов  на содержание работников, осуществляющих отдельные государственные полномочия по обращению с животными без владельцев</t>
  </si>
  <si>
    <t>Приложение № 12</t>
  </si>
  <si>
    <t xml:space="preserve">к решению Представительного  собрания </t>
  </si>
  <si>
    <t xml:space="preserve"> Глушковского района Курской области</t>
  </si>
  <si>
    <t xml:space="preserve"> от  21 декабря  2018 г.  № 33</t>
  </si>
  <si>
    <t>"О бюджете муниципального района "Глушковский район" Курской области на 2019 год и плановый период 2020 и 2021 г.г."</t>
  </si>
  <si>
    <t>( в редакции решения Представительного собрания Глушковского района Курской области  от 18 октября   2019 г. № 87 )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</si>
  <si>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Глушковского района Курской области и непрограммным направлениям деятельности), группам видов расходов                                                                                            на  плановый период 2020 и 2021 г.г.</t>
  </si>
  <si>
    <t>руб.</t>
  </si>
  <si>
    <t xml:space="preserve"> Наименование</t>
  </si>
  <si>
    <t>ЦСР</t>
  </si>
  <si>
    <t>ВР</t>
  </si>
  <si>
    <t>Сумма                      на 2020 год</t>
  </si>
  <si>
    <t>Сумма                      на 2021 год</t>
  </si>
  <si>
    <t>2</t>
  </si>
  <si>
    <t>3</t>
  </si>
  <si>
    <t>4</t>
  </si>
  <si>
    <t>ВСЕГО РАСХОДОВ</t>
  </si>
  <si>
    <t>Условно утвержденные расходы</t>
  </si>
  <si>
    <t>Муниципальная программа Глушковского района Курской области "Развитие культуры в Глушковском районе Курской области"</t>
  </si>
  <si>
    <t>01 0 0000000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</si>
  <si>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</si>
  <si>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</si>
  <si>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</si>
  <si>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</si>
  <si>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Гранты на развитие культуры и искусства</t>
  </si>
  <si>
    <t xml:space="preserve"> 01 1 01 11820</t>
  </si>
  <si>
    <t>Закупка товаров, работ и услуг для обеспечения государственных (муниципальных) нужд</t>
  </si>
  <si>
    <t>200</t>
  </si>
  <si>
    <t>Проведение капитального ремонта учреждений культуры районов и поселений</t>
  </si>
  <si>
    <t xml:space="preserve"> 01 1 01 13320</t>
  </si>
  <si>
    <t>Расходы на обеспечение деятельности (оказание услуг) муниципальных учреждений</t>
  </si>
  <si>
    <t xml:space="preserve"> 01 1 01 С1401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</si>
  <si>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</si>
  <si>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</si>
  <si>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</si>
  <si>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</si>
  <si>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Проведение мероприятий в области культуры</t>
  </si>
  <si>
    <t xml:space="preserve"> 01 1 01 С1463</t>
  </si>
  <si>
    <t>Обеспечение проведения капитального ремонта учреждений культуры районов и поселений</t>
  </si>
  <si>
    <t xml:space="preserve"> 01 1 01 S3320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</si>
  <si>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</si>
  <si>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</si>
  <si>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</si>
  <si>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</si>
  <si>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</si>
  <si>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Развитие библиотечного дела</t>
  </si>
  <si>
    <t xml:space="preserve"> 01 2 01 С1442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</si>
  <si>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</si>
  <si>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</si>
  <si>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</si>
  <si>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</si>
  <si>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</si>
  <si>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</si>
  <si>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</si>
  <si>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</si>
  <si>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</si>
  <si>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</si>
  <si>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</si>
  <si>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</si>
  <si>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</si>
  <si>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Социальное обеспечение и иные выплаты населению</t>
  </si>
  <si>
    <t>300</t>
  </si>
  <si>
    <t>Обеспечение условий реализации муниципальной программы</t>
  </si>
  <si>
    <t>01 3 1440</t>
  </si>
  <si>
    <t>Закупка товаров, работ и услуг для государственных (муниципальных) нужд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</si>
  <si>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</si>
  <si>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02 0 00 00000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</si>
  <si>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</si>
  <si>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02 1 00 00000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</si>
  <si>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</si>
  <si>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</si>
  <si>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Ежемесячное пособие на ребенка</t>
  </si>
  <si>
    <t>02 1 01 11130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</si>
  <si>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</si>
  <si>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</si>
  <si>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</si>
  <si>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</si>
  <si>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</si>
  <si>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</si>
  <si>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</si>
  <si>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</si>
  <si>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</si>
  <si>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</si>
  <si>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</si>
  <si>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</si>
  <si>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</si>
  <si>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</si>
  <si>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</si>
  <si>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>02 1 02 С1445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</si>
  <si>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</si>
  <si>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>02 2 00 00000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</si>
  <si>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</si>
  <si>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</si>
  <si>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</si>
  <si>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</si>
  <si>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</si>
  <si>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</si>
  <si>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</si>
  <si>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</si>
  <si>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</si>
  <si>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</si>
  <si>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</si>
  <si>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</si>
  <si>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</si>
  <si>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</si>
  <si>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</si>
  <si>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02 3 00 00000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</si>
  <si>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</si>
  <si>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</si>
  <si>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</si>
  <si>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</si>
  <si>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</si>
  <si>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</si>
  <si>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</si>
  <si>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</si>
  <si>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</si>
  <si>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</si>
  <si>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</si>
  <si>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</si>
  <si>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Выполнение других (прочих) обязательств органа местного самоуправления</t>
  </si>
  <si>
    <t>02 3 02 С1404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</si>
  <si>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</si>
  <si>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</si>
  <si>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</si>
  <si>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</si>
  <si>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</si>
  <si>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</si>
  <si>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Выплата компенсации части родительской платы</t>
  </si>
  <si>
    <t>03 1 01 13000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</si>
  <si>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</si>
  <si>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</si>
  <si>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</si>
  <si>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</si>
  <si>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</si>
  <si>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</si>
  <si>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Проведение капитального ремонта муниципальных образовательных организаций</t>
  </si>
  <si>
    <t>03 1 01 13050</t>
  </si>
  <si>
    <t>Обеспечение проведения капитального ремонта муниципальных образовательных организаций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</si>
  <si>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</si>
  <si>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</si>
  <si>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03 1 01 13590</t>
  </si>
  <si>
    <t>Реализация мероприятий государственной программы Российской Федерации "Доступная среда" на 2011-2020 годы</t>
  </si>
  <si>
    <t>03 1 01 L0270</t>
  </si>
  <si>
    <t>03 1 01 C1401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</si>
  <si>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</si>
  <si>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</si>
  <si>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</si>
  <si>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</si>
  <si>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</si>
  <si>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02 L0970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</si>
  <si>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</si>
  <si>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</si>
  <si>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Приобретение оборудования для школьных столовых</t>
  </si>
  <si>
    <t>03 1 02 13080</t>
  </si>
  <si>
    <t>Обеспечение оборудованием  школьных столовых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</si>
  <si>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</si>
  <si>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</si>
  <si>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</si>
  <si>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03 1 02 13050</t>
  </si>
  <si>
    <t>03 1 02 S3050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</si>
  <si>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</si>
  <si>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S3090</t>
  </si>
  <si>
    <t>Ежемесячное денежное вознаграждение за классное руководство</t>
  </si>
  <si>
    <t>03 1 02 13110</t>
  </si>
  <si>
    <t>03 1 02 C1401</t>
  </si>
  <si>
    <t>Мероприятия в области образования</t>
  </si>
  <si>
    <t>03 1 02 C1447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</si>
  <si>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</si>
  <si>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</si>
  <si>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</si>
  <si>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</si>
  <si>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</si>
  <si>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</si>
  <si>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</si>
  <si>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</si>
  <si>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</si>
  <si>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</si>
  <si>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</si>
  <si>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</si>
  <si>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</si>
  <si>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"Развитие образования в сфере культуры и искусства"</t>
  </si>
  <si>
    <t>03 2 02 00000</t>
  </si>
  <si>
    <t>03 2 02 С1401</t>
  </si>
  <si>
    <t>Основное мероприятие "Социальная поддержка работников организаций дополнительного образования"</t>
  </si>
  <si>
    <t>03 2 05 00000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</si>
  <si>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</si>
  <si>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</si>
  <si>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</si>
  <si>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</si>
  <si>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</si>
  <si>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</si>
  <si>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</si>
  <si>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</si>
  <si>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</si>
  <si>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</si>
  <si>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</si>
  <si>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</si>
  <si>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</si>
  <si>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</si>
  <si>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</si>
  <si>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</si>
  <si>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</si>
  <si>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</si>
  <si>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</si>
  <si>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</si>
  <si>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</si>
  <si>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</si>
  <si>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</si>
  <si>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</si>
  <si>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</si>
  <si>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</si>
  <si>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</si>
  <si>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</si>
  <si>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</si>
  <si>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</si>
  <si>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</si>
  <si>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</si>
  <si>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</si>
  <si>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</si>
  <si>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</si>
  <si>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06 1 01 000000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</si>
  <si>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</si>
  <si>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06 1 01 13421</t>
  </si>
  <si>
    <t>Межбюджетные трансферты</t>
  </si>
  <si>
    <t>500</t>
  </si>
  <si>
    <t>Иные межбюджетные трансферты на осуществление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</si>
  <si>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06 1 01 S3421</t>
  </si>
  <si>
    <t>Проведение текущего ремонта объектов водоснабжения муниципальной собственности</t>
  </si>
  <si>
    <t>06 1 01 13430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</si>
  <si>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</si>
  <si>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</si>
  <si>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</si>
  <si>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07 0 00 00000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</si>
  <si>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</si>
  <si>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</si>
  <si>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</si>
  <si>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</si>
  <si>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</si>
  <si>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</si>
  <si>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</si>
  <si>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</si>
  <si>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</si>
  <si>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</si>
  <si>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</si>
  <si>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</si>
  <si>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</si>
  <si>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</si>
  <si>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07 2 00 00000</t>
  </si>
  <si>
    <t>Основное мероприятие "Поддержка молодых семей в улучшении жилищных условий на территории Глушковского района Курской области"</t>
  </si>
  <si>
    <t>07 2 01 00000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</si>
  <si>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</si>
  <si>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</si>
  <si>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 xml:space="preserve">Иные межбюджетные трансферты на государственную поддержку молодых семей в улучшении жилищных условий </t>
  </si>
  <si>
    <t>07 2 01 R0201</t>
  </si>
  <si>
    <t>07 2 01 L0201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</si>
  <si>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</si>
  <si>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</si>
  <si>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</si>
  <si>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</si>
  <si>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</si>
  <si>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</si>
  <si>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Капитальные вложения в объекты государственной (муниципальной) собственности</t>
  </si>
  <si>
    <t>400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</si>
  <si>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</si>
  <si>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</si>
  <si>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</si>
  <si>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</si>
  <si>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</si>
  <si>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</si>
  <si>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</si>
  <si>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</si>
  <si>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</si>
  <si>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</si>
  <si>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</si>
  <si>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</si>
  <si>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</si>
  <si>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07 2 05 13600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</si>
  <si>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</si>
  <si>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</si>
  <si>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</si>
  <si>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</si>
  <si>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</si>
  <si>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</si>
  <si>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</si>
  <si>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</si>
  <si>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</si>
  <si>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</si>
  <si>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</si>
  <si>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</si>
  <si>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</si>
  <si>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</si>
  <si>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</si>
  <si>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</si>
  <si>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</si>
  <si>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</si>
  <si>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"Мероприятия по поэтапному внедрению Всероссийского физкультурно-спортивного комплекса "Готов к труду и обороне"(ГТО)"</t>
  </si>
  <si>
    <t>08 2 02 00000</t>
  </si>
  <si>
    <t>08 2 02 С1401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</si>
  <si>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</si>
  <si>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</si>
  <si>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</si>
  <si>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</si>
  <si>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</si>
  <si>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</si>
  <si>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</si>
  <si>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</si>
  <si>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Основное мероприятие "Организация малозатратных форм детского отдыха"</t>
  </si>
  <si>
    <t>08 3 02 00000</t>
  </si>
  <si>
    <t>Развитие системы оздоровления и отдыха детей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</si>
  <si>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</si>
  <si>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</si>
  <si>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</si>
  <si>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</si>
  <si>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</si>
  <si>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</si>
  <si>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</si>
  <si>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</si>
  <si>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</si>
  <si>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</si>
  <si>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</si>
  <si>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</si>
  <si>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</si>
  <si>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</si>
  <si>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</si>
  <si>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</si>
  <si>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</si>
  <si>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</si>
  <si>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</si>
  <si>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</si>
  <si>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</si>
  <si>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</si>
  <si>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</si>
  <si>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</si>
  <si>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</si>
  <si>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</si>
  <si>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</si>
  <si>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</si>
  <si>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</si>
  <si>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</si>
  <si>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</si>
  <si>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Мероприятия по реализации проекта "Народный бюджет"</t>
  </si>
  <si>
    <t>11 1 01 S3604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</si>
  <si>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</si>
  <si>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</si>
  <si>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</si>
  <si>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</si>
  <si>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11 1 02 S3604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</si>
  <si>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</si>
  <si>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</si>
  <si>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</si>
  <si>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</si>
  <si>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</si>
  <si>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</si>
  <si>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</si>
  <si>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</si>
  <si>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</si>
  <si>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</si>
  <si>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</si>
  <si>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</si>
  <si>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</si>
  <si>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</si>
  <si>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</si>
  <si>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</si>
  <si>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</si>
  <si>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</si>
  <si>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</si>
  <si>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</si>
  <si>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</si>
  <si>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</si>
  <si>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</si>
  <si>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</si>
  <si>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</si>
  <si>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</si>
  <si>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</si>
  <si>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</si>
  <si>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</si>
  <si>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</si>
  <si>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</si>
  <si>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</si>
  <si>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</si>
  <si>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</si>
  <si>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</si>
  <si>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</si>
  <si>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</si>
  <si>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</si>
  <si>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</si>
  <si>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</si>
  <si>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</si>
  <si>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</si>
  <si>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</si>
  <si>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</si>
  <si>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</si>
  <si>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</si>
  <si>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</si>
  <si>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</si>
  <si>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</si>
  <si>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</si>
  <si>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</si>
  <si>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</si>
  <si>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</si>
  <si>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</si>
  <si>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</si>
  <si>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</si>
  <si>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</si>
  <si>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</si>
  <si>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</si>
  <si>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</si>
  <si>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</si>
  <si>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</si>
  <si>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</si>
  <si>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</si>
  <si>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</si>
  <si>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</si>
  <si>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</si>
  <si>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</si>
  <si>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</si>
  <si>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</si>
  <si>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</si>
  <si>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</si>
  <si>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</si>
  <si>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</si>
  <si>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</si>
  <si>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</si>
  <si>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</si>
  <si>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</si>
  <si>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</si>
  <si>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</si>
  <si>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</si>
  <si>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</si>
  <si>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</si>
  <si>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16 1 00 00000</t>
  </si>
  <si>
    <t>Основное мероприятие "Строительство распределительных сетей газопровода "</t>
  </si>
  <si>
    <t>16 1 03 00000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</si>
  <si>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</si>
  <si>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16 1 03 50181</t>
  </si>
  <si>
    <t xml:space="preserve">Иные межбюджетные трансферты на осуществление полномочий по устойчивому развитию сельских территорий </t>
  </si>
  <si>
    <t>16 1 03 R0181</t>
  </si>
  <si>
    <t>Иные межбюджетные трансферты на реализацию мероприятий, направленных на устойчивое развитие сельских территорий</t>
  </si>
  <si>
    <t>16 1 03 L0181</t>
  </si>
  <si>
    <t>Основное мероприятие "Строительство локальных сетей водоснабжения"</t>
  </si>
  <si>
    <t>16 1 01 00000</t>
  </si>
  <si>
    <t>16 1 04 50181</t>
  </si>
  <si>
    <t>Реализация мероприятий по устойчивому развитию сельских территорий за счет средств областного бюджета</t>
  </si>
  <si>
    <t>16 1 01 R5671</t>
  </si>
  <si>
    <t xml:space="preserve">Обеспечение  устойчивого  развития  сельских территорий </t>
  </si>
  <si>
    <t>16 1 01  L5670</t>
  </si>
  <si>
    <t>16 1 01 П1417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</si>
  <si>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</si>
  <si>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</si>
  <si>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</si>
  <si>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</si>
  <si>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</si>
  <si>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</si>
  <si>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</si>
  <si>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</si>
  <si>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</si>
  <si>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</si>
  <si>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</si>
  <si>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</si>
  <si>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</si>
  <si>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</si>
  <si>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</si>
  <si>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</si>
  <si>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</si>
  <si>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</si>
  <si>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</si>
  <si>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</si>
  <si>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</si>
  <si>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</si>
  <si>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</si>
  <si>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</si>
  <si>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</si>
  <si>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</si>
  <si>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</si>
  <si>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</si>
  <si>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</si>
  <si>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</si>
  <si>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</si>
  <si>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</si>
  <si>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</si>
  <si>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</si>
  <si>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</si>
  <si>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</si>
  <si>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</si>
  <si>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</si>
  <si>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</si>
  <si>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</si>
  <si>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</si>
  <si>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</si>
  <si>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</si>
  <si>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</si>
  <si>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</si>
  <si>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</si>
  <si>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</si>
  <si>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</si>
  <si>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</si>
  <si>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</si>
  <si>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</si>
  <si>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</si>
  <si>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</si>
  <si>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</si>
  <si>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</si>
  <si>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</si>
  <si>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</si>
  <si>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</si>
  <si>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</si>
  <si>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</si>
  <si>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</si>
  <si>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</si>
  <si>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</si>
  <si>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</si>
  <si>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Непрограммные расходы органов местного самоуправления</t>
  </si>
  <si>
    <t>77 2 00 00000</t>
  </si>
  <si>
    <t>Организация мероприятий при   осуществлении деятельности по обращению с животными без владельцев</t>
  </si>
  <si>
    <t>77 2 00 12700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</si>
  <si>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</si>
  <si>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</si>
  <si>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</si>
  <si>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</si>
  <si>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>Проведение Всероссийской сельскохозяйственной переписи в 2016 году</t>
  </si>
  <si>
    <t>77 2 00 53910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</si>
  <si>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</si>
  <si>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</si>
  <si>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77 2 00 С1401</t>
  </si>
  <si>
    <t>Реализация мероприятий по распространению официальной информации</t>
  </si>
  <si>
    <t>77 2 00 С1439</t>
  </si>
  <si>
    <t>77 2 00 С1469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</si>
  <si>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</si>
  <si>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</si>
  <si>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</si>
  <si>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</si>
  <si>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>Резервные фонды органов местного самоуправления</t>
  </si>
  <si>
    <t>78 0 00 00000</t>
  </si>
  <si>
    <t/>
  </si>
  <si>
    <t>Резервные фонды</t>
  </si>
  <si>
    <t>78 1 00 00000</t>
  </si>
  <si>
    <t>Резервный фонд местной администрации</t>
  </si>
  <si>
    <t>78 1 00 С1403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</si>
  <si>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</si>
  <si>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</si>
  <si>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</si>
  <si>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</si>
  <si>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</si>
  <si>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78 1 00 12420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</si>
  <si>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</si>
  <si>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</si>
  <si>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</si>
  <si>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</si>
  <si>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</si>
  <si>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Приложение № 8</t>
  </si>
  <si>
    <t>к решению Представительного  собрания Глушковского района Курской области от  21 декабря  2018 г. № 33</t>
  </si>
  <si>
    <t>( в редакции решения Представительного собрания Глушковского   р-на Курской обл. от 18  октября  2019г.  № 87)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</si>
  <si>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 на  плановый период 2020 и 2021 г.г.</t>
  </si>
  <si>
    <t>РЗ</t>
  </si>
  <si>
    <t>ПР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</si>
  <si>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</si>
  <si>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</si>
  <si>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</si>
  <si>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</si>
  <si>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</si>
  <si>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</si>
  <si>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</si>
  <si>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</si>
  <si>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</si>
  <si>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</si>
  <si>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</si>
  <si>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</si>
  <si>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</si>
  <si>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</si>
  <si>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</si>
  <si>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</si>
  <si>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</si>
  <si>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проведения выборов и референдумов</t>
  </si>
  <si>
    <t>07</t>
  </si>
  <si>
    <t>77 3 00С1441</t>
  </si>
  <si>
    <t>11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</si>
  <si>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</si>
  <si>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</si>
  <si>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</si>
  <si>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</si>
  <si>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</si>
  <si>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</si>
  <si>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</si>
  <si>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</si>
  <si>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</si>
  <si>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</si>
  <si>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</si>
  <si>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</si>
  <si>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</si>
  <si>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</si>
  <si>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</si>
  <si>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</si>
  <si>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</si>
  <si>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</si>
  <si>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</si>
  <si>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</si>
  <si>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</si>
  <si>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</si>
  <si>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</si>
  <si>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</si>
  <si>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</si>
  <si>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</si>
  <si>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</si>
  <si>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</si>
  <si>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  на  2015-2020 г.г.»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</si>
  <si>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 на 2015-2020 г.г»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</si>
  <si>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</si>
  <si>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</si>
  <si>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</si>
  <si>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</si>
  <si>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</si>
  <si>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Образование</t>
  </si>
  <si>
    <t>Дошкольное образование</t>
  </si>
  <si>
    <t>Проведение мероприятий по формированию  сети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</si>
  <si>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 xml:space="preserve">Мероприятия государственной программы Российской Федерации "Доступная среда" на 2011 - 2020 годы
</t>
  </si>
  <si>
    <t>Общее образование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</si>
  <si>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</si>
  <si>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</si>
  <si>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</si>
  <si>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Развитие социальной и инженерной инфраструктуры муниципальных образований Курской области 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</si>
  <si>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 на 2015-2020 годы»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</si>
  <si>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</si>
  <si>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</si>
  <si>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</si>
  <si>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Непрограммные расходы на обеспечение деятельности муниципальных казенных учреждений</t>
  </si>
  <si>
    <t>Культура , кинематография</t>
  </si>
  <si>
    <t>Культура</t>
  </si>
  <si>
    <t>01 0 00 00000</t>
  </si>
  <si>
    <t>О8</t>
  </si>
  <si>
    <t>01 1 01 11820</t>
  </si>
  <si>
    <t>01 1 01 13320</t>
  </si>
  <si>
    <t>01 1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</si>
  <si>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</si>
  <si>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Другие вопросы  в области культуры, кинематографии</t>
  </si>
  <si>
    <t>Здравоохранение</t>
  </si>
  <si>
    <t>Санитарно-эпидемиологическое благополучие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</si>
  <si>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</si>
  <si>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Социальная политика</t>
  </si>
  <si>
    <t>10</t>
  </si>
  <si>
    <t>Пенсионное обеспечение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</si>
  <si>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</si>
  <si>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 xml:space="preserve">10 </t>
  </si>
  <si>
    <t>02 1 03 С1445</t>
  </si>
  <si>
    <t>Социальное обеспечение населения</t>
  </si>
  <si>
    <t>Муниципальная программа Глушковского района Курской области «Социальная поддержка граждан в Глушковском   районе Курской области на 2015-2020 годы».</t>
  </si>
  <si>
    <t xml:space="preserve">Охрана семьи и детства </t>
  </si>
  <si>
    <t>Муниципальная программа  Глушковского района Курской области "Развитие образования в Глушковском районе Курской области"</t>
  </si>
  <si>
    <t>Физическая культура  и спорт</t>
  </si>
  <si>
    <t xml:space="preserve">Физическая культура  </t>
  </si>
  <si>
    <t>08 2 02 С1406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</si>
  <si>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</si>
  <si>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</si>
  <si>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</si>
  <si>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</si>
  <si>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</si>
  <si>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</si>
  <si>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10</t>
  </si>
  <si>
    <t>к решению Представительного  собрания  Глушковского района Курской обл. от 21 декабря   2018г.  № 33  "О бюджете муниципального района "Глушковский район" Курской области на 2019 год и плановый период 2020 и 2021 г.г. "</t>
  </si>
  <si>
    <t>( в редакции решения Представительного собрания Глушковского района Курской обл. от 18  октября  2019г.  № 87 )</t>
  </si>
  <si>
    <t xml:space="preserve"> от 21 декабря   2018г.  № 33</t>
  </si>
  <si>
    <t>ГРБС</t>
  </si>
  <si>
    <t>Бюджет 2020 год</t>
  </si>
  <si>
    <t>КБК 207 113</t>
  </si>
  <si>
    <t>Сумма  на 2020 год</t>
  </si>
  <si>
    <t>Бюджет 2021 год</t>
  </si>
  <si>
    <t>Сумма  на 2021 год</t>
  </si>
  <si>
    <t>6</t>
  </si>
  <si>
    <t>7</t>
  </si>
  <si>
    <t>Администрация Глушковского района    Курской области</t>
  </si>
  <si>
    <t>001</t>
  </si>
  <si>
    <t>Муниципальная программа Глушковского района Курской области «Социальная поддержка граждан в Глушковском районе Курской обл»</t>
  </si>
  <si>
    <t>06 1 00 000000</t>
  </si>
  <si>
    <t xml:space="preserve">Молодежная политика  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</si>
  <si>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</si>
  <si>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</si>
  <si>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</si>
  <si>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</si>
  <si>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</si>
  <si>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02 S3060</t>
  </si>
  <si>
    <t>Муниципальная программа  Глушковского района Курской области «Социальная поддержка граждан в Глушковском   районе Курской области ».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</si>
  <si>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</si>
  <si>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</si>
  <si>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</si>
  <si>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</si>
  <si>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</si>
  <si>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01 2 1307</t>
  </si>
  <si>
    <t>Ведомственная структура расходов бюджета  муниципального района " Глушковский район" Курской области   на  плановый период 2020 и 2021 г.г.</t>
  </si>
  <si>
    <t>Приложение № 9</t>
  </si>
  <si>
    <t xml:space="preserve"> от 21 декабря  2018г.  № 33</t>
  </si>
  <si>
    <t>"О бюджете муниципального района "Глушковский район" Курской области на 2019год и плановый период 2020 и 2021 г.г. "</t>
  </si>
  <si>
    <t>( в редакции решения Представительного собрания Глушковского района Курской области от     18 .10.  2019 г. № 87 )</t>
  </si>
  <si>
    <t>Бюджет 2019 год</t>
  </si>
  <si>
    <t xml:space="preserve">Сумма 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</si>
  <si>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</si>
  <si>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</si>
  <si>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</si>
  <si>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</si>
  <si>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</si>
  <si>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</si>
  <si>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</si>
  <si>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</si>
  <si>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</si>
  <si>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</si>
  <si>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</si>
  <si>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</si>
  <si>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</si>
  <si>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</si>
  <si>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</si>
  <si>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</si>
  <si>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</si>
  <si>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</si>
  <si>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</si>
  <si>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</si>
  <si>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</si>
  <si>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</si>
  <si>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</si>
  <si>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16 1 01  R5671</t>
  </si>
  <si>
    <t>08 3 01 С1458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</si>
  <si>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</si>
  <si>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</si>
  <si>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С1406</t>
  </si>
  <si>
    <t>Региональный проект "Успех каждого ребенка"</t>
  </si>
  <si>
    <t>03 1 Е2 00000</t>
  </si>
  <si>
    <t>03 1 Е2 50970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</si>
  <si>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</si>
  <si>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</si>
  <si>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</si>
  <si>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</si>
  <si>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Государственная поддержка лучших муниципальных учреждений культуры</t>
  </si>
  <si>
    <t>79 1 00 L5195</t>
  </si>
  <si>
    <t>Ведомственная структура расходов бюджета      муниципального района " Глушковский район" Курской  области   на 2019 год</t>
  </si>
  <si>
    <t>Приложение № 7</t>
  </si>
  <si>
    <t xml:space="preserve"> от 21 декабря   2018 г.  № 33</t>
  </si>
  <si>
    <t>( в редакции решения Представительного собрания Глушковского р-на Курской области от 18.10. 2019г.  № 87 )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</si>
  <si>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2019 год</t>
  </si>
  <si>
    <t>Осуществление  мероприятий  по  устойчивому  развитию сельских территорий за счет средств бюджета муниципального района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</si>
  <si>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</si>
  <si>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>08 2 03 С1401</t>
  </si>
  <si>
    <t>Приложение № 11</t>
  </si>
  <si>
    <t xml:space="preserve"> от  21 декабря   2018 г.  № 33</t>
  </si>
  <si>
    <t>( в редакции решения Представительного собрания Глушковского района Курской области  от 18  октября   2019 г. № 87)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</si>
  <si>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2019 год</t>
  </si>
  <si>
    <t>Сумма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</si>
  <si>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</si>
  <si>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</si>
  <si>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Глушковского района Курской области</t>
  </si>
  <si>
    <t>"О бюджете  муниципального района "Глушковский  район" Курской области на 2019 год и плановый период 2020 и 2021 годов " от "21"  декабря 2018 года №33</t>
  </si>
  <si>
    <t>( в редакции решения Представительного  собрания Глушковского района Курской области</t>
  </si>
  <si>
    <t xml:space="preserve">                                    от "26"  сентября  2012г. № ___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</si>
  <si>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</si>
  <si>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</si>
  <si>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Курской области на 2019 год</t>
  </si>
  <si>
    <t>рублей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</si>
  <si>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</si>
  <si>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</si>
  <si>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</si>
  <si>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</si>
  <si>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</si>
  <si>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01 02 00 00 00 0000 000</t>
  </si>
  <si>
    <t xml:space="preserve">Кредиты кредитных  организаций в валюте Российской Федерации </t>
  </si>
  <si>
    <t>01 02 00 00 00 0000 700</t>
  </si>
  <si>
    <t>Получение  кредитов  от кредитных организаций в валюте Российской Федерации</t>
  </si>
  <si>
    <t>01 02 00 00 05 0000 710</t>
  </si>
  <si>
    <t>Получение  кредитов 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</si>
  <si>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</si>
  <si>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 кредитными организациями в валюте Российской Федерации</t>
  </si>
  <si>
    <t>01 02 00 00 05 0000 810</t>
  </si>
  <si>
    <t>Погашение бюджетами муниципальных районов кредитов 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</si>
  <si>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</si>
  <si>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</si>
  <si>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01  03  01  00  00  0000  700</t>
  </si>
  <si>
    <t>Получение бюджетных кредитов от  других бюджетов бюджетной системы Российской  Федерации в валюте Российской Федерации</t>
  </si>
  <si>
    <t>01  03  01  00  05  0000  710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</si>
  <si>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</si>
  <si>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</si>
  <si>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</si>
  <si>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01  03  01  00  05  0000  810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</si>
  <si>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</si>
  <si>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</si>
  <si>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</si>
  <si>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</si>
  <si>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</si>
  <si>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</si>
  <si>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</si>
  <si>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</si>
  <si>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</si>
  <si>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</si>
  <si>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Увеличение прочих остатков денежных средств  бюджетов муниципальных районов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</si>
  <si>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</si>
  <si>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</si>
  <si>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</si>
  <si>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</si>
  <si>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</si>
  <si>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</si>
  <si>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</si>
  <si>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Уменьшение прочих остатков денежных средств  бюджетов муниципальных районов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</si>
  <si>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</si>
  <si>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</si>
  <si>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</si>
  <si>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</si>
  <si>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</si>
  <si>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</si>
  <si>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</si>
  <si>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</si>
  <si>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</si>
  <si>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</si>
  <si>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</si>
  <si>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</si>
  <si>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</si>
  <si>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</si>
  <si>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</si>
  <si>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</si>
  <si>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</si>
  <si>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</si>
  <si>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</si>
  <si>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</si>
  <si>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</si>
  <si>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</si>
  <si>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</si>
  <si>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</si>
  <si>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01  06  05  02  05  2600  540</t>
  </si>
  <si>
    <t>01  06  05  02  05  2603  540</t>
  </si>
  <si>
    <t>01  06  05  02  05  5000  540</t>
  </si>
  <si>
    <t>Бюджетные кредиты, предоставленные для частичного покрытия дефицитов бюджетов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</si>
  <si>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</si>
  <si>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</si>
  <si>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>в редакции Решения от "  18   "  октября   2019г. № 87</t>
  </si>
  <si>
    <t xml:space="preserve">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</si>
  <si>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к решению Представительного  собрания </t>
  </si>
  <si>
    <t xml:space="preserve">                                                                                                                                           Глушковского района Курской области</t>
  </si>
  <si>
    <t>"О бюджете  муниципального района "Глушковский  район" Курской области на 2019 год и плановый период 2020 и 2021 годов " от "21"  декабря 2018 года №_____</t>
  </si>
  <si>
    <t>Курской области на плановый период 2020 и 2021 годов</t>
  </si>
  <si>
    <t>в редакции Решения Представительного Собрания Глушковского района  Курской области от "  18 " октября  2019 года №  87</t>
  </si>
  <si>
    <t>2020 год</t>
  </si>
  <si>
    <t>2021 год</t>
  </si>
  <si>
    <t>от " _18_ "  октября   2019г. № 87)</t>
  </si>
  <si>
    <t>от " _18_ "  октября  2019г. № 87 )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</si>
</sst>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##\ ###\ ###\ ###\ ##0.00"/>
    <numFmt numFmtId="171" formatCode="0.0"/>
    <numFmt numFmtId="172" formatCode="0.00000"/>
    <numFmt numFmtId="173" formatCode="0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i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18" fillId="0" borderId="0">
      <alignment/>
      <protection/>
    </xf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 horizontal="right" vertical="center"/>
    </xf>
    <xf numFmtId="168" fontId="2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33" applyNumberFormat="1" applyFont="1" applyFill="1" applyBorder="1" applyAlignment="1">
      <alignment horizontal="left" vertical="top" wrapText="1" readingOrder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horizontal="right" vertical="center" wrapText="1"/>
    </xf>
    <xf numFmtId="49" fontId="10" fillId="0" borderId="10" xfId="57" applyNumberFormat="1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vertical="top" wrapText="1"/>
      <protection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vertical="top" wrapText="1"/>
      <protection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10" xfId="67" applyNumberFormat="1" applyFont="1" applyBorder="1" applyAlignment="1">
      <alignment horizontal="center" vertical="center"/>
      <protection/>
    </xf>
    <xf numFmtId="0" fontId="2" fillId="0" borderId="10" xfId="67" applyFont="1" applyBorder="1" applyAlignment="1">
      <alignment vertical="top" wrapText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4" fontId="10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wrapText="1"/>
    </xf>
    <xf numFmtId="49" fontId="12" fillId="0" borderId="10" xfId="65" applyNumberFormat="1" applyFont="1" applyBorder="1" applyAlignment="1">
      <alignment horizontal="center" vertical="center"/>
      <protection/>
    </xf>
    <xf numFmtId="4" fontId="10" fillId="0" borderId="10" xfId="0" applyNumberFormat="1" applyFont="1" applyBorder="1" applyAlignment="1">
      <alignment wrapText="1"/>
    </xf>
    <xf numFmtId="0" fontId="10" fillId="0" borderId="10" xfId="66" applyFont="1" applyBorder="1" applyAlignment="1">
      <alignment vertical="top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wrapText="1"/>
    </xf>
    <xf numFmtId="0" fontId="10" fillId="0" borderId="10" xfId="58" applyFont="1" applyBorder="1" applyAlignment="1">
      <alignment vertical="center" wrapText="1"/>
      <protection/>
    </xf>
    <xf numFmtId="49" fontId="2" fillId="0" borderId="10" xfId="65" applyNumberFormat="1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top" wrapText="1"/>
      <protection/>
    </xf>
    <xf numFmtId="0" fontId="73" fillId="0" borderId="12" xfId="0" applyFont="1" applyBorder="1" applyAlignment="1">
      <alignment horizontal="center" vertical="center"/>
    </xf>
    <xf numFmtId="49" fontId="2" fillId="0" borderId="10" xfId="66" applyNumberFormat="1" applyFont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right"/>
    </xf>
    <xf numFmtId="0" fontId="2" fillId="0" borderId="10" xfId="65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top" wrapText="1"/>
    </xf>
    <xf numFmtId="49" fontId="2" fillId="33" borderId="10" xfId="65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66" applyFont="1" applyFill="1" applyBorder="1" applyAlignment="1">
      <alignment vertical="top" wrapText="1"/>
      <protection/>
    </xf>
    <xf numFmtId="49" fontId="2" fillId="0" borderId="10" xfId="63" applyNumberFormat="1" applyFont="1" applyBorder="1" applyAlignment="1">
      <alignment horizontal="center" vertical="center"/>
      <protection/>
    </xf>
    <xf numFmtId="0" fontId="2" fillId="0" borderId="10" xfId="56" applyFont="1" applyBorder="1" applyAlignment="1">
      <alignment vertical="top" wrapText="1"/>
      <protection/>
    </xf>
    <xf numFmtId="0" fontId="2" fillId="0" borderId="10" xfId="63" applyFont="1" applyBorder="1" applyAlignment="1">
      <alignment vertical="top" wrapText="1"/>
      <protection/>
    </xf>
    <xf numFmtId="0" fontId="2" fillId="0" borderId="10" xfId="68" applyFont="1" applyBorder="1" applyAlignment="1">
      <alignment vertical="top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14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vertical="center" wrapText="1"/>
    </xf>
    <xf numFmtId="0" fontId="2" fillId="0" borderId="10" xfId="65" applyFont="1" applyBorder="1" applyAlignment="1">
      <alignment horizontal="left" wrapText="1"/>
      <protection/>
    </xf>
    <xf numFmtId="4" fontId="2" fillId="35" borderId="10" xfId="0" applyNumberFormat="1" applyFont="1" applyFill="1" applyBorder="1" applyAlignment="1">
      <alignment wrapText="1"/>
    </xf>
    <xf numFmtId="0" fontId="2" fillId="0" borderId="10" xfId="66" applyFont="1" applyFill="1" applyBorder="1" applyAlignment="1">
      <alignment horizontal="left" vertical="top" wrapText="1"/>
      <protection/>
    </xf>
    <xf numFmtId="0" fontId="74" fillId="0" borderId="13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horizontal="right" vertical="center"/>
    </xf>
    <xf numFmtId="0" fontId="76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35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" fontId="77" fillId="0" borderId="10" xfId="0" applyNumberFormat="1" applyFont="1" applyFill="1" applyBorder="1" applyAlignment="1">
      <alignment vertical="center" wrapText="1"/>
    </xf>
    <xf numFmtId="0" fontId="64" fillId="0" borderId="0" xfId="0" applyFont="1" applyAlignment="1">
      <alignment/>
    </xf>
    <xf numFmtId="49" fontId="12" fillId="0" borderId="10" xfId="60" applyNumberFormat="1" applyFont="1" applyBorder="1" applyAlignment="1">
      <alignment horizontal="center"/>
      <protection/>
    </xf>
    <xf numFmtId="0" fontId="2" fillId="0" borderId="10" xfId="0" applyFont="1" applyBorder="1" applyAlignment="1">
      <alignment wrapText="1"/>
    </xf>
    <xf numFmtId="0" fontId="10" fillId="0" borderId="10" xfId="67" applyFont="1" applyBorder="1" applyAlignment="1">
      <alignment wrapText="1"/>
      <protection/>
    </xf>
    <xf numFmtId="4" fontId="10" fillId="35" borderId="10" xfId="0" applyNumberFormat="1" applyFont="1" applyFill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78" fillId="0" borderId="10" xfId="33" applyNumberFormat="1" applyFont="1" applyFill="1" applyBorder="1" applyAlignment="1">
      <alignment horizontal="center" wrapText="1" readingOrder="1"/>
      <protection/>
    </xf>
    <xf numFmtId="0" fontId="77" fillId="0" borderId="10" xfId="33" applyNumberFormat="1" applyFont="1" applyFill="1" applyBorder="1" applyAlignment="1">
      <alignment horizontal="left" wrapText="1" readingOrder="1"/>
      <protection/>
    </xf>
    <xf numFmtId="0" fontId="79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0" fontId="73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center"/>
    </xf>
    <xf numFmtId="0" fontId="74" fillId="0" borderId="10" xfId="33" applyNumberFormat="1" applyFont="1" applyFill="1" applyBorder="1" applyAlignment="1">
      <alignment horizontal="left" wrapText="1" readingOrder="1"/>
      <protection/>
    </xf>
    <xf numFmtId="0" fontId="78" fillId="0" borderId="10" xfId="33" applyNumberFormat="1" applyFont="1" applyFill="1" applyBorder="1" applyAlignment="1">
      <alignment horizontal="center" vertical="center" wrapText="1" readingOrder="1"/>
      <protection/>
    </xf>
    <xf numFmtId="0" fontId="80" fillId="0" borderId="10" xfId="33" applyNumberFormat="1" applyFont="1" applyFill="1" applyBorder="1" applyAlignment="1">
      <alignment horizontal="left" vertical="top" wrapText="1" readingOrder="1"/>
      <protection/>
    </xf>
    <xf numFmtId="0" fontId="81" fillId="0" borderId="10" xfId="33" applyNumberFormat="1" applyFont="1" applyFill="1" applyBorder="1" applyAlignment="1">
      <alignment horizontal="center" wrapText="1" readingOrder="1"/>
      <protection/>
    </xf>
    <xf numFmtId="0" fontId="81" fillId="0" borderId="10" xfId="33" applyNumberFormat="1" applyFont="1" applyFill="1" applyBorder="1" applyAlignment="1">
      <alignment horizontal="left" wrapText="1" readingOrder="1"/>
      <protection/>
    </xf>
    <xf numFmtId="0" fontId="76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/>
    </xf>
    <xf numFmtId="0" fontId="76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75" fillId="0" borderId="10" xfId="33" applyNumberFormat="1" applyFont="1" applyFill="1" applyBorder="1" applyAlignment="1">
      <alignment horizontal="left" readingOrder="1"/>
      <protection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center"/>
    </xf>
    <xf numFmtId="49" fontId="12" fillId="0" borderId="10" xfId="67" applyNumberFormat="1" applyFont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73" fillId="0" borderId="10" xfId="0" applyFont="1" applyBorder="1" applyAlignment="1">
      <alignment vertical="center"/>
    </xf>
    <xf numFmtId="0" fontId="82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49" fontId="12" fillId="0" borderId="10" xfId="66" applyNumberFormat="1" applyFont="1" applyBorder="1" applyAlignment="1">
      <alignment horizontal="center"/>
      <protection/>
    </xf>
    <xf numFmtId="4" fontId="2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wrapText="1"/>
    </xf>
    <xf numFmtId="4" fontId="2" fillId="35" borderId="10" xfId="0" applyNumberFormat="1" applyFont="1" applyFill="1" applyBorder="1" applyAlignment="1">
      <alignment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vertical="top" wrapText="1"/>
    </xf>
    <xf numFmtId="4" fontId="12" fillId="0" borderId="16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77" fillId="0" borderId="10" xfId="33" applyNumberFormat="1" applyFont="1" applyFill="1" applyBorder="1" applyAlignment="1">
      <alignment horizontal="left" vertical="top" wrapText="1" readingOrder="1"/>
      <protection/>
    </xf>
    <xf numFmtId="0" fontId="76" fillId="0" borderId="0" xfId="0" applyFont="1" applyAlignment="1">
      <alignment vertical="top" wrapText="1"/>
    </xf>
    <xf numFmtId="0" fontId="76" fillId="0" borderId="12" xfId="0" applyFont="1" applyBorder="1" applyAlignment="1">
      <alignment vertical="top" wrapText="1"/>
    </xf>
    <xf numFmtId="4" fontId="19" fillId="35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vertical="center" wrapText="1"/>
    </xf>
    <xf numFmtId="0" fontId="79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74" fillId="0" borderId="17" xfId="33" applyNumberFormat="1" applyFont="1" applyFill="1" applyBorder="1" applyAlignment="1">
      <alignment horizontal="left" vertical="top" wrapText="1" readingOrder="1"/>
      <protection/>
    </xf>
    <xf numFmtId="0" fontId="77" fillId="0" borderId="17" xfId="33" applyNumberFormat="1" applyFont="1" applyFill="1" applyBorder="1" applyAlignment="1">
      <alignment horizontal="left" vertical="top" wrapText="1" readingOrder="1"/>
      <protection/>
    </xf>
    <xf numFmtId="0" fontId="10" fillId="0" borderId="10" xfId="66" applyFont="1" applyBorder="1" applyAlignment="1">
      <alignment horizontal="left" vertical="center" wrapText="1"/>
      <protection/>
    </xf>
    <xf numFmtId="0" fontId="2" fillId="0" borderId="10" xfId="65" applyFont="1" applyBorder="1" applyAlignment="1">
      <alignment horizontal="left" vertical="top" wrapText="1"/>
      <protection/>
    </xf>
    <xf numFmtId="0" fontId="2" fillId="0" borderId="10" xfId="65" applyFont="1" applyFill="1" applyBorder="1" applyAlignment="1">
      <alignment horizontal="left" vertical="top" wrapText="1"/>
      <protection/>
    </xf>
    <xf numFmtId="0" fontId="10" fillId="0" borderId="10" xfId="60" applyFont="1" applyBorder="1" applyAlignment="1">
      <alignment vertical="center"/>
      <protection/>
    </xf>
    <xf numFmtId="0" fontId="82" fillId="0" borderId="12" xfId="0" applyFont="1" applyBorder="1" applyAlignment="1">
      <alignment vertical="center"/>
    </xf>
    <xf numFmtId="0" fontId="82" fillId="0" borderId="12" xfId="0" applyFont="1" applyBorder="1" applyAlignment="1">
      <alignment vertical="top" wrapText="1"/>
    </xf>
    <xf numFmtId="0" fontId="73" fillId="0" borderId="12" xfId="0" applyFont="1" applyBorder="1" applyAlignment="1">
      <alignment vertical="center"/>
    </xf>
    <xf numFmtId="0" fontId="82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20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4" fontId="0" fillId="0" borderId="0" xfId="0" applyNumberFormat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4" fontId="12" fillId="0" borderId="18" xfId="0" applyNumberFormat="1" applyFont="1" applyBorder="1" applyAlignment="1">
      <alignment horizontal="right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vertical="center" wrapText="1"/>
    </xf>
    <xf numFmtId="4" fontId="12" fillId="13" borderId="1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4" fontId="12" fillId="36" borderId="10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4" fontId="19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9" fontId="2" fillId="36" borderId="10" xfId="57" applyNumberFormat="1" applyFont="1" applyFill="1" applyBorder="1" applyAlignment="1">
      <alignment horizontal="center" vertical="center" wrapText="1"/>
      <protection/>
    </xf>
    <xf numFmtId="4" fontId="2" fillId="36" borderId="10" xfId="0" applyNumberFormat="1" applyFont="1" applyFill="1" applyBorder="1" applyAlignment="1">
      <alignment horizontal="right" vertical="center" wrapText="1"/>
    </xf>
    <xf numFmtId="0" fontId="8" fillId="36" borderId="0" xfId="0" applyFont="1" applyFill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79" fillId="0" borderId="10" xfId="0" applyFont="1" applyBorder="1" applyAlignment="1">
      <alignment vertical="top" wrapText="1"/>
    </xf>
    <xf numFmtId="49" fontId="12" fillId="0" borderId="10" xfId="67" applyNumberFormat="1" applyFont="1" applyBorder="1" applyAlignment="1">
      <alignment horizontal="center" vertical="center"/>
      <protection/>
    </xf>
    <xf numFmtId="0" fontId="10" fillId="0" borderId="10" xfId="67" applyFont="1" applyBorder="1" applyAlignment="1">
      <alignment vertical="top" wrapText="1"/>
      <protection/>
    </xf>
    <xf numFmtId="0" fontId="10" fillId="0" borderId="10" xfId="66" applyFont="1" applyBorder="1" applyAlignment="1">
      <alignment vertic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58" applyFont="1" applyBorder="1" applyAlignment="1">
      <alignment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10" fillId="0" borderId="10" xfId="66" applyNumberFormat="1" applyFont="1" applyBorder="1" applyAlignment="1">
      <alignment horizontal="center" vertical="center"/>
      <protection/>
    </xf>
    <xf numFmtId="0" fontId="10" fillId="0" borderId="10" xfId="59" applyFont="1" applyBorder="1" applyAlignment="1">
      <alignment vertical="top" wrapText="1"/>
      <protection/>
    </xf>
    <xf numFmtId="4" fontId="2" fillId="0" borderId="10" xfId="0" applyNumberFormat="1" applyFont="1" applyBorder="1" applyAlignment="1">
      <alignment vertical="top" wrapText="1"/>
    </xf>
    <xf numFmtId="49" fontId="10" fillId="0" borderId="10" xfId="59" applyNumberFormat="1" applyFont="1" applyBorder="1" applyAlignment="1">
      <alignment horizontal="center"/>
      <protection/>
    </xf>
    <xf numFmtId="4" fontId="2" fillId="0" borderId="10" xfId="59" applyNumberFormat="1" applyFont="1" applyBorder="1" applyAlignment="1">
      <alignment vertical="top" wrapText="1"/>
      <protection/>
    </xf>
    <xf numFmtId="49" fontId="2" fillId="0" borderId="10" xfId="59" applyNumberFormat="1" applyFont="1" applyBorder="1" applyAlignment="1">
      <alignment horizontal="center"/>
      <protection/>
    </xf>
    <xf numFmtId="49" fontId="12" fillId="0" borderId="10" xfId="66" applyNumberFormat="1" applyFont="1" applyBorder="1" applyAlignment="1">
      <alignment horizontal="center" vertical="center"/>
      <protection/>
    </xf>
    <xf numFmtId="0" fontId="10" fillId="0" borderId="10" xfId="66" applyFont="1" applyBorder="1" applyAlignment="1">
      <alignment wrapText="1"/>
      <protection/>
    </xf>
    <xf numFmtId="0" fontId="2" fillId="0" borderId="10" xfId="65" applyFont="1" applyBorder="1" applyAlignment="1">
      <alignment vertical="top" wrapText="1"/>
      <protection/>
    </xf>
    <xf numFmtId="0" fontId="10" fillId="0" borderId="10" xfId="0" applyFont="1" applyFill="1" applyBorder="1" applyAlignment="1">
      <alignment horizontal="justify" vertical="top" wrapText="1"/>
    </xf>
    <xf numFmtId="0" fontId="2" fillId="0" borderId="10" xfId="61" applyFont="1" applyFill="1" applyBorder="1" applyAlignment="1">
      <alignment vertical="top" wrapText="1"/>
      <protection/>
    </xf>
    <xf numFmtId="0" fontId="2" fillId="37" borderId="10" xfId="61" applyFont="1" applyFill="1" applyBorder="1" applyAlignment="1">
      <alignment vertical="top" wrapText="1"/>
      <protection/>
    </xf>
    <xf numFmtId="0" fontId="2" fillId="0" borderId="10" xfId="66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49" fontId="13" fillId="0" borderId="10" xfId="60" applyNumberFormat="1" applyFont="1" applyBorder="1" applyAlignment="1">
      <alignment horizontal="center"/>
      <protection/>
    </xf>
    <xf numFmtId="0" fontId="10" fillId="0" borderId="10" xfId="60" applyFont="1" applyBorder="1" applyAlignment="1">
      <alignment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vertical="top" wrapText="1"/>
      <protection/>
    </xf>
    <xf numFmtId="0" fontId="2" fillId="0" borderId="10" xfId="60" applyFont="1" applyBorder="1" applyAlignment="1">
      <alignment vertical="top" wrapText="1"/>
      <protection/>
    </xf>
    <xf numFmtId="0" fontId="19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6" fillId="0" borderId="12" xfId="0" applyFont="1" applyBorder="1" applyAlignment="1">
      <alignment horizontal="left" vertical="top" wrapText="1"/>
    </xf>
    <xf numFmtId="0" fontId="2" fillId="38" borderId="0" xfId="0" applyFont="1" applyFill="1" applyAlignment="1">
      <alignment wrapText="1"/>
    </xf>
    <xf numFmtId="49" fontId="22" fillId="38" borderId="0" xfId="0" applyNumberFormat="1" applyFont="1" applyFill="1" applyAlignment="1">
      <alignment/>
    </xf>
    <xf numFmtId="49" fontId="2" fillId="38" borderId="0" xfId="0" applyNumberFormat="1" applyFont="1" applyFill="1" applyAlignment="1">
      <alignment/>
    </xf>
    <xf numFmtId="4" fontId="23" fillId="38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7" fillId="38" borderId="0" xfId="0" applyFont="1" applyFill="1" applyAlignment="1">
      <alignment wrapText="1"/>
    </xf>
    <xf numFmtId="49" fontId="2" fillId="38" borderId="0" xfId="0" applyNumberFormat="1" applyFont="1" applyFill="1" applyAlignment="1">
      <alignment wrapText="1"/>
    </xf>
    <xf numFmtId="0" fontId="24" fillId="38" borderId="0" xfId="0" applyFont="1" applyFill="1" applyAlignment="1">
      <alignment wrapText="1"/>
    </xf>
    <xf numFmtId="0" fontId="22" fillId="38" borderId="0" xfId="0" applyFont="1" applyFill="1" applyAlignment="1">
      <alignment horizontal="left" wrapText="1"/>
    </xf>
    <xf numFmtId="0" fontId="2" fillId="38" borderId="0" xfId="0" applyFont="1" applyFill="1" applyAlignment="1">
      <alignment horizontal="left" wrapText="1"/>
    </xf>
    <xf numFmtId="4" fontId="23" fillId="38" borderId="0" xfId="0" applyNumberFormat="1" applyFont="1" applyFill="1" applyAlignment="1">
      <alignment wrapText="1"/>
    </xf>
    <xf numFmtId="4" fontId="2" fillId="38" borderId="0" xfId="0" applyNumberFormat="1" applyFont="1" applyFill="1" applyAlignment="1">
      <alignment wrapText="1"/>
    </xf>
    <xf numFmtId="49" fontId="22" fillId="38" borderId="0" xfId="0" applyNumberFormat="1" applyFont="1" applyFill="1" applyAlignment="1">
      <alignment horizontal="center"/>
    </xf>
    <xf numFmtId="0" fontId="2" fillId="38" borderId="0" xfId="0" applyFont="1" applyFill="1" applyBorder="1" applyAlignment="1">
      <alignment horizontal="right"/>
    </xf>
    <xf numFmtId="4" fontId="23" fillId="38" borderId="0" xfId="0" applyNumberFormat="1" applyFont="1" applyFill="1" applyBorder="1" applyAlignment="1">
      <alignment horizontal="right"/>
    </xf>
    <xf numFmtId="4" fontId="22" fillId="38" borderId="0" xfId="0" applyNumberFormat="1" applyFont="1" applyFill="1" applyAlignment="1">
      <alignment/>
    </xf>
    <xf numFmtId="49" fontId="19" fillId="38" borderId="10" xfId="0" applyNumberFormat="1" applyFont="1" applyFill="1" applyBorder="1" applyAlignment="1">
      <alignment horizontal="center" vertical="center" wrapText="1"/>
    </xf>
    <xf numFmtId="49" fontId="19" fillId="38" borderId="10" xfId="0" applyNumberFormat="1" applyFont="1" applyFill="1" applyBorder="1" applyAlignment="1">
      <alignment horizontal="center" vertical="center"/>
    </xf>
    <xf numFmtId="4" fontId="19" fillId="38" borderId="10" xfId="0" applyNumberFormat="1" applyFont="1" applyFill="1" applyBorder="1" applyAlignment="1">
      <alignment horizontal="center" vertical="center" wrapText="1"/>
    </xf>
    <xf numFmtId="3" fontId="19" fillId="38" borderId="10" xfId="0" applyNumberFormat="1" applyFont="1" applyFill="1" applyBorder="1" applyAlignment="1">
      <alignment horizontal="center" vertical="center" wrapText="1"/>
    </xf>
    <xf numFmtId="4" fontId="11" fillId="38" borderId="0" xfId="0" applyNumberFormat="1" applyFont="1" applyFill="1" applyBorder="1" applyAlignment="1">
      <alignment/>
    </xf>
    <xf numFmtId="49" fontId="11" fillId="38" borderId="0" xfId="0" applyNumberFormat="1" applyFont="1" applyFill="1" applyBorder="1" applyAlignment="1">
      <alignment/>
    </xf>
    <xf numFmtId="49" fontId="11" fillId="38" borderId="0" xfId="0" applyNumberFormat="1" applyFont="1" applyFill="1" applyAlignment="1">
      <alignment/>
    </xf>
    <xf numFmtId="0" fontId="2" fillId="38" borderId="10" xfId="0" applyFont="1" applyFill="1" applyBorder="1" applyAlignment="1">
      <alignment horizontal="left" wrapText="1"/>
    </xf>
    <xf numFmtId="49" fontId="22" fillId="38" borderId="10" xfId="0" applyNumberFormat="1" applyFont="1" applyFill="1" applyBorder="1" applyAlignment="1">
      <alignment horizontal="center"/>
    </xf>
    <xf numFmtId="49" fontId="23" fillId="38" borderId="10" xfId="0" applyNumberFormat="1" applyFont="1" applyFill="1" applyBorder="1" applyAlignment="1">
      <alignment horizontal="right"/>
    </xf>
    <xf numFmtId="4" fontId="23" fillId="38" borderId="10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26" fillId="38" borderId="0" xfId="0" applyFont="1" applyFill="1" applyAlignment="1">
      <alignment/>
    </xf>
    <xf numFmtId="0" fontId="2" fillId="38" borderId="10" xfId="0" applyFont="1" applyFill="1" applyBorder="1" applyAlignment="1">
      <alignment wrapText="1"/>
    </xf>
    <xf numFmtId="4" fontId="22" fillId="38" borderId="10" xfId="0" applyNumberFormat="1" applyFont="1" applyFill="1" applyBorder="1" applyAlignment="1">
      <alignment horizontal="right"/>
    </xf>
    <xf numFmtId="168" fontId="22" fillId="38" borderId="0" xfId="0" applyNumberFormat="1" applyFont="1" applyFill="1" applyBorder="1" applyAlignment="1">
      <alignment/>
    </xf>
    <xf numFmtId="49" fontId="22" fillId="38" borderId="10" xfId="0" applyNumberFormat="1" applyFont="1" applyFill="1" applyBorder="1" applyAlignment="1">
      <alignment horizontal="right"/>
    </xf>
    <xf numFmtId="168" fontId="2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/>
    </xf>
    <xf numFmtId="49" fontId="22" fillId="38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left" wrapText="1"/>
    </xf>
    <xf numFmtId="173" fontId="2" fillId="38" borderId="10" xfId="55" applyNumberFormat="1" applyFont="1" applyFill="1" applyBorder="1" applyAlignment="1" applyProtection="1">
      <alignment horizontal="left" wrapText="1"/>
      <protection hidden="1"/>
    </xf>
    <xf numFmtId="0" fontId="2" fillId="38" borderId="10" xfId="0" applyFont="1" applyFill="1" applyBorder="1" applyAlignment="1">
      <alignment/>
    </xf>
    <xf numFmtId="4" fontId="22" fillId="38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left" vertical="top" wrapText="1"/>
    </xf>
    <xf numFmtId="0" fontId="22" fillId="38" borderId="10" xfId="0" applyFont="1" applyFill="1" applyBorder="1" applyAlignment="1">
      <alignment horizontal="center" wrapText="1"/>
    </xf>
    <xf numFmtId="2" fontId="3" fillId="38" borderId="10" xfId="75" applyNumberFormat="1" applyFont="1" applyFill="1" applyBorder="1" applyAlignment="1">
      <alignment horizontal="left" vertical="center" wrapText="1"/>
      <protection/>
    </xf>
    <xf numFmtId="0" fontId="3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 wrapText="1"/>
    </xf>
    <xf numFmtId="49" fontId="22" fillId="38" borderId="10" xfId="61" applyNumberFormat="1" applyFont="1" applyFill="1" applyBorder="1" applyAlignment="1">
      <alignment horizontal="right" wrapText="1"/>
      <protection/>
    </xf>
    <xf numFmtId="49" fontId="2" fillId="38" borderId="10" xfId="0" applyNumberFormat="1" applyFont="1" applyFill="1" applyBorder="1" applyAlignment="1">
      <alignment horizontal="left" vertical="top" wrapText="1"/>
    </xf>
    <xf numFmtId="173" fontId="2" fillId="38" borderId="10" xfId="55" applyNumberFormat="1" applyFont="1" applyFill="1" applyBorder="1" applyAlignment="1" applyProtection="1">
      <alignment horizontal="left" vertical="top" wrapText="1"/>
      <protection hidden="1"/>
    </xf>
    <xf numFmtId="4" fontId="2" fillId="38" borderId="0" xfId="0" applyNumberFormat="1" applyFont="1" applyFill="1" applyAlignment="1">
      <alignment/>
    </xf>
    <xf numFmtId="0" fontId="2" fillId="38" borderId="10" xfId="69" applyFont="1" applyFill="1" applyBorder="1" applyAlignment="1">
      <alignment horizontal="left" wrapText="1"/>
      <protection/>
    </xf>
    <xf numFmtId="0" fontId="27" fillId="38" borderId="0" xfId="0" applyFont="1" applyFill="1" applyAlignment="1">
      <alignment/>
    </xf>
    <xf numFmtId="0" fontId="2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justify"/>
    </xf>
    <xf numFmtId="2" fontId="3" fillId="38" borderId="10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21" fillId="38" borderId="10" xfId="0" applyFont="1" applyFill="1" applyBorder="1" applyAlignment="1">
      <alignment horizontal="left" wrapText="1"/>
    </xf>
    <xf numFmtId="2" fontId="3" fillId="38" borderId="10" xfId="75" applyNumberFormat="1" applyFont="1" applyFill="1" applyBorder="1" applyAlignment="1">
      <alignment vertical="center" wrapText="1"/>
      <protection/>
    </xf>
    <xf numFmtId="2" fontId="2" fillId="38" borderId="10" xfId="75" applyNumberFormat="1" applyFont="1" applyFill="1" applyBorder="1" applyAlignment="1">
      <alignment horizontal="left" vertical="center" wrapText="1"/>
      <protection/>
    </xf>
    <xf numFmtId="2" fontId="3" fillId="38" borderId="10" xfId="75" applyNumberFormat="1" applyFont="1" applyFill="1" applyBorder="1" applyAlignment="1">
      <alignment wrapText="1"/>
      <protection/>
    </xf>
    <xf numFmtId="0" fontId="2" fillId="38" borderId="10" xfId="43" applyFont="1" applyFill="1" applyBorder="1" applyAlignment="1" applyProtection="1">
      <alignment horizontal="left" wrapText="1"/>
      <protection/>
    </xf>
    <xf numFmtId="173" fontId="2" fillId="38" borderId="10" xfId="0" applyNumberFormat="1" applyFont="1" applyFill="1" applyBorder="1" applyAlignment="1" applyProtection="1">
      <alignment horizontal="left" vertical="top" wrapText="1"/>
      <protection hidden="1"/>
    </xf>
    <xf numFmtId="49" fontId="22" fillId="38" borderId="10" xfId="61" applyNumberFormat="1" applyFont="1" applyFill="1" applyBorder="1" applyAlignment="1">
      <alignment horizontal="center" wrapText="1"/>
      <protection/>
    </xf>
    <xf numFmtId="0" fontId="2" fillId="38" borderId="10" xfId="43" applyFont="1" applyFill="1" applyBorder="1" applyAlignment="1" applyProtection="1">
      <alignment horizontal="justify"/>
      <protection/>
    </xf>
    <xf numFmtId="2" fontId="3" fillId="38" borderId="10" xfId="75" applyNumberFormat="1" applyFont="1" applyFill="1" applyBorder="1" applyAlignment="1">
      <alignment horizontal="left" wrapText="1"/>
      <protection/>
    </xf>
    <xf numFmtId="173" fontId="19" fillId="38" borderId="10" xfId="55" applyNumberFormat="1" applyFont="1" applyFill="1" applyBorder="1" applyAlignment="1" applyProtection="1">
      <alignment horizontal="left" vertical="top" wrapText="1"/>
      <protection hidden="1"/>
    </xf>
    <xf numFmtId="4" fontId="23" fillId="38" borderId="10" xfId="0" applyNumberFormat="1" applyFont="1" applyFill="1" applyBorder="1" applyAlignment="1">
      <alignment horizontal="right"/>
    </xf>
    <xf numFmtId="49" fontId="22" fillId="38" borderId="10" xfId="0" applyNumberFormat="1" applyFont="1" applyFill="1" applyBorder="1" applyAlignment="1">
      <alignment horizontal="right" wrapText="1"/>
    </xf>
    <xf numFmtId="4" fontId="22" fillId="38" borderId="10" xfId="0" applyNumberFormat="1" applyFont="1" applyFill="1" applyBorder="1" applyAlignment="1">
      <alignment/>
    </xf>
    <xf numFmtId="2" fontId="3" fillId="38" borderId="10" xfId="75" applyNumberFormat="1" applyFont="1" applyFill="1" applyBorder="1" applyAlignment="1">
      <alignment vertical="top" wrapText="1"/>
      <protection/>
    </xf>
    <xf numFmtId="2" fontId="3" fillId="38" borderId="10" xfId="75" applyNumberFormat="1" applyFont="1" applyFill="1" applyBorder="1" applyAlignment="1">
      <alignment horizontal="left" vertical="top" wrapText="1"/>
      <protection/>
    </xf>
    <xf numFmtId="0" fontId="3" fillId="38" borderId="10" xfId="0" applyFont="1" applyFill="1" applyBorder="1" applyAlignment="1">
      <alignment horizontal="justify" vertical="top" wrapText="1"/>
    </xf>
    <xf numFmtId="2" fontId="4" fillId="38" borderId="10" xfId="75" applyNumberFormat="1" applyFont="1" applyFill="1" applyBorder="1" applyAlignment="1">
      <alignment horizontal="left" vertical="center" wrapText="1"/>
      <protection/>
    </xf>
    <xf numFmtId="173" fontId="22" fillId="38" borderId="10" xfId="55" applyNumberFormat="1" applyFont="1" applyFill="1" applyBorder="1" applyAlignment="1" applyProtection="1">
      <alignment horizontal="left" vertical="top" wrapText="1"/>
      <protection hidden="1"/>
    </xf>
    <xf numFmtId="0" fontId="22" fillId="38" borderId="10" xfId="0" applyFont="1" applyFill="1" applyBorder="1" applyAlignment="1">
      <alignment horizontal="justify"/>
    </xf>
    <xf numFmtId="173" fontId="2" fillId="38" borderId="19" xfId="0" applyNumberFormat="1" applyFont="1" applyFill="1" applyBorder="1" applyAlignment="1" applyProtection="1">
      <alignment horizontal="left" vertical="top" wrapText="1"/>
      <protection hidden="1"/>
    </xf>
    <xf numFmtId="0" fontId="2" fillId="38" borderId="10" xfId="0" applyFont="1" applyFill="1" applyBorder="1" applyAlignment="1">
      <alignment vertical="center" wrapText="1"/>
    </xf>
    <xf numFmtId="4" fontId="22" fillId="38" borderId="10" xfId="61" applyNumberFormat="1" applyFont="1" applyFill="1" applyBorder="1" applyAlignment="1">
      <alignment horizontal="right" wrapText="1"/>
      <protection/>
    </xf>
    <xf numFmtId="168" fontId="2" fillId="38" borderId="0" xfId="0" applyNumberFormat="1" applyFont="1" applyFill="1" applyAlignment="1">
      <alignment/>
    </xf>
    <xf numFmtId="168" fontId="27" fillId="38" borderId="0" xfId="0" applyNumberFormat="1" applyFont="1" applyFill="1" applyAlignment="1">
      <alignment/>
    </xf>
    <xf numFmtId="0" fontId="2" fillId="38" borderId="10" xfId="0" applyFont="1" applyFill="1" applyBorder="1" applyAlignment="1">
      <alignment horizontal="justify" vertical="top" wrapText="1"/>
    </xf>
    <xf numFmtId="0" fontId="4" fillId="38" borderId="10" xfId="0" applyFont="1" applyFill="1" applyBorder="1" applyAlignment="1">
      <alignment horizontal="right" wrapText="1"/>
    </xf>
    <xf numFmtId="0" fontId="2" fillId="38" borderId="20" xfId="0" applyFont="1" applyFill="1" applyBorder="1" applyAlignment="1">
      <alignment wrapText="1"/>
    </xf>
    <xf numFmtId="0" fontId="4" fillId="38" borderId="16" xfId="0" applyFont="1" applyFill="1" applyBorder="1" applyAlignment="1">
      <alignment horizontal="center" wrapText="1"/>
    </xf>
    <xf numFmtId="0" fontId="4" fillId="38" borderId="16" xfId="0" applyFont="1" applyFill="1" applyBorder="1" applyAlignment="1">
      <alignment horizontal="right" wrapText="1"/>
    </xf>
    <xf numFmtId="4" fontId="22" fillId="38" borderId="21" xfId="0" applyNumberFormat="1" applyFont="1" applyFill="1" applyBorder="1" applyAlignment="1">
      <alignment/>
    </xf>
    <xf numFmtId="0" fontId="3" fillId="38" borderId="19" xfId="0" applyFont="1" applyFill="1" applyBorder="1" applyAlignment="1">
      <alignment horizontal="left" wrapText="1"/>
    </xf>
    <xf numFmtId="0" fontId="22" fillId="38" borderId="16" xfId="0" applyFont="1" applyFill="1" applyBorder="1" applyAlignment="1">
      <alignment horizontal="center" wrapText="1"/>
    </xf>
    <xf numFmtId="49" fontId="22" fillId="38" borderId="16" xfId="61" applyNumberFormat="1" applyFont="1" applyFill="1" applyBorder="1" applyAlignment="1">
      <alignment horizontal="right" wrapText="1"/>
      <protection/>
    </xf>
    <xf numFmtId="4" fontId="23" fillId="38" borderId="21" xfId="0" applyNumberFormat="1" applyFont="1" applyFill="1" applyBorder="1" applyAlignment="1">
      <alignment/>
    </xf>
    <xf numFmtId="4" fontId="23" fillId="38" borderId="22" xfId="0" applyNumberFormat="1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2" fillId="38" borderId="24" xfId="0" applyFont="1" applyFill="1" applyBorder="1" applyAlignment="1">
      <alignment horizontal="center" wrapText="1"/>
    </xf>
    <xf numFmtId="49" fontId="22" fillId="38" borderId="24" xfId="61" applyNumberFormat="1" applyFont="1" applyFill="1" applyBorder="1" applyAlignment="1">
      <alignment horizontal="right" wrapText="1"/>
      <protection/>
    </xf>
    <xf numFmtId="4" fontId="23" fillId="38" borderId="25" xfId="0" applyNumberFormat="1" applyFont="1" applyFill="1" applyBorder="1" applyAlignment="1">
      <alignment/>
    </xf>
    <xf numFmtId="49" fontId="2" fillId="38" borderId="0" xfId="0" applyNumberFormat="1" applyFont="1" applyFill="1" applyAlignment="1">
      <alignment horizontal="right"/>
    </xf>
    <xf numFmtId="0" fontId="22" fillId="38" borderId="0" xfId="0" applyFont="1" applyFill="1" applyAlignment="1">
      <alignment/>
    </xf>
    <xf numFmtId="49" fontId="5" fillId="38" borderId="0" xfId="0" applyNumberFormat="1" applyFont="1" applyFill="1" applyAlignment="1">
      <alignment horizontal="right"/>
    </xf>
    <xf numFmtId="0" fontId="2" fillId="38" borderId="0" xfId="0" applyFont="1" applyFill="1" applyAlignment="1">
      <alignment horizontal="right"/>
    </xf>
    <xf numFmtId="9" fontId="2" fillId="38" borderId="0" xfId="73" applyFont="1" applyFill="1" applyAlignment="1">
      <alignment/>
    </xf>
    <xf numFmtId="0" fontId="23" fillId="38" borderId="0" xfId="0" applyFont="1" applyFill="1" applyAlignment="1">
      <alignment horizontal="right"/>
    </xf>
    <xf numFmtId="0" fontId="23" fillId="38" borderId="0" xfId="44" applyNumberFormat="1" applyFont="1" applyFill="1" applyAlignment="1">
      <alignment horizontal="left" wrapText="1"/>
    </xf>
    <xf numFmtId="4" fontId="23" fillId="38" borderId="0" xfId="44" applyNumberFormat="1" applyFont="1" applyFill="1" applyAlignment="1">
      <alignment horizontal="left" wrapText="1"/>
    </xf>
    <xf numFmtId="49" fontId="5" fillId="38" borderId="0" xfId="0" applyNumberFormat="1" applyFont="1" applyFill="1" applyAlignment="1">
      <alignment horizontal="center"/>
    </xf>
    <xf numFmtId="49" fontId="2" fillId="38" borderId="0" xfId="0" applyNumberFormat="1" applyFont="1" applyFill="1" applyBorder="1" applyAlignment="1">
      <alignment horizontal="right"/>
    </xf>
    <xf numFmtId="49" fontId="5" fillId="38" borderId="20" xfId="0" applyNumberFormat="1" applyFont="1" applyFill="1" applyBorder="1" applyAlignment="1">
      <alignment horizontal="center" vertical="center" wrapText="1"/>
    </xf>
    <xf numFmtId="49" fontId="5" fillId="38" borderId="16" xfId="0" applyNumberFormat="1" applyFont="1" applyFill="1" applyBorder="1" applyAlignment="1">
      <alignment horizontal="center" vertical="center" wrapText="1"/>
    </xf>
    <xf numFmtId="49" fontId="5" fillId="38" borderId="16" xfId="0" applyNumberFormat="1" applyFont="1" applyFill="1" applyBorder="1" applyAlignment="1">
      <alignment horizontal="center" vertical="center"/>
    </xf>
    <xf numFmtId="3" fontId="5" fillId="38" borderId="16" xfId="0" applyNumberFormat="1" applyFont="1" applyFill="1" applyBorder="1" applyAlignment="1">
      <alignment horizontal="center" vertical="center" wrapText="1"/>
    </xf>
    <xf numFmtId="3" fontId="5" fillId="38" borderId="21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left" wrapText="1"/>
    </xf>
    <xf numFmtId="2" fontId="26" fillId="38" borderId="0" xfId="0" applyNumberFormat="1" applyFont="1" applyFill="1" applyAlignment="1">
      <alignment/>
    </xf>
    <xf numFmtId="4" fontId="26" fillId="38" borderId="0" xfId="0" applyNumberFormat="1" applyFont="1" applyFill="1" applyAlignment="1">
      <alignment/>
    </xf>
    <xf numFmtId="0" fontId="2" fillId="38" borderId="19" xfId="0" applyFont="1" applyFill="1" applyBorder="1" applyAlignment="1">
      <alignment wrapText="1"/>
    </xf>
    <xf numFmtId="4" fontId="22" fillId="38" borderId="22" xfId="0" applyNumberFormat="1" applyFont="1" applyFill="1" applyBorder="1" applyAlignment="1">
      <alignment horizontal="right"/>
    </xf>
    <xf numFmtId="0" fontId="3" fillId="38" borderId="19" xfId="0" applyFont="1" applyFill="1" applyBorder="1" applyAlignment="1">
      <alignment wrapText="1"/>
    </xf>
    <xf numFmtId="0" fontId="2" fillId="38" borderId="19" xfId="0" applyFont="1" applyFill="1" applyBorder="1" applyAlignment="1">
      <alignment vertical="top" wrapText="1"/>
    </xf>
    <xf numFmtId="49" fontId="2" fillId="38" borderId="19" xfId="0" applyNumberFormat="1" applyFont="1" applyFill="1" applyBorder="1" applyAlignment="1">
      <alignment horizontal="left" vertical="top" wrapText="1"/>
    </xf>
    <xf numFmtId="173" fontId="2" fillId="38" borderId="19" xfId="55" applyNumberFormat="1" applyFont="1" applyFill="1" applyBorder="1" applyAlignment="1" applyProtection="1">
      <alignment horizontal="left" wrapText="1"/>
      <protection hidden="1"/>
    </xf>
    <xf numFmtId="0" fontId="2" fillId="38" borderId="19" xfId="0" applyFont="1" applyFill="1" applyBorder="1" applyAlignment="1">
      <alignment horizontal="left" vertical="top" wrapText="1"/>
    </xf>
    <xf numFmtId="4" fontId="22" fillId="38" borderId="22" xfId="61" applyNumberFormat="1" applyFont="1" applyFill="1" applyBorder="1" applyAlignment="1">
      <alignment horizontal="right" wrapText="1"/>
      <protection/>
    </xf>
    <xf numFmtId="0" fontId="2" fillId="38" borderId="19" xfId="0" applyFont="1" applyFill="1" applyBorder="1" applyAlignment="1">
      <alignment horizontal="justify" vertical="top" wrapText="1"/>
    </xf>
    <xf numFmtId="0" fontId="2" fillId="38" borderId="19" xfId="61" applyFont="1" applyFill="1" applyBorder="1" applyAlignment="1">
      <alignment horizontal="justify" vertical="top" wrapText="1"/>
      <protection/>
    </xf>
    <xf numFmtId="0" fontId="3" fillId="38" borderId="26" xfId="0" applyFont="1" applyFill="1" applyBorder="1" applyAlignment="1">
      <alignment horizontal="left" wrapText="1"/>
    </xf>
    <xf numFmtId="0" fontId="2" fillId="38" borderId="27" xfId="0" applyFont="1" applyFill="1" applyBorder="1" applyAlignment="1">
      <alignment/>
    </xf>
    <xf numFmtId="0" fontId="3" fillId="38" borderId="19" xfId="0" applyFont="1" applyFill="1" applyBorder="1" applyAlignment="1">
      <alignment vertical="top" wrapText="1"/>
    </xf>
    <xf numFmtId="173" fontId="2" fillId="38" borderId="19" xfId="55" applyNumberFormat="1" applyFont="1" applyFill="1" applyBorder="1" applyAlignment="1" applyProtection="1">
      <alignment horizontal="left" vertical="top" wrapText="1"/>
      <protection hidden="1"/>
    </xf>
    <xf numFmtId="49" fontId="4" fillId="38" borderId="10" xfId="0" applyNumberFormat="1" applyFont="1" applyFill="1" applyBorder="1" applyAlignment="1">
      <alignment horizontal="center"/>
    </xf>
    <xf numFmtId="2" fontId="3" fillId="38" borderId="19" xfId="75" applyNumberFormat="1" applyFont="1" applyFill="1" applyBorder="1" applyAlignment="1">
      <alignment vertical="center" wrapText="1"/>
      <protection/>
    </xf>
    <xf numFmtId="2" fontId="3" fillId="38" borderId="19" xfId="75" applyNumberFormat="1" applyFont="1" applyFill="1" applyBorder="1" applyAlignment="1">
      <alignment horizontal="left" vertical="center" wrapText="1"/>
      <protection/>
    </xf>
    <xf numFmtId="2" fontId="2" fillId="38" borderId="19" xfId="75" applyNumberFormat="1" applyFont="1" applyFill="1" applyBorder="1" applyAlignment="1">
      <alignment horizontal="left" vertical="top" wrapText="1"/>
      <protection/>
    </xf>
    <xf numFmtId="0" fontId="3" fillId="38" borderId="19" xfId="0" applyFont="1" applyFill="1" applyBorder="1" applyAlignment="1">
      <alignment horizontal="justify" vertical="top" wrapText="1"/>
    </xf>
    <xf numFmtId="0" fontId="3" fillId="38" borderId="19" xfId="0" applyFont="1" applyFill="1" applyBorder="1" applyAlignment="1">
      <alignment horizontal="left" vertical="top" wrapText="1"/>
    </xf>
    <xf numFmtId="4" fontId="22" fillId="38" borderId="28" xfId="0" applyNumberFormat="1" applyFont="1" applyFill="1" applyBorder="1" applyAlignment="1">
      <alignment horizontal="right"/>
    </xf>
    <xf numFmtId="4" fontId="22" fillId="38" borderId="21" xfId="0" applyNumberFormat="1" applyFont="1" applyFill="1" applyBorder="1" applyAlignment="1">
      <alignment horizontal="right"/>
    </xf>
    <xf numFmtId="0" fontId="2" fillId="38" borderId="29" xfId="0" applyFont="1" applyFill="1" applyBorder="1" applyAlignment="1">
      <alignment vertical="center" wrapText="1"/>
    </xf>
    <xf numFmtId="0" fontId="2" fillId="38" borderId="19" xfId="0" applyFont="1" applyFill="1" applyBorder="1" applyAlignment="1">
      <alignment/>
    </xf>
    <xf numFmtId="2" fontId="3" fillId="38" borderId="19" xfId="75" applyNumberFormat="1" applyFont="1" applyFill="1" applyBorder="1" applyAlignment="1">
      <alignment vertical="top" wrapText="1"/>
      <protection/>
    </xf>
    <xf numFmtId="2" fontId="3" fillId="38" borderId="19" xfId="75" applyNumberFormat="1" applyFont="1" applyFill="1" applyBorder="1" applyAlignment="1">
      <alignment horizontal="left" vertical="top" wrapText="1"/>
      <protection/>
    </xf>
    <xf numFmtId="0" fontId="2" fillId="38" borderId="27" xfId="0" applyFont="1" applyFill="1" applyBorder="1" applyAlignment="1">
      <alignment wrapText="1"/>
    </xf>
    <xf numFmtId="2" fontId="2" fillId="38" borderId="19" xfId="75" applyNumberFormat="1" applyFont="1" applyFill="1" applyBorder="1" applyAlignment="1">
      <alignment horizontal="left" vertical="center" wrapText="1"/>
      <protection/>
    </xf>
    <xf numFmtId="4" fontId="27" fillId="38" borderId="0" xfId="0" applyNumberFormat="1" applyFont="1" applyFill="1" applyAlignment="1">
      <alignment/>
    </xf>
    <xf numFmtId="2" fontId="3" fillId="38" borderId="19" xfId="75" applyNumberFormat="1" applyFont="1" applyFill="1" applyBorder="1" applyAlignment="1">
      <alignment wrapText="1"/>
      <protection/>
    </xf>
    <xf numFmtId="0" fontId="23" fillId="38" borderId="10" xfId="0" applyFont="1" applyFill="1" applyBorder="1" applyAlignment="1">
      <alignment horizontal="center" wrapText="1"/>
    </xf>
    <xf numFmtId="0" fontId="2" fillId="38" borderId="19" xfId="0" applyFont="1" applyFill="1" applyBorder="1" applyAlignment="1">
      <alignment horizontal="justify"/>
    </xf>
    <xf numFmtId="0" fontId="2" fillId="38" borderId="19" xfId="43" applyFont="1" applyFill="1" applyBorder="1" applyAlignment="1" applyProtection="1">
      <alignment horizontal="left" wrapText="1"/>
      <protection/>
    </xf>
    <xf numFmtId="4" fontId="22" fillId="38" borderId="30" xfId="0" applyNumberFormat="1" applyFont="1" applyFill="1" applyBorder="1" applyAlignment="1">
      <alignment horizontal="right"/>
    </xf>
    <xf numFmtId="0" fontId="2" fillId="38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/>
    </xf>
    <xf numFmtId="0" fontId="2" fillId="38" borderId="19" xfId="69" applyFont="1" applyFill="1" applyBorder="1" applyAlignment="1">
      <alignment horizontal="left" wrapText="1"/>
      <protection/>
    </xf>
    <xf numFmtId="0" fontId="3" fillId="38" borderId="19" xfId="0" applyFont="1" applyFill="1" applyBorder="1" applyAlignment="1">
      <alignment vertical="center" wrapText="1"/>
    </xf>
    <xf numFmtId="0" fontId="2" fillId="38" borderId="27" xfId="0" applyFont="1" applyFill="1" applyBorder="1" applyAlignment="1">
      <alignment horizontal="justify"/>
    </xf>
    <xf numFmtId="0" fontId="3" fillId="38" borderId="31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top" wrapText="1"/>
    </xf>
    <xf numFmtId="49" fontId="3" fillId="38" borderId="19" xfId="0" applyNumberFormat="1" applyFont="1" applyFill="1" applyBorder="1" applyAlignment="1">
      <alignment horizontal="left" vertical="top" wrapText="1"/>
    </xf>
    <xf numFmtId="49" fontId="2" fillId="38" borderId="19" xfId="0" applyNumberFormat="1" applyFont="1" applyFill="1" applyBorder="1" applyAlignment="1">
      <alignment wrapText="1"/>
    </xf>
    <xf numFmtId="0" fontId="2" fillId="38" borderId="27" xfId="0" applyFont="1" applyFill="1" applyBorder="1" applyAlignment="1">
      <alignment vertical="top" wrapText="1"/>
    </xf>
    <xf numFmtId="2" fontId="3" fillId="38" borderId="29" xfId="75" applyNumberFormat="1" applyFont="1" applyFill="1" applyBorder="1" applyAlignment="1">
      <alignment horizontal="left" vertical="center" wrapText="1"/>
      <protection/>
    </xf>
    <xf numFmtId="49" fontId="2" fillId="38" borderId="19" xfId="0" applyNumberFormat="1" applyFont="1" applyFill="1" applyBorder="1" applyAlignment="1">
      <alignment vertical="top" wrapText="1"/>
    </xf>
    <xf numFmtId="0" fontId="3" fillId="38" borderId="26" xfId="0" applyFont="1" applyFill="1" applyBorder="1" applyAlignment="1">
      <alignment vertical="top" wrapText="1"/>
    </xf>
    <xf numFmtId="4" fontId="22" fillId="38" borderId="22" xfId="0" applyNumberFormat="1" applyFont="1" applyFill="1" applyBorder="1" applyAlignment="1">
      <alignment/>
    </xf>
    <xf numFmtId="2" fontId="3" fillId="38" borderId="19" xfId="75" applyNumberFormat="1" applyFont="1" applyFill="1" applyBorder="1" applyAlignment="1">
      <alignment horizontal="left" wrapText="1"/>
      <protection/>
    </xf>
    <xf numFmtId="0" fontId="3" fillId="38" borderId="26" xfId="0" applyFont="1" applyFill="1" applyBorder="1" applyAlignment="1">
      <alignment wrapText="1"/>
    </xf>
    <xf numFmtId="0" fontId="2" fillId="38" borderId="32" xfId="0" applyFont="1" applyFill="1" applyBorder="1" applyAlignment="1">
      <alignment horizontal="justify"/>
    </xf>
    <xf numFmtId="49" fontId="22" fillId="38" borderId="33" xfId="0" applyNumberFormat="1" applyFont="1" applyFill="1" applyBorder="1" applyAlignment="1">
      <alignment horizontal="center"/>
    </xf>
    <xf numFmtId="49" fontId="22" fillId="38" borderId="33" xfId="61" applyNumberFormat="1" applyFont="1" applyFill="1" applyBorder="1" applyAlignment="1">
      <alignment horizontal="right" wrapText="1"/>
      <protection/>
    </xf>
    <xf numFmtId="4" fontId="22" fillId="38" borderId="33" xfId="0" applyNumberFormat="1" applyFont="1" applyFill="1" applyBorder="1" applyAlignment="1">
      <alignment horizontal="right"/>
    </xf>
    <xf numFmtId="4" fontId="22" fillId="38" borderId="34" xfId="0" applyNumberFormat="1" applyFont="1" applyFill="1" applyBorder="1" applyAlignment="1">
      <alignment horizontal="right"/>
    </xf>
    <xf numFmtId="49" fontId="22" fillId="38" borderId="0" xfId="0" applyNumberFormat="1" applyFont="1" applyFill="1" applyAlignment="1">
      <alignment horizontal="right"/>
    </xf>
    <xf numFmtId="4" fontId="22" fillId="38" borderId="0" xfId="0" applyNumberFormat="1" applyFont="1" applyFill="1" applyAlignment="1">
      <alignment horizontal="right"/>
    </xf>
    <xf numFmtId="4" fontId="23" fillId="38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" fontId="22" fillId="38" borderId="0" xfId="0" applyNumberFormat="1" applyFont="1" applyFill="1" applyAlignment="1">
      <alignment/>
    </xf>
    <xf numFmtId="168" fontId="23" fillId="38" borderId="0" xfId="0" applyNumberFormat="1" applyFont="1" applyFill="1" applyAlignment="1">
      <alignment/>
    </xf>
    <xf numFmtId="168" fontId="23" fillId="38" borderId="0" xfId="0" applyNumberFormat="1" applyFont="1" applyFill="1" applyAlignment="1">
      <alignment horizontal="right"/>
    </xf>
    <xf numFmtId="4" fontId="2" fillId="38" borderId="0" xfId="0" applyNumberFormat="1" applyFont="1" applyFill="1" applyAlignment="1">
      <alignment horizontal="right" wrapText="1"/>
    </xf>
    <xf numFmtId="4" fontId="22" fillId="38" borderId="0" xfId="0" applyNumberFormat="1" applyFont="1" applyFill="1" applyBorder="1" applyAlignment="1">
      <alignment horizontal="right"/>
    </xf>
    <xf numFmtId="4" fontId="22" fillId="38" borderId="0" xfId="0" applyNumberFormat="1" applyFont="1" applyFill="1" applyAlignment="1">
      <alignment horizontal="center"/>
    </xf>
    <xf numFmtId="49" fontId="2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/>
    </xf>
    <xf numFmtId="4" fontId="28" fillId="38" borderId="10" xfId="0" applyNumberFormat="1" applyFont="1" applyFill="1" applyBorder="1" applyAlignment="1">
      <alignment horizontal="right" vertical="center" wrapText="1"/>
    </xf>
    <xf numFmtId="4" fontId="28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right" vertical="center" wrapText="1"/>
    </xf>
    <xf numFmtId="3" fontId="11" fillId="38" borderId="10" xfId="0" applyNumberFormat="1" applyFont="1" applyFill="1" applyBorder="1" applyAlignment="1">
      <alignment horizontal="right" vertical="center" wrapText="1"/>
    </xf>
    <xf numFmtId="4" fontId="22" fillId="38" borderId="10" xfId="0" applyNumberFormat="1" applyFont="1" applyFill="1" applyBorder="1" applyAlignment="1">
      <alignment horizontal="center"/>
    </xf>
    <xf numFmtId="49" fontId="28" fillId="38" borderId="10" xfId="0" applyNumberFormat="1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 wrapText="1"/>
    </xf>
    <xf numFmtId="49" fontId="28" fillId="38" borderId="10" xfId="61" applyNumberFormat="1" applyFont="1" applyFill="1" applyBorder="1" applyAlignment="1">
      <alignment horizontal="right" wrapText="1"/>
      <protection/>
    </xf>
    <xf numFmtId="4" fontId="28" fillId="38" borderId="10" xfId="0" applyNumberFormat="1" applyFont="1" applyFill="1" applyBorder="1" applyAlignment="1">
      <alignment horizontal="right"/>
    </xf>
    <xf numFmtId="173" fontId="2" fillId="38" borderId="10" xfId="0" applyNumberFormat="1" applyFont="1" applyFill="1" applyBorder="1" applyAlignment="1" applyProtection="1">
      <alignment horizontal="left" wrapText="1"/>
      <protection hidden="1"/>
    </xf>
    <xf numFmtId="49" fontId="28" fillId="38" borderId="10" xfId="0" applyNumberFormat="1" applyFont="1" applyFill="1" applyBorder="1" applyAlignment="1">
      <alignment horizontal="right"/>
    </xf>
    <xf numFmtId="4" fontId="28" fillId="38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3" fillId="38" borderId="10" xfId="0" applyNumberFormat="1" applyFont="1" applyFill="1" applyBorder="1" applyAlignment="1">
      <alignment horizontal="left" vertical="center" wrapText="1"/>
    </xf>
    <xf numFmtId="2" fontId="2" fillId="38" borderId="10" xfId="0" applyNumberFormat="1" applyFont="1" applyFill="1" applyBorder="1" applyAlignment="1">
      <alignment horizontal="left" vertical="top" wrapText="1"/>
    </xf>
    <xf numFmtId="49" fontId="28" fillId="38" borderId="10" xfId="0" applyNumberFormat="1" applyFont="1" applyFill="1" applyBorder="1" applyAlignment="1">
      <alignment horizontal="center" wrapText="1"/>
    </xf>
    <xf numFmtId="49" fontId="28" fillId="38" borderId="10" xfId="0" applyNumberFormat="1" applyFont="1" applyFill="1" applyBorder="1" applyAlignment="1">
      <alignment horizontal="right" wrapText="1"/>
    </xf>
    <xf numFmtId="2" fontId="3" fillId="38" borderId="10" xfId="0" applyNumberFormat="1" applyFont="1" applyFill="1" applyBorder="1" applyAlignment="1">
      <alignment vertical="top" wrapText="1"/>
    </xf>
    <xf numFmtId="2" fontId="3" fillId="38" borderId="10" xfId="0" applyNumberFormat="1" applyFont="1" applyFill="1" applyBorder="1" applyAlignment="1">
      <alignment horizontal="left" vertical="top" wrapText="1"/>
    </xf>
    <xf numFmtId="2" fontId="2" fillId="38" borderId="10" xfId="0" applyNumberFormat="1" applyFont="1" applyFill="1" applyBorder="1" applyAlignment="1">
      <alignment horizontal="left" vertical="center" wrapText="1"/>
    </xf>
    <xf numFmtId="2" fontId="3" fillId="38" borderId="10" xfId="0" applyNumberFormat="1" applyFont="1" applyFill="1" applyBorder="1" applyAlignment="1">
      <alignment wrapText="1"/>
    </xf>
    <xf numFmtId="49" fontId="28" fillId="38" borderId="10" xfId="61" applyNumberFormat="1" applyFont="1" applyFill="1" applyBorder="1" applyAlignment="1">
      <alignment horizontal="center" wrapText="1"/>
      <protection/>
    </xf>
    <xf numFmtId="0" fontId="2" fillId="38" borderId="10" xfId="0" applyFont="1" applyFill="1" applyBorder="1" applyAlignment="1" applyProtection="1">
      <alignment horizontal="left" wrapText="1"/>
      <protection/>
    </xf>
    <xf numFmtId="173" fontId="2" fillId="39" borderId="10" xfId="0" applyNumberFormat="1" applyFont="1" applyFill="1" applyBorder="1" applyAlignment="1" applyProtection="1">
      <alignment horizontal="left" vertical="top" wrapText="1"/>
      <protection hidden="1"/>
    </xf>
    <xf numFmtId="4" fontId="22" fillId="38" borderId="35" xfId="0" applyNumberFormat="1" applyFont="1" applyFill="1" applyBorder="1" applyAlignment="1">
      <alignment horizontal="center"/>
    </xf>
    <xf numFmtId="49" fontId="11" fillId="38" borderId="16" xfId="0" applyNumberFormat="1" applyFont="1" applyFill="1" applyBorder="1" applyAlignment="1">
      <alignment horizontal="center" vertical="center" wrapText="1"/>
    </xf>
    <xf numFmtId="49" fontId="11" fillId="38" borderId="16" xfId="0" applyNumberFormat="1" applyFont="1" applyFill="1" applyBorder="1" applyAlignment="1">
      <alignment horizontal="center" vertical="center"/>
    </xf>
    <xf numFmtId="4" fontId="28" fillId="38" borderId="16" xfId="0" applyNumberFormat="1" applyFont="1" applyFill="1" applyBorder="1" applyAlignment="1">
      <alignment horizontal="center" vertical="center" wrapText="1"/>
    </xf>
    <xf numFmtId="4" fontId="11" fillId="38" borderId="21" xfId="0" applyNumberFormat="1" applyFont="1" applyFill="1" applyBorder="1" applyAlignment="1">
      <alignment horizontal="center" vertical="center" wrapText="1"/>
    </xf>
    <xf numFmtId="0" fontId="23" fillId="38" borderId="19" xfId="0" applyFont="1" applyFill="1" applyBorder="1" applyAlignment="1">
      <alignment horizontal="left" wrapText="1"/>
    </xf>
    <xf numFmtId="4" fontId="28" fillId="38" borderId="22" xfId="0" applyNumberFormat="1" applyFont="1" applyFill="1" applyBorder="1" applyAlignment="1">
      <alignment horizontal="right"/>
    </xf>
    <xf numFmtId="0" fontId="22" fillId="0" borderId="27" xfId="0" applyFont="1" applyBorder="1" applyAlignment="1">
      <alignment/>
    </xf>
    <xf numFmtId="0" fontId="22" fillId="38" borderId="19" xfId="0" applyFont="1" applyFill="1" applyBorder="1" applyAlignment="1">
      <alignment wrapText="1"/>
    </xf>
    <xf numFmtId="0" fontId="4" fillId="38" borderId="19" xfId="0" applyFont="1" applyFill="1" applyBorder="1" applyAlignment="1">
      <alignment horizontal="left" wrapText="1"/>
    </xf>
    <xf numFmtId="2" fontId="29" fillId="38" borderId="19" xfId="75" applyNumberFormat="1" applyFont="1" applyFill="1" applyBorder="1" applyAlignment="1">
      <alignment horizontal="left" vertical="center" wrapText="1"/>
      <protection/>
    </xf>
    <xf numFmtId="0" fontId="21" fillId="38" borderId="19" xfId="0" applyFont="1" applyFill="1" applyBorder="1" applyAlignment="1">
      <alignment horizontal="left" wrapText="1"/>
    </xf>
    <xf numFmtId="173" fontId="19" fillId="38" borderId="19" xfId="55" applyNumberFormat="1" applyFont="1" applyFill="1" applyBorder="1" applyAlignment="1" applyProtection="1">
      <alignment horizontal="left" vertical="top" wrapText="1"/>
      <protection hidden="1"/>
    </xf>
    <xf numFmtId="2" fontId="4" fillId="38" borderId="19" xfId="75" applyNumberFormat="1" applyFont="1" applyFill="1" applyBorder="1" applyAlignment="1">
      <alignment horizontal="left" vertical="center" wrapText="1"/>
      <protection/>
    </xf>
    <xf numFmtId="4" fontId="22" fillId="38" borderId="18" xfId="0" applyNumberFormat="1" applyFont="1" applyFill="1" applyBorder="1" applyAlignment="1">
      <alignment horizontal="right"/>
    </xf>
    <xf numFmtId="173" fontId="19" fillId="38" borderId="19" xfId="55" applyNumberFormat="1" applyFont="1" applyFill="1" applyBorder="1" applyAlignment="1" applyProtection="1">
      <alignment horizontal="left" wrapText="1"/>
      <protection hidden="1"/>
    </xf>
    <xf numFmtId="4" fontId="22" fillId="38" borderId="35" xfId="0" applyNumberFormat="1" applyFont="1" applyFill="1" applyBorder="1" applyAlignment="1">
      <alignment horizontal="right"/>
    </xf>
    <xf numFmtId="2" fontId="3" fillId="38" borderId="19" xfId="0" applyNumberFormat="1" applyFont="1" applyFill="1" applyBorder="1" applyAlignment="1">
      <alignment horizontal="left" vertical="center" wrapText="1"/>
    </xf>
    <xf numFmtId="4" fontId="22" fillId="38" borderId="16" xfId="0" applyNumberFormat="1" applyFont="1" applyFill="1" applyBorder="1" applyAlignment="1">
      <alignment horizontal="right"/>
    </xf>
    <xf numFmtId="4" fontId="28" fillId="38" borderId="35" xfId="0" applyNumberFormat="1" applyFont="1" applyFill="1" applyBorder="1" applyAlignment="1">
      <alignment horizontal="right"/>
    </xf>
    <xf numFmtId="173" fontId="2" fillId="39" borderId="19" xfId="55" applyNumberFormat="1" applyFont="1" applyFill="1" applyBorder="1" applyAlignment="1" applyProtection="1">
      <alignment horizontal="left" vertical="top" wrapText="1"/>
      <protection hidden="1"/>
    </xf>
    <xf numFmtId="0" fontId="21" fillId="38" borderId="19" xfId="0" applyFont="1" applyFill="1" applyBorder="1" applyAlignment="1">
      <alignment wrapText="1"/>
    </xf>
    <xf numFmtId="0" fontId="4" fillId="38" borderId="26" xfId="0" applyFont="1" applyFill="1" applyBorder="1" applyAlignment="1">
      <alignment wrapText="1"/>
    </xf>
    <xf numFmtId="0" fontId="2" fillId="38" borderId="20" xfId="0" applyFont="1" applyFill="1" applyBorder="1" applyAlignment="1">
      <alignment vertical="top" wrapText="1"/>
    </xf>
    <xf numFmtId="49" fontId="22" fillId="38" borderId="16" xfId="0" applyNumberFormat="1" applyFont="1" applyFill="1" applyBorder="1" applyAlignment="1">
      <alignment horizontal="center"/>
    </xf>
    <xf numFmtId="49" fontId="22" fillId="38" borderId="16" xfId="0" applyNumberFormat="1" applyFont="1" applyFill="1" applyBorder="1" applyAlignment="1">
      <alignment horizontal="right"/>
    </xf>
    <xf numFmtId="49" fontId="2" fillId="38" borderId="32" xfId="0" applyNumberFormat="1" applyFont="1" applyFill="1" applyBorder="1" applyAlignment="1">
      <alignment vertical="top" wrapText="1"/>
    </xf>
    <xf numFmtId="49" fontId="22" fillId="38" borderId="33" xfId="0" applyNumberFormat="1" applyFont="1" applyFill="1" applyBorder="1" applyAlignment="1">
      <alignment horizontal="right"/>
    </xf>
    <xf numFmtId="4" fontId="22" fillId="38" borderId="33" xfId="0" applyNumberFormat="1" applyFont="1" applyFill="1" applyBorder="1" applyAlignment="1">
      <alignment horizontal="center"/>
    </xf>
    <xf numFmtId="49" fontId="2" fillId="38" borderId="20" xfId="0" applyNumberFormat="1" applyFont="1" applyFill="1" applyBorder="1" applyAlignment="1">
      <alignment horizontal="center" vertical="center" wrapText="1"/>
    </xf>
    <xf numFmtId="3" fontId="11" fillId="38" borderId="21" xfId="0" applyNumberFormat="1" applyFont="1" applyFill="1" applyBorder="1" applyAlignment="1">
      <alignment horizontal="right" vertical="center" wrapText="1"/>
    </xf>
    <xf numFmtId="173" fontId="2" fillId="38" borderId="19" xfId="0" applyNumberFormat="1" applyFont="1" applyFill="1" applyBorder="1" applyAlignment="1" applyProtection="1">
      <alignment horizontal="left" wrapText="1"/>
      <protection hidden="1"/>
    </xf>
    <xf numFmtId="2" fontId="3" fillId="38" borderId="19" xfId="0" applyNumberFormat="1" applyFont="1" applyFill="1" applyBorder="1" applyAlignment="1">
      <alignment vertical="center" wrapText="1"/>
    </xf>
    <xf numFmtId="2" fontId="2" fillId="38" borderId="19" xfId="0" applyNumberFormat="1" applyFont="1" applyFill="1" applyBorder="1" applyAlignment="1">
      <alignment horizontal="left" vertical="top" wrapText="1"/>
    </xf>
    <xf numFmtId="2" fontId="3" fillId="38" borderId="19" xfId="0" applyNumberFormat="1" applyFont="1" applyFill="1" applyBorder="1" applyAlignment="1">
      <alignment vertical="top" wrapText="1"/>
    </xf>
    <xf numFmtId="2" fontId="3" fillId="38" borderId="19" xfId="0" applyNumberFormat="1" applyFont="1" applyFill="1" applyBorder="1" applyAlignment="1">
      <alignment horizontal="left" vertical="top" wrapText="1"/>
    </xf>
    <xf numFmtId="2" fontId="2" fillId="38" borderId="19" xfId="0" applyNumberFormat="1" applyFont="1" applyFill="1" applyBorder="1" applyAlignment="1">
      <alignment horizontal="left" vertical="center" wrapText="1"/>
    </xf>
    <xf numFmtId="2" fontId="3" fillId="38" borderId="19" xfId="0" applyNumberFormat="1" applyFont="1" applyFill="1" applyBorder="1" applyAlignment="1">
      <alignment wrapText="1"/>
    </xf>
    <xf numFmtId="0" fontId="2" fillId="38" borderId="19" xfId="0" applyFont="1" applyFill="1" applyBorder="1" applyAlignment="1" applyProtection="1">
      <alignment horizontal="left" wrapText="1"/>
      <protection/>
    </xf>
    <xf numFmtId="2" fontId="3" fillId="38" borderId="29" xfId="0" applyNumberFormat="1" applyFont="1" applyFill="1" applyBorder="1" applyAlignment="1">
      <alignment horizontal="left" vertical="center" wrapText="1"/>
    </xf>
    <xf numFmtId="4" fontId="22" fillId="38" borderId="36" xfId="0" applyNumberFormat="1" applyFont="1" applyFill="1" applyBorder="1" applyAlignment="1">
      <alignment/>
    </xf>
    <xf numFmtId="0" fontId="28" fillId="38" borderId="10" xfId="0" applyFont="1" applyFill="1" applyBorder="1" applyAlignment="1">
      <alignment horizontal="center"/>
    </xf>
    <xf numFmtId="49" fontId="19" fillId="38" borderId="20" xfId="0" applyNumberFormat="1" applyFont="1" applyFill="1" applyBorder="1" applyAlignment="1">
      <alignment horizontal="center" vertical="center" wrapText="1"/>
    </xf>
    <xf numFmtId="49" fontId="19" fillId="38" borderId="16" xfId="0" applyNumberFormat="1" applyFont="1" applyFill="1" applyBorder="1" applyAlignment="1">
      <alignment horizontal="center" vertical="center"/>
    </xf>
    <xf numFmtId="4" fontId="19" fillId="38" borderId="21" xfId="0" applyNumberFormat="1" applyFont="1" applyFill="1" applyBorder="1" applyAlignment="1">
      <alignment horizontal="center" vertical="center" wrapText="1"/>
    </xf>
    <xf numFmtId="49" fontId="5" fillId="38" borderId="0" xfId="0" applyNumberFormat="1" applyFont="1" applyFill="1" applyAlignment="1">
      <alignment/>
    </xf>
    <xf numFmtId="4" fontId="11" fillId="38" borderId="0" xfId="0" applyNumberFormat="1" applyFont="1" applyFill="1" applyAlignment="1">
      <alignment/>
    </xf>
    <xf numFmtId="168" fontId="22" fillId="38" borderId="0" xfId="0" applyNumberFormat="1" applyFont="1" applyFill="1" applyAlignment="1">
      <alignment/>
    </xf>
    <xf numFmtId="4" fontId="22" fillId="38" borderId="22" xfId="0" applyNumberFormat="1" applyFont="1" applyFill="1" applyBorder="1" applyAlignment="1">
      <alignment/>
    </xf>
    <xf numFmtId="0" fontId="2" fillId="38" borderId="19" xfId="43" applyFont="1" applyFill="1" applyBorder="1" applyAlignment="1" applyProtection="1">
      <alignment horizontal="justify"/>
      <protection/>
    </xf>
    <xf numFmtId="4" fontId="22" fillId="38" borderId="0" xfId="0" applyNumberFormat="1" applyFont="1" applyFill="1" applyBorder="1" applyAlignment="1">
      <alignment/>
    </xf>
    <xf numFmtId="4" fontId="28" fillId="38" borderId="0" xfId="0" applyNumberFormat="1" applyFont="1" applyFill="1" applyBorder="1" applyAlignment="1">
      <alignment/>
    </xf>
    <xf numFmtId="0" fontId="31" fillId="38" borderId="0" xfId="0" applyFont="1" applyFill="1" applyAlignment="1">
      <alignment horizontal="center"/>
    </xf>
    <xf numFmtId="0" fontId="32" fillId="38" borderId="0" xfId="0" applyFont="1" applyFill="1" applyAlignment="1">
      <alignment horizontal="center"/>
    </xf>
    <xf numFmtId="0" fontId="22" fillId="38" borderId="0" xfId="0" applyFont="1" applyFill="1" applyAlignment="1">
      <alignment horizontal="center"/>
    </xf>
    <xf numFmtId="49" fontId="2" fillId="38" borderId="20" xfId="0" applyNumberFormat="1" applyFont="1" applyFill="1" applyBorder="1" applyAlignment="1">
      <alignment vertical="top" wrapText="1"/>
    </xf>
    <xf numFmtId="0" fontId="2" fillId="38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9" fontId="14" fillId="0" borderId="10" xfId="62" applyNumberFormat="1" applyFont="1" applyBorder="1" applyAlignment="1">
      <alignment horizontal="center" vertical="center" wrapText="1"/>
      <protection/>
    </xf>
    <xf numFmtId="0" fontId="14" fillId="0" borderId="10" xfId="62" applyFont="1" applyBorder="1" applyAlignment="1">
      <alignment vertical="top" wrapText="1"/>
      <protection/>
    </xf>
    <xf numFmtId="2" fontId="14" fillId="0" borderId="10" xfId="62" applyNumberFormat="1" applyFont="1" applyFill="1" applyBorder="1" applyAlignment="1">
      <alignment/>
      <protection/>
    </xf>
    <xf numFmtId="168" fontId="14" fillId="0" borderId="10" xfId="62" applyNumberFormat="1" applyFont="1" applyBorder="1" applyAlignment="1">
      <alignment/>
      <protection/>
    </xf>
    <xf numFmtId="172" fontId="14" fillId="0" borderId="0" xfId="0" applyNumberFormat="1" applyFont="1" applyAlignment="1">
      <alignment/>
    </xf>
    <xf numFmtId="49" fontId="8" fillId="0" borderId="10" xfId="62" applyNumberFormat="1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top" wrapText="1"/>
      <protection/>
    </xf>
    <xf numFmtId="168" fontId="8" fillId="0" borderId="10" xfId="62" applyNumberFormat="1" applyFont="1" applyBorder="1" applyAlignment="1">
      <alignment/>
      <protection/>
    </xf>
    <xf numFmtId="0" fontId="14" fillId="0" borderId="10" xfId="62" applyFont="1" applyBorder="1" applyAlignment="1">
      <alignment horizontal="center" vertical="top" wrapText="1"/>
      <protection/>
    </xf>
    <xf numFmtId="49" fontId="0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0" fontId="14" fillId="0" borderId="10" xfId="62" applyFont="1" applyBorder="1" applyAlignment="1">
      <alignment wrapText="1"/>
      <protection/>
    </xf>
    <xf numFmtId="0" fontId="8" fillId="0" borderId="10" xfId="62" applyFont="1" applyBorder="1" applyAlignment="1">
      <alignment vertical="top" wrapText="1"/>
      <protection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37" xfId="62" applyFont="1" applyFill="1" applyBorder="1" applyAlignment="1">
      <alignment vertical="center" wrapText="1"/>
      <protection/>
    </xf>
    <xf numFmtId="0" fontId="8" fillId="0" borderId="37" xfId="62" applyFont="1" applyFill="1" applyBorder="1" applyAlignment="1">
      <alignment vertical="top" wrapText="1"/>
      <protection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2" fillId="0" borderId="10" xfId="0" applyFont="1" applyFill="1" applyBorder="1" applyAlignment="1">
      <alignment horizontal="justify" wrapText="1"/>
    </xf>
    <xf numFmtId="2" fontId="0" fillId="0" borderId="0" xfId="0" applyNumberFormat="1" applyFill="1" applyAlignment="1">
      <alignment/>
    </xf>
    <xf numFmtId="168" fontId="14" fillId="0" borderId="18" xfId="62" applyNumberFormat="1" applyFont="1" applyBorder="1" applyAlignment="1">
      <alignment/>
      <protection/>
    </xf>
    <xf numFmtId="0" fontId="14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8" fillId="0" borderId="10" xfId="62" applyNumberFormat="1" applyFont="1" applyFill="1" applyBorder="1" applyAlignment="1">
      <alignment/>
      <protection/>
    </xf>
    <xf numFmtId="4" fontId="14" fillId="0" borderId="10" xfId="62" applyNumberFormat="1" applyFont="1" applyFill="1" applyBorder="1" applyAlignment="1">
      <alignment/>
      <protection/>
    </xf>
    <xf numFmtId="4" fontId="8" fillId="0" borderId="18" xfId="62" applyNumberFormat="1" applyFont="1" applyBorder="1" applyAlignment="1">
      <alignment/>
      <protection/>
    </xf>
    <xf numFmtId="4" fontId="0" fillId="0" borderId="10" xfId="0" applyNumberFormat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0" xfId="54" applyFont="1" applyAlignment="1">
      <alignment horizontal="right" wrapText="1"/>
      <protection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0" xfId="54" applyFont="1" applyFill="1" applyAlignment="1">
      <alignment horizontal="right"/>
      <protection/>
    </xf>
    <xf numFmtId="0" fontId="2" fillId="38" borderId="0" xfId="0" applyFont="1" applyFill="1" applyAlignment="1">
      <alignment horizontal="left"/>
    </xf>
    <xf numFmtId="49" fontId="2" fillId="38" borderId="0" xfId="0" applyNumberFormat="1" applyFont="1" applyFill="1" applyAlignment="1">
      <alignment horizontal="left" wrapText="1"/>
    </xf>
    <xf numFmtId="0" fontId="2" fillId="38" borderId="0" xfId="0" applyFont="1" applyFill="1" applyAlignment="1">
      <alignment horizontal="left" wrapText="1"/>
    </xf>
    <xf numFmtId="0" fontId="23" fillId="38" borderId="0" xfId="0" applyFont="1" applyFill="1" applyAlignment="1">
      <alignment horizont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49" fontId="5" fillId="38" borderId="41" xfId="0" applyNumberFormat="1" applyFont="1" applyFill="1" applyBorder="1" applyAlignment="1">
      <alignment horizontal="center" vertical="center" wrapText="1"/>
    </xf>
    <xf numFmtId="49" fontId="5" fillId="38" borderId="33" xfId="0" applyNumberFormat="1" applyFont="1" applyFill="1" applyBorder="1" applyAlignment="1">
      <alignment horizontal="center" vertical="center" wrapText="1"/>
    </xf>
    <xf numFmtId="49" fontId="5" fillId="38" borderId="41" xfId="0" applyNumberFormat="1" applyFont="1" applyFill="1" applyBorder="1" applyAlignment="1">
      <alignment horizontal="center" vertical="center"/>
    </xf>
    <xf numFmtId="49" fontId="5" fillId="38" borderId="33" xfId="0" applyNumberFormat="1" applyFont="1" applyFill="1" applyBorder="1" applyAlignment="1">
      <alignment horizontal="center" vertical="center"/>
    </xf>
    <xf numFmtId="4" fontId="23" fillId="38" borderId="42" xfId="0" applyNumberFormat="1" applyFont="1" applyFill="1" applyBorder="1" applyAlignment="1">
      <alignment horizontal="center" vertical="center" wrapText="1"/>
    </xf>
    <xf numFmtId="4" fontId="23" fillId="38" borderId="25" xfId="0" applyNumberFormat="1" applyFont="1" applyFill="1" applyBorder="1" applyAlignment="1">
      <alignment horizontal="center" vertical="center" wrapText="1"/>
    </xf>
    <xf numFmtId="4" fontId="22" fillId="38" borderId="41" xfId="0" applyNumberFormat="1" applyFont="1" applyFill="1" applyBorder="1" applyAlignment="1">
      <alignment horizontal="center" vertical="center" wrapText="1"/>
    </xf>
    <xf numFmtId="4" fontId="22" fillId="38" borderId="33" xfId="0" applyNumberFormat="1" applyFont="1" applyFill="1" applyBorder="1" applyAlignment="1">
      <alignment horizontal="center" vertical="center" wrapText="1"/>
    </xf>
    <xf numFmtId="4" fontId="22" fillId="38" borderId="43" xfId="0" applyNumberFormat="1" applyFont="1" applyFill="1" applyBorder="1" applyAlignment="1">
      <alignment horizontal="center" vertical="center" wrapText="1"/>
    </xf>
    <xf numFmtId="4" fontId="22" fillId="38" borderId="34" xfId="0" applyNumberFormat="1" applyFont="1" applyFill="1" applyBorder="1" applyAlignment="1">
      <alignment horizontal="center" vertical="center" wrapText="1"/>
    </xf>
    <xf numFmtId="9" fontId="2" fillId="38" borderId="0" xfId="73" applyFont="1" applyFill="1" applyAlignment="1">
      <alignment horizontal="left" wrapText="1"/>
    </xf>
    <xf numFmtId="0" fontId="23" fillId="38" borderId="0" xfId="44" applyNumberFormat="1" applyFont="1" applyFill="1" applyAlignment="1">
      <alignment horizontal="center" wrapText="1"/>
    </xf>
    <xf numFmtId="4" fontId="22" fillId="38" borderId="41" xfId="0" applyNumberFormat="1" applyFont="1" applyFill="1" applyBorder="1" applyAlignment="1">
      <alignment horizontal="right" vertical="center" wrapText="1"/>
    </xf>
    <xf numFmtId="4" fontId="22" fillId="38" borderId="33" xfId="0" applyNumberFormat="1" applyFont="1" applyFill="1" applyBorder="1" applyAlignment="1">
      <alignment horizontal="right" vertical="center" wrapText="1"/>
    </xf>
    <xf numFmtId="4" fontId="22" fillId="38" borderId="42" xfId="0" applyNumberFormat="1" applyFont="1" applyFill="1" applyBorder="1" applyAlignment="1">
      <alignment horizontal="center" vertical="center" wrapText="1"/>
    </xf>
    <xf numFmtId="4" fontId="22" fillId="38" borderId="25" xfId="0" applyNumberFormat="1" applyFont="1" applyFill="1" applyBorder="1" applyAlignment="1">
      <alignment horizontal="center" vertical="center" wrapText="1"/>
    </xf>
    <xf numFmtId="49" fontId="2" fillId="38" borderId="0" xfId="0" applyNumberFormat="1" applyFont="1" applyFill="1" applyAlignment="1">
      <alignment horizontal="left" vertical="top" wrapText="1"/>
    </xf>
    <xf numFmtId="44" fontId="30" fillId="38" borderId="0" xfId="44" applyFont="1" applyFill="1" applyAlignment="1">
      <alignment horizontal="center" wrapText="1"/>
    </xf>
    <xf numFmtId="4" fontId="22" fillId="38" borderId="10" xfId="0" applyNumberFormat="1" applyFont="1" applyFill="1" applyBorder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/>
    </xf>
    <xf numFmtId="4" fontId="22" fillId="38" borderId="10" xfId="0" applyNumberFormat="1" applyFont="1" applyFill="1" applyBorder="1" applyAlignment="1">
      <alignment horizontal="right" vertical="center" wrapText="1"/>
    </xf>
    <xf numFmtId="0" fontId="25" fillId="38" borderId="0" xfId="0" applyFont="1" applyFill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49" fontId="22" fillId="38" borderId="45" xfId="0" applyNumberFormat="1" applyFont="1" applyFill="1" applyBorder="1" applyAlignment="1">
      <alignment horizontal="center" vertical="center"/>
    </xf>
    <xf numFmtId="49" fontId="22" fillId="38" borderId="24" xfId="0" applyNumberFormat="1" applyFont="1" applyFill="1" applyBorder="1" applyAlignment="1">
      <alignment horizontal="center" vertical="center"/>
    </xf>
    <xf numFmtId="49" fontId="5" fillId="38" borderId="45" xfId="0" applyNumberFormat="1" applyFont="1" applyFill="1" applyBorder="1" applyAlignment="1">
      <alignment horizontal="right" vertical="center"/>
    </xf>
    <xf numFmtId="49" fontId="5" fillId="38" borderId="24" xfId="0" applyNumberFormat="1" applyFont="1" applyFill="1" applyBorder="1" applyAlignment="1">
      <alignment horizontal="right" vertical="center"/>
    </xf>
    <xf numFmtId="0" fontId="2" fillId="38" borderId="0" xfId="0" applyFont="1" applyFill="1" applyAlignment="1">
      <alignment horizontal="left" vertical="top" wrapText="1"/>
    </xf>
    <xf numFmtId="49" fontId="22" fillId="38" borderId="10" xfId="0" applyNumberFormat="1" applyFont="1" applyFill="1" applyBorder="1" applyAlignment="1">
      <alignment horizontal="center" vertical="center"/>
    </xf>
    <xf numFmtId="49" fontId="5" fillId="38" borderId="10" xfId="0" applyNumberFormat="1" applyFont="1" applyFill="1" applyBorder="1" applyAlignment="1">
      <alignment horizontal="right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28.10.11г." xfId="59"/>
    <cellStyle name="Обычный_30.04.10г." xfId="60"/>
    <cellStyle name="Обычный_Лист1" xfId="61"/>
    <cellStyle name="Обычный_Пр.1 30.04." xfId="62"/>
    <cellStyle name="Обычный_Пр.4 30.05.08г." xfId="63"/>
    <cellStyle name="Обычный_Прил.3." xfId="64"/>
    <cellStyle name="Обычный_Прил.4" xfId="65"/>
    <cellStyle name="Обычный_Прил.4." xfId="66"/>
    <cellStyle name="Обычный_сент." xfId="67"/>
    <cellStyle name="Обычный_Ут. на остатки" xfId="68"/>
    <cellStyle name="Обычный_уточненное прилож№1 б-та2002г.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60" zoomScalePageLayoutView="0" workbookViewId="0" topLeftCell="A1">
      <selection activeCell="E70" sqref="E70"/>
    </sheetView>
  </sheetViews>
  <sheetFormatPr defaultColWidth="9.140625" defaultRowHeight="15"/>
  <cols>
    <col min="1" max="1" width="28.140625" style="0" customWidth="1"/>
    <col min="2" max="2" width="44.57421875" style="0" customWidth="1"/>
    <col min="3" max="3" width="17.57421875" style="551" customWidth="1"/>
    <col min="4" max="4" width="0.13671875" style="0" hidden="1" customWidth="1"/>
    <col min="5" max="5" width="10.421875" style="0" customWidth="1"/>
    <col min="6" max="6" width="9.140625" style="0" hidden="1" customWidth="1"/>
    <col min="7" max="7" width="10.140625" style="0" hidden="1" customWidth="1"/>
    <col min="8" max="8" width="15.421875" style="0" customWidth="1"/>
    <col min="9" max="9" width="19.140625" style="524" customWidth="1"/>
    <col min="10" max="10" width="12.28125" style="0" customWidth="1"/>
    <col min="11" max="11" width="18.140625" style="524" customWidth="1"/>
    <col min="12" max="12" width="11.8515625" style="0" customWidth="1"/>
  </cols>
  <sheetData>
    <row r="1" spans="1:11" s="428" customFormat="1" ht="15">
      <c r="A1" s="563" t="s">
        <v>1233</v>
      </c>
      <c r="B1" s="563"/>
      <c r="C1" s="563"/>
      <c r="D1" s="519"/>
      <c r="I1" s="520"/>
      <c r="K1" s="520"/>
    </row>
    <row r="2" spans="1:11" s="428" customFormat="1" ht="12.75">
      <c r="A2" s="564" t="s">
        <v>1234</v>
      </c>
      <c r="B2" s="564"/>
      <c r="C2" s="564"/>
      <c r="D2" s="521"/>
      <c r="I2" s="520"/>
      <c r="K2" s="520"/>
    </row>
    <row r="3" spans="1:11" s="428" customFormat="1" ht="12.75">
      <c r="A3" s="564" t="s">
        <v>1235</v>
      </c>
      <c r="B3" s="564"/>
      <c r="C3" s="564"/>
      <c r="D3" s="521"/>
      <c r="I3" s="520"/>
      <c r="K3" s="520"/>
    </row>
    <row r="4" spans="1:11" s="522" customFormat="1" ht="39.75" customHeight="1">
      <c r="A4" s="521"/>
      <c r="B4" s="565" t="s">
        <v>1236</v>
      </c>
      <c r="C4" s="565"/>
      <c r="D4" s="521"/>
      <c r="I4" s="523"/>
      <c r="K4" s="523"/>
    </row>
    <row r="5" spans="1:11" s="522" customFormat="1" ht="28.5" customHeight="1" hidden="1">
      <c r="A5" s="521"/>
      <c r="B5" s="565" t="s">
        <v>1237</v>
      </c>
      <c r="C5" s="565"/>
      <c r="D5" s="521"/>
      <c r="I5" s="523"/>
      <c r="K5" s="523"/>
    </row>
    <row r="6" spans="1:11" s="522" customFormat="1" ht="12.75" hidden="1">
      <c r="A6" s="521"/>
      <c r="B6" s="566" t="s">
        <v>1238</v>
      </c>
      <c r="C6" s="566"/>
      <c r="I6" s="523"/>
      <c r="K6" s="523"/>
    </row>
    <row r="7" spans="1:4" ht="12.75" customHeight="1">
      <c r="A7" s="5"/>
      <c r="B7" s="567" t="s">
        <v>1316</v>
      </c>
      <c r="C7" s="567"/>
      <c r="D7" s="5"/>
    </row>
    <row r="8" spans="1:4" ht="9.75" customHeight="1">
      <c r="A8" s="568" t="s">
        <v>1239</v>
      </c>
      <c r="B8" s="568"/>
      <c r="C8" s="568"/>
      <c r="D8" s="568"/>
    </row>
    <row r="9" spans="1:4" ht="38.25" customHeight="1">
      <c r="A9" s="569" t="s">
        <v>1240</v>
      </c>
      <c r="B9" s="569"/>
      <c r="C9" s="569"/>
      <c r="D9" s="569"/>
    </row>
    <row r="10" spans="1:4" ht="15.75" customHeight="1">
      <c r="A10" s="568" t="s">
        <v>1241</v>
      </c>
      <c r="B10" s="568"/>
      <c r="C10" s="568"/>
      <c r="D10" s="568"/>
    </row>
    <row r="11" ht="13.5" customHeight="1">
      <c r="C11" s="525" t="s">
        <v>1242</v>
      </c>
    </row>
    <row r="12" spans="1:3" ht="38.25" customHeight="1">
      <c r="A12" s="526" t="s">
        <v>2</v>
      </c>
      <c r="B12" s="526" t="s">
        <v>1243</v>
      </c>
      <c r="C12" s="527" t="s">
        <v>1232</v>
      </c>
    </row>
    <row r="13" spans="1:3" ht="12.75" customHeight="1">
      <c r="A13" s="526">
        <v>1</v>
      </c>
      <c r="B13" s="526">
        <v>2</v>
      </c>
      <c r="C13" s="528">
        <v>3</v>
      </c>
    </row>
    <row r="14" spans="1:11" s="16" customFormat="1" ht="1.5" customHeight="1" hidden="1">
      <c r="A14" s="529" t="s">
        <v>1244</v>
      </c>
      <c r="B14" s="530" t="s">
        <v>1245</v>
      </c>
      <c r="C14" s="531">
        <f>C15+C35</f>
        <v>1544804.5900000334</v>
      </c>
      <c r="D14" s="532" t="e">
        <f>D15</f>
        <v>#REF!</v>
      </c>
      <c r="I14" s="533"/>
      <c r="K14" s="533"/>
    </row>
    <row r="15" spans="1:4" ht="26.25" customHeight="1">
      <c r="A15" s="534" t="s">
        <v>1246</v>
      </c>
      <c r="B15" s="535" t="s">
        <v>1247</v>
      </c>
      <c r="C15" s="557">
        <f>C21+C26+C16+C35</f>
        <v>1544804.5900000334</v>
      </c>
      <c r="D15" s="536" t="e">
        <f>#REF!+D21+D26</f>
        <v>#REF!</v>
      </c>
    </row>
    <row r="16" spans="1:4" ht="0.75" customHeight="1">
      <c r="A16" s="529" t="s">
        <v>1248</v>
      </c>
      <c r="B16" s="537" t="s">
        <v>1249</v>
      </c>
      <c r="C16" s="557">
        <f>C17+C20</f>
        <v>0</v>
      </c>
      <c r="D16" s="536"/>
    </row>
    <row r="17" spans="1:4" ht="26.25" customHeight="1" hidden="1">
      <c r="A17" s="534" t="s">
        <v>1250</v>
      </c>
      <c r="B17" s="535" t="s">
        <v>1251</v>
      </c>
      <c r="C17" s="557">
        <f>C18</f>
        <v>0</v>
      </c>
      <c r="D17" s="536"/>
    </row>
    <row r="18" spans="1:4" ht="39" customHeight="1" hidden="1">
      <c r="A18" s="538" t="s">
        <v>1252</v>
      </c>
      <c r="B18" s="535" t="s">
        <v>1253</v>
      </c>
      <c r="C18" s="557">
        <v>0</v>
      </c>
      <c r="D18" s="536"/>
    </row>
    <row r="19" spans="1:4" ht="39" customHeight="1" hidden="1">
      <c r="A19" s="538" t="s">
        <v>1254</v>
      </c>
      <c r="B19" s="539" t="s">
        <v>1255</v>
      </c>
      <c r="C19" s="557">
        <v>0</v>
      </c>
      <c r="D19" s="536"/>
    </row>
    <row r="20" spans="1:4" ht="39" customHeight="1" hidden="1">
      <c r="A20" s="538" t="s">
        <v>1256</v>
      </c>
      <c r="B20" s="539" t="s">
        <v>1257</v>
      </c>
      <c r="C20" s="557">
        <v>0</v>
      </c>
      <c r="D20" s="536"/>
    </row>
    <row r="21" spans="1:11" ht="42" customHeight="1">
      <c r="A21" s="529" t="s">
        <v>1258</v>
      </c>
      <c r="B21" s="540" t="s">
        <v>1259</v>
      </c>
      <c r="C21" s="558">
        <f>C22+C24</f>
        <v>-13537000</v>
      </c>
      <c r="D21" s="536">
        <f>D22+D24</f>
        <v>-3544.7309999999998</v>
      </c>
      <c r="J21" s="567"/>
      <c r="K21" s="567"/>
    </row>
    <row r="22" spans="1:11" ht="40.5" customHeight="1">
      <c r="A22" s="538" t="s">
        <v>1260</v>
      </c>
      <c r="B22" s="541" t="s">
        <v>1261</v>
      </c>
      <c r="C22" s="557">
        <f>C23</f>
        <v>0</v>
      </c>
      <c r="D22" s="536">
        <f>D23</f>
        <v>21657</v>
      </c>
      <c r="J22" s="570"/>
      <c r="K22" s="570"/>
    </row>
    <row r="23" spans="1:12" ht="52.5" customHeight="1">
      <c r="A23" s="538" t="s">
        <v>1262</v>
      </c>
      <c r="B23" s="541" t="s">
        <v>1263</v>
      </c>
      <c r="C23" s="557">
        <v>0</v>
      </c>
      <c r="D23" s="536">
        <v>21657</v>
      </c>
      <c r="G23" s="542"/>
      <c r="H23" s="524"/>
      <c r="I23" s="543"/>
      <c r="J23" s="543"/>
      <c r="K23" s="543"/>
      <c r="L23" s="5"/>
    </row>
    <row r="24" spans="1:10" ht="39.75" customHeight="1">
      <c r="A24" s="538" t="s">
        <v>1264</v>
      </c>
      <c r="B24" s="541" t="s">
        <v>1265</v>
      </c>
      <c r="C24" s="557">
        <v>-13537000</v>
      </c>
      <c r="D24" s="536">
        <f>D25</f>
        <v>-25201.731</v>
      </c>
      <c r="H24" s="524"/>
      <c r="J24" s="524"/>
    </row>
    <row r="25" spans="1:11" ht="52.5">
      <c r="A25" s="538" t="s">
        <v>1266</v>
      </c>
      <c r="B25" s="541" t="s">
        <v>1267</v>
      </c>
      <c r="C25" s="557">
        <v>-13537000</v>
      </c>
      <c r="D25" s="536">
        <v>-25201.731</v>
      </c>
      <c r="H25" s="524"/>
      <c r="K25"/>
    </row>
    <row r="26" spans="1:8" ht="25.5" customHeight="1">
      <c r="A26" s="529" t="s">
        <v>1268</v>
      </c>
      <c r="B26" s="530" t="s">
        <v>1269</v>
      </c>
      <c r="C26" s="558">
        <f>C27+C31</f>
        <v>15081804.590000033</v>
      </c>
      <c r="D26" s="536" t="e">
        <f>D27+D31</f>
        <v>#REF!</v>
      </c>
      <c r="H26" s="542"/>
    </row>
    <row r="27" spans="1:8" ht="14.25">
      <c r="A27" s="534" t="s">
        <v>1270</v>
      </c>
      <c r="B27" s="541" t="s">
        <v>1271</v>
      </c>
      <c r="C27" s="557">
        <f>C28</f>
        <v>-662997963.77</v>
      </c>
      <c r="D27" s="536">
        <f>D32</f>
        <v>0</v>
      </c>
      <c r="H27" s="524"/>
    </row>
    <row r="28" spans="1:8" ht="21" customHeight="1">
      <c r="A28" s="534" t="s">
        <v>1272</v>
      </c>
      <c r="B28" s="544" t="s">
        <v>1273</v>
      </c>
      <c r="C28" s="557">
        <f>C29</f>
        <v>-662997963.77</v>
      </c>
      <c r="D28" s="536"/>
      <c r="H28" s="542"/>
    </row>
    <row r="29" spans="1:4" ht="26.25">
      <c r="A29" s="534" t="s">
        <v>1274</v>
      </c>
      <c r="B29" s="541" t="s">
        <v>1275</v>
      </c>
      <c r="C29" s="557">
        <f>C30</f>
        <v>-662997963.77</v>
      </c>
      <c r="D29" s="536"/>
    </row>
    <row r="30" spans="1:8" ht="26.25">
      <c r="A30" s="534" t="s">
        <v>1276</v>
      </c>
      <c r="B30" s="541" t="s">
        <v>1277</v>
      </c>
      <c r="C30" s="557">
        <f>-660997963.77-C37</f>
        <v>-662997963.77</v>
      </c>
      <c r="D30" s="536"/>
      <c r="H30" s="542"/>
    </row>
    <row r="31" spans="1:4" ht="14.25" customHeight="1">
      <c r="A31" s="534" t="s">
        <v>1278</v>
      </c>
      <c r="B31" s="541" t="s">
        <v>1279</v>
      </c>
      <c r="C31" s="557">
        <f>C32</f>
        <v>678079768.36</v>
      </c>
      <c r="D31" s="536" t="e">
        <f>#REF!</f>
        <v>#REF!</v>
      </c>
    </row>
    <row r="32" spans="1:8" ht="14.25">
      <c r="A32" s="534" t="s">
        <v>1280</v>
      </c>
      <c r="B32" s="545" t="s">
        <v>1281</v>
      </c>
      <c r="C32" s="557">
        <f>C33</f>
        <v>678079768.36</v>
      </c>
      <c r="D32" s="536"/>
      <c r="H32" s="542"/>
    </row>
    <row r="33" spans="1:4" ht="26.25">
      <c r="A33" s="534" t="s">
        <v>1282</v>
      </c>
      <c r="B33" s="541" t="s">
        <v>1283</v>
      </c>
      <c r="C33" s="557">
        <f>C34</f>
        <v>678079768.36</v>
      </c>
      <c r="D33" s="536"/>
    </row>
    <row r="34" spans="1:10" ht="26.25">
      <c r="A34" s="534" t="s">
        <v>1284</v>
      </c>
      <c r="B34" s="541" t="s">
        <v>1285</v>
      </c>
      <c r="C34" s="557">
        <f>676079768.36-C44</f>
        <v>678079768.36</v>
      </c>
      <c r="D34" s="536">
        <v>274680.758</v>
      </c>
      <c r="H34" s="542"/>
      <c r="J34" s="16"/>
    </row>
    <row r="35" spans="1:3" ht="27">
      <c r="A35" s="546" t="s">
        <v>1286</v>
      </c>
      <c r="B35" s="547" t="s">
        <v>1287</v>
      </c>
      <c r="C35" s="561">
        <f>C36</f>
        <v>0</v>
      </c>
    </row>
    <row r="36" spans="1:3" ht="39.75">
      <c r="A36" s="546" t="s">
        <v>1288</v>
      </c>
      <c r="B36" s="547" t="s">
        <v>1289</v>
      </c>
      <c r="C36" s="561">
        <f>C37+C44</f>
        <v>0</v>
      </c>
    </row>
    <row r="37" spans="1:3" ht="27.75" customHeight="1">
      <c r="A37" s="548" t="s">
        <v>1290</v>
      </c>
      <c r="B37" s="549" t="s">
        <v>1291</v>
      </c>
      <c r="C37" s="562">
        <f>C41+C43</f>
        <v>2000000</v>
      </c>
    </row>
    <row r="38" spans="1:3" ht="55.5" customHeight="1">
      <c r="A38" s="548" t="s">
        <v>1292</v>
      </c>
      <c r="B38" s="549" t="s">
        <v>1293</v>
      </c>
      <c r="C38" s="562">
        <f>C39</f>
        <v>2000000</v>
      </c>
    </row>
    <row r="39" spans="1:3" ht="57">
      <c r="A39" s="548" t="s">
        <v>1294</v>
      </c>
      <c r="B39" s="549" t="s">
        <v>1295</v>
      </c>
      <c r="C39" s="562">
        <f>C40</f>
        <v>2000000</v>
      </c>
    </row>
    <row r="40" spans="1:3" ht="28.5">
      <c r="A40" s="548" t="s">
        <v>1296</v>
      </c>
      <c r="B40" s="549" t="s">
        <v>1297</v>
      </c>
      <c r="C40" s="562">
        <f>C41</f>
        <v>2000000</v>
      </c>
    </row>
    <row r="41" spans="1:3" ht="86.25">
      <c r="A41" s="548" t="s">
        <v>1298</v>
      </c>
      <c r="B41" s="549" t="s">
        <v>1299</v>
      </c>
      <c r="C41" s="562">
        <v>2000000</v>
      </c>
    </row>
    <row r="42" spans="1:3" ht="42">
      <c r="A42" s="548" t="s">
        <v>1300</v>
      </c>
      <c r="B42" s="550" t="s">
        <v>1301</v>
      </c>
      <c r="C42" s="562">
        <v>0</v>
      </c>
    </row>
    <row r="43" spans="1:3" ht="69">
      <c r="A43" s="548" t="s">
        <v>1302</v>
      </c>
      <c r="B43" s="550" t="s">
        <v>1303</v>
      </c>
      <c r="C43" s="562">
        <v>0</v>
      </c>
    </row>
    <row r="44" spans="1:3" ht="28.5">
      <c r="A44" s="548" t="s">
        <v>1304</v>
      </c>
      <c r="B44" s="549" t="s">
        <v>1305</v>
      </c>
      <c r="C44" s="562">
        <f>C45</f>
        <v>-2000000</v>
      </c>
    </row>
    <row r="45" spans="1:3" ht="42.75">
      <c r="A45" s="548" t="s">
        <v>1306</v>
      </c>
      <c r="B45" s="549" t="s">
        <v>1307</v>
      </c>
      <c r="C45" s="562">
        <f>C46</f>
        <v>-2000000</v>
      </c>
    </row>
    <row r="46" spans="1:3" ht="57">
      <c r="A46" s="548" t="s">
        <v>1308</v>
      </c>
      <c r="B46" s="549" t="s">
        <v>1309</v>
      </c>
      <c r="C46" s="562">
        <f>C47+C49</f>
        <v>-2000000</v>
      </c>
    </row>
    <row r="47" spans="1:3" ht="28.5">
      <c r="A47" s="548" t="s">
        <v>1310</v>
      </c>
      <c r="B47" s="549" t="s">
        <v>1297</v>
      </c>
      <c r="C47" s="562">
        <v>-2000000</v>
      </c>
    </row>
    <row r="48" spans="1:3" ht="28.5">
      <c r="A48" s="548" t="s">
        <v>1311</v>
      </c>
      <c r="B48" s="549" t="s">
        <v>1297</v>
      </c>
      <c r="C48" s="562">
        <v>-2000000</v>
      </c>
    </row>
    <row r="49" spans="1:3" ht="28.5">
      <c r="A49" s="548" t="s">
        <v>1312</v>
      </c>
      <c r="B49" s="549" t="s">
        <v>1313</v>
      </c>
      <c r="C49" s="562">
        <v>0</v>
      </c>
    </row>
    <row r="50" spans="1:3" ht="78" customHeight="1">
      <c r="A50" s="548" t="s">
        <v>1314</v>
      </c>
      <c r="B50" s="549" t="s">
        <v>1315</v>
      </c>
      <c r="C50" s="562">
        <v>0</v>
      </c>
    </row>
    <row r="61" ht="14.25">
      <c r="B61" s="16"/>
    </row>
    <row r="62" ht="14.25">
      <c r="B62" s="16"/>
    </row>
    <row r="69" ht="14.25">
      <c r="B69" s="16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8"/>
  <sheetViews>
    <sheetView view="pageBreakPreview" zoomScale="60" zoomScalePageLayoutView="0" workbookViewId="0" topLeftCell="A1">
      <selection activeCell="A23" sqref="A23"/>
    </sheetView>
  </sheetViews>
  <sheetFormatPr defaultColWidth="9.140625" defaultRowHeight="15"/>
  <cols>
    <col min="1" max="1" width="68.57421875" style="248" customWidth="1"/>
    <col min="2" max="2" width="16.57421875" style="263" customWidth="1"/>
    <col min="3" max="3" width="6.421875" style="354" customWidth="1"/>
    <col min="4" max="4" width="16.57421875" style="251" customWidth="1"/>
    <col min="5" max="5" width="17.28125" style="251" customWidth="1"/>
    <col min="6" max="6" width="18.140625" style="252" customWidth="1"/>
    <col min="7" max="7" width="18.00390625" style="252" customWidth="1"/>
    <col min="8" max="8" width="18.421875" style="252" customWidth="1"/>
    <col min="9" max="16384" width="9.140625" style="252" customWidth="1"/>
  </cols>
  <sheetData>
    <row r="1" spans="2:3" ht="15">
      <c r="B1" s="249" t="s">
        <v>490</v>
      </c>
      <c r="C1" s="250"/>
    </row>
    <row r="2" spans="2:7" ht="15.75" customHeight="1">
      <c r="B2" s="249" t="s">
        <v>491</v>
      </c>
      <c r="C2" s="250"/>
      <c r="F2" s="253"/>
      <c r="G2" s="253"/>
    </row>
    <row r="3" spans="2:7" ht="15">
      <c r="B3" s="254" t="s">
        <v>492</v>
      </c>
      <c r="C3" s="255"/>
      <c r="F3" s="253"/>
      <c r="G3" s="253"/>
    </row>
    <row r="4" spans="1:7" ht="18" customHeight="1">
      <c r="A4" s="256"/>
      <c r="B4" s="254" t="s">
        <v>493</v>
      </c>
      <c r="C4" s="255"/>
      <c r="F4" s="253"/>
      <c r="G4" s="253"/>
    </row>
    <row r="5" spans="1:9" ht="26.25" customHeight="1">
      <c r="A5" s="257"/>
      <c r="B5" s="603" t="s">
        <v>494</v>
      </c>
      <c r="C5" s="603"/>
      <c r="D5" s="603"/>
      <c r="E5" s="603"/>
      <c r="F5" s="257"/>
      <c r="G5" s="257"/>
      <c r="H5" s="257"/>
      <c r="I5" s="257"/>
    </row>
    <row r="6" spans="1:11" ht="24.75" customHeight="1">
      <c r="A6" s="258"/>
      <c r="B6" s="618" t="s">
        <v>495</v>
      </c>
      <c r="C6" s="618"/>
      <c r="D6" s="618"/>
      <c r="E6" s="618"/>
      <c r="F6" s="248"/>
      <c r="G6" s="248"/>
      <c r="H6" s="248"/>
      <c r="I6" s="248"/>
      <c r="J6" s="257"/>
      <c r="K6" s="257"/>
    </row>
    <row r="7" spans="2:9" ht="15">
      <c r="B7" s="259"/>
      <c r="C7" s="260"/>
      <c r="D7" s="261"/>
      <c r="E7" s="261"/>
      <c r="F7" s="262"/>
      <c r="G7" s="248"/>
      <c r="H7" s="248"/>
      <c r="I7" s="248"/>
    </row>
    <row r="8" spans="1:11" ht="54" customHeight="1">
      <c r="A8" s="611" t="s">
        <v>496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</row>
    <row r="9" spans="3:5" ht="17.25" customHeight="1">
      <c r="C9" s="264"/>
      <c r="D9" s="265"/>
      <c r="E9" s="265" t="s">
        <v>497</v>
      </c>
    </row>
    <row r="10" spans="1:6" ht="27" customHeight="1">
      <c r="A10" s="607" t="s">
        <v>498</v>
      </c>
      <c r="B10" s="619" t="s">
        <v>499</v>
      </c>
      <c r="C10" s="620" t="s">
        <v>500</v>
      </c>
      <c r="D10" s="605" t="s">
        <v>501</v>
      </c>
      <c r="E10" s="605" t="s">
        <v>502</v>
      </c>
      <c r="F10" s="266"/>
    </row>
    <row r="11" spans="1:5" ht="3.75" customHeight="1">
      <c r="A11" s="607"/>
      <c r="B11" s="619"/>
      <c r="C11" s="620"/>
      <c r="D11" s="605"/>
      <c r="E11" s="605"/>
    </row>
    <row r="12" spans="1:8" s="273" customFormat="1" ht="12.75" customHeight="1">
      <c r="A12" s="267">
        <v>1</v>
      </c>
      <c r="B12" s="268" t="s">
        <v>503</v>
      </c>
      <c r="C12" s="268" t="s">
        <v>504</v>
      </c>
      <c r="D12" s="269" t="s">
        <v>505</v>
      </c>
      <c r="E12" s="270">
        <v>5</v>
      </c>
      <c r="F12" s="271"/>
      <c r="G12" s="272"/>
      <c r="H12" s="272"/>
    </row>
    <row r="13" spans="1:8" s="280" customFormat="1" ht="21">
      <c r="A13" s="274" t="s">
        <v>506</v>
      </c>
      <c r="B13" s="275"/>
      <c r="C13" s="276"/>
      <c r="D13" s="277">
        <f>D15+D52+D101+D187+D194+D199+D210+D252+D284+D289+D297+D321+D350+D359+D368+D400+D406+D410+D416+D422+D431+D436+D463+D471+D386++D336+D391+D468+D14</f>
        <v>465236434</v>
      </c>
      <c r="E13" s="277">
        <f>E15+E52+E101+E187+E194+E199+E210+E252+E284+E289+E297+E321+E350+E359+E368+E400+E406+E410+E416+E422+E431+E436+E463+E471+E386++E336+E391+E468+E14</f>
        <v>443791859</v>
      </c>
      <c r="F13" s="265"/>
      <c r="G13" s="278"/>
      <c r="H13" s="279"/>
    </row>
    <row r="14" spans="1:8" s="280" customFormat="1" ht="21">
      <c r="A14" s="281" t="s">
        <v>507</v>
      </c>
      <c r="B14" s="275"/>
      <c r="C14" s="276"/>
      <c r="D14" s="282">
        <v>4400000</v>
      </c>
      <c r="E14" s="282">
        <v>8900000</v>
      </c>
      <c r="F14" s="283"/>
      <c r="G14" s="283"/>
      <c r="H14" s="279"/>
    </row>
    <row r="15" spans="1:8" ht="34.5" customHeight="1">
      <c r="A15" s="281" t="s">
        <v>508</v>
      </c>
      <c r="B15" s="275" t="s">
        <v>509</v>
      </c>
      <c r="C15" s="284"/>
      <c r="D15" s="277">
        <f>D16+D30+D38</f>
        <v>24070574</v>
      </c>
      <c r="E15" s="277">
        <f>E16+E30+E38</f>
        <v>24800700</v>
      </c>
      <c r="F15" s="285"/>
      <c r="G15" s="285"/>
      <c r="H15" s="286"/>
    </row>
    <row r="16" spans="1:8" ht="30" customHeight="1">
      <c r="A16" s="281" t="s">
        <v>510</v>
      </c>
      <c r="B16" s="275" t="s">
        <v>511</v>
      </c>
      <c r="C16" s="284"/>
      <c r="D16" s="277">
        <f>D17</f>
        <v>10758622</v>
      </c>
      <c r="E16" s="277">
        <f>E17</f>
        <v>12488748</v>
      </c>
      <c r="F16" s="286"/>
      <c r="G16" s="286"/>
      <c r="H16" s="286"/>
    </row>
    <row r="17" spans="1:8" ht="39" customHeight="1">
      <c r="A17" s="287" t="s">
        <v>512</v>
      </c>
      <c r="B17" s="275" t="s">
        <v>513</v>
      </c>
      <c r="C17" s="284"/>
      <c r="D17" s="277">
        <f>D18+D22+D26+D20</f>
        <v>10758622</v>
      </c>
      <c r="E17" s="277">
        <f>E18+E22+E26+E20</f>
        <v>12488748</v>
      </c>
      <c r="F17" s="286"/>
      <c r="G17" s="286"/>
      <c r="H17" s="286"/>
    </row>
    <row r="18" spans="1:5" ht="15" hidden="1">
      <c r="A18" s="288" t="s">
        <v>514</v>
      </c>
      <c r="B18" s="289" t="s">
        <v>515</v>
      </c>
      <c r="C18" s="284"/>
      <c r="D18" s="277">
        <f>D19</f>
        <v>0</v>
      </c>
      <c r="E18" s="277">
        <f>E19</f>
        <v>0</v>
      </c>
    </row>
    <row r="19" spans="1:5" ht="27" hidden="1">
      <c r="A19" s="290" t="s">
        <v>516</v>
      </c>
      <c r="B19" s="289" t="s">
        <v>515</v>
      </c>
      <c r="C19" s="284" t="s">
        <v>517</v>
      </c>
      <c r="D19" s="277"/>
      <c r="E19" s="277"/>
    </row>
    <row r="20" spans="1:5" ht="15" hidden="1">
      <c r="A20" s="291" t="s">
        <v>518</v>
      </c>
      <c r="B20" s="289" t="s">
        <v>519</v>
      </c>
      <c r="C20" s="284"/>
      <c r="D20" s="277">
        <f>D21</f>
        <v>0</v>
      </c>
      <c r="E20" s="277">
        <f>E21</f>
        <v>0</v>
      </c>
    </row>
    <row r="21" spans="1:5" ht="27" hidden="1">
      <c r="A21" s="290" t="s">
        <v>516</v>
      </c>
      <c r="B21" s="289" t="s">
        <v>519</v>
      </c>
      <c r="C21" s="284" t="s">
        <v>517</v>
      </c>
      <c r="D21" s="277"/>
      <c r="E21" s="277"/>
    </row>
    <row r="22" spans="1:5" ht="36.75" customHeight="1">
      <c r="A22" s="281" t="s">
        <v>520</v>
      </c>
      <c r="B22" s="289" t="s">
        <v>521</v>
      </c>
      <c r="C22" s="284"/>
      <c r="D22" s="277">
        <f>D23+D24+D25+D28</f>
        <v>10758622</v>
      </c>
      <c r="E22" s="277">
        <f>E23+E24+E25+E28</f>
        <v>12488748</v>
      </c>
    </row>
    <row r="23" spans="1:5" ht="39.75" customHeight="1">
      <c r="A23" s="290" t="s">
        <v>522</v>
      </c>
      <c r="B23" s="289" t="s">
        <v>521</v>
      </c>
      <c r="C23" s="284" t="s">
        <v>523</v>
      </c>
      <c r="D23" s="282">
        <v>9049474</v>
      </c>
      <c r="E23" s="282">
        <f>8779600+2000000</f>
        <v>10779600</v>
      </c>
    </row>
    <row r="24" spans="1:5" ht="27" customHeight="1">
      <c r="A24" s="290" t="s">
        <v>516</v>
      </c>
      <c r="B24" s="289" t="s">
        <v>521</v>
      </c>
      <c r="C24" s="284" t="s">
        <v>517</v>
      </c>
      <c r="D24" s="282">
        <v>1641748</v>
      </c>
      <c r="E24" s="282">
        <v>1641748</v>
      </c>
    </row>
    <row r="25" spans="1:5" ht="16.5" customHeight="1">
      <c r="A25" s="292" t="s">
        <v>524</v>
      </c>
      <c r="B25" s="289" t="s">
        <v>521</v>
      </c>
      <c r="C25" s="284" t="s">
        <v>525</v>
      </c>
      <c r="D25" s="282">
        <v>67400</v>
      </c>
      <c r="E25" s="282">
        <v>67400</v>
      </c>
    </row>
    <row r="26" spans="1:5" ht="15" hidden="1">
      <c r="A26" s="292" t="s">
        <v>526</v>
      </c>
      <c r="B26" s="289" t="s">
        <v>527</v>
      </c>
      <c r="C26" s="284"/>
      <c r="D26" s="277">
        <f>D27</f>
        <v>0</v>
      </c>
      <c r="E26" s="277">
        <f>E27</f>
        <v>0</v>
      </c>
    </row>
    <row r="27" spans="1:5" ht="30" customHeight="1" hidden="1">
      <c r="A27" s="290" t="s">
        <v>516</v>
      </c>
      <c r="B27" s="289" t="s">
        <v>527</v>
      </c>
      <c r="C27" s="284" t="s">
        <v>517</v>
      </c>
      <c r="D27" s="277"/>
      <c r="E27" s="277"/>
    </row>
    <row r="28" spans="1:5" ht="0.75" customHeight="1" hidden="1">
      <c r="A28" s="291" t="s">
        <v>528</v>
      </c>
      <c r="B28" s="275" t="s">
        <v>529</v>
      </c>
      <c r="C28" s="284"/>
      <c r="D28" s="293">
        <f>D29</f>
        <v>0</v>
      </c>
      <c r="E28" s="293">
        <f>E29</f>
        <v>0</v>
      </c>
    </row>
    <row r="29" spans="1:5" ht="26.25" hidden="1">
      <c r="A29" s="290" t="s">
        <v>516</v>
      </c>
      <c r="B29" s="275" t="s">
        <v>529</v>
      </c>
      <c r="C29" s="284" t="s">
        <v>517</v>
      </c>
      <c r="D29" s="293"/>
      <c r="E29" s="293"/>
    </row>
    <row r="30" spans="1:5" ht="30.75" customHeight="1">
      <c r="A30" s="281" t="s">
        <v>530</v>
      </c>
      <c r="B30" s="289" t="s">
        <v>531</v>
      </c>
      <c r="C30" s="284"/>
      <c r="D30" s="277">
        <f>D31</f>
        <v>8199300</v>
      </c>
      <c r="E30" s="277">
        <f>E31</f>
        <v>8199300</v>
      </c>
    </row>
    <row r="31" spans="1:5" ht="33.75" customHeight="1">
      <c r="A31" s="288" t="s">
        <v>532</v>
      </c>
      <c r="B31" s="289" t="s">
        <v>533</v>
      </c>
      <c r="C31" s="284"/>
      <c r="D31" s="277">
        <f>D32+D37</f>
        <v>8199300</v>
      </c>
      <c r="E31" s="277">
        <f>E32+E37</f>
        <v>8199300</v>
      </c>
    </row>
    <row r="32" spans="1:5" ht="27">
      <c r="A32" s="281" t="s">
        <v>520</v>
      </c>
      <c r="B32" s="289" t="s">
        <v>534</v>
      </c>
      <c r="C32" s="284"/>
      <c r="D32" s="277">
        <f>D33+D34+D35</f>
        <v>8199300</v>
      </c>
      <c r="E32" s="277">
        <f>E33+E34+E35</f>
        <v>8199300</v>
      </c>
    </row>
    <row r="33" spans="1:5" ht="39.75" customHeight="1">
      <c r="A33" s="290" t="s">
        <v>522</v>
      </c>
      <c r="B33" s="289" t="s">
        <v>534</v>
      </c>
      <c r="C33" s="284" t="s">
        <v>523</v>
      </c>
      <c r="D33" s="282">
        <v>7967000</v>
      </c>
      <c r="E33" s="282">
        <v>7967000</v>
      </c>
    </row>
    <row r="34" spans="1:5" ht="26.25">
      <c r="A34" s="290" t="s">
        <v>516</v>
      </c>
      <c r="B34" s="289" t="s">
        <v>534</v>
      </c>
      <c r="C34" s="284" t="s">
        <v>517</v>
      </c>
      <c r="D34" s="282">
        <v>230200</v>
      </c>
      <c r="E34" s="282">
        <v>230200</v>
      </c>
    </row>
    <row r="35" spans="1:5" ht="15" customHeight="1">
      <c r="A35" s="292" t="s">
        <v>524</v>
      </c>
      <c r="B35" s="289" t="s">
        <v>534</v>
      </c>
      <c r="C35" s="284" t="s">
        <v>525</v>
      </c>
      <c r="D35" s="282">
        <v>2100</v>
      </c>
      <c r="E35" s="282">
        <v>2100</v>
      </c>
    </row>
    <row r="36" spans="1:5" ht="15.75" customHeight="1" hidden="1">
      <c r="A36" s="292" t="s">
        <v>535</v>
      </c>
      <c r="B36" s="289" t="s">
        <v>536</v>
      </c>
      <c r="C36" s="284"/>
      <c r="D36" s="282">
        <f>D37</f>
        <v>0</v>
      </c>
      <c r="E36" s="282">
        <f>E37</f>
        <v>0</v>
      </c>
    </row>
    <row r="37" spans="1:5" ht="30.75" customHeight="1" hidden="1">
      <c r="A37" s="290" t="s">
        <v>516</v>
      </c>
      <c r="B37" s="289" t="s">
        <v>536</v>
      </c>
      <c r="C37" s="284" t="s">
        <v>517</v>
      </c>
      <c r="D37" s="282">
        <f>20000-20000</f>
        <v>0</v>
      </c>
      <c r="E37" s="282">
        <f>20000-20000</f>
        <v>0</v>
      </c>
    </row>
    <row r="38" spans="1:5" ht="42" customHeight="1">
      <c r="A38" s="281" t="s">
        <v>537</v>
      </c>
      <c r="B38" s="275" t="s">
        <v>538</v>
      </c>
      <c r="C38" s="284"/>
      <c r="D38" s="293">
        <f>D39+D44+D47</f>
        <v>5112652</v>
      </c>
      <c r="E38" s="293">
        <f>E39+E44+E47</f>
        <v>4112652</v>
      </c>
    </row>
    <row r="39" spans="1:5" ht="28.5" customHeight="1">
      <c r="A39" s="294" t="s">
        <v>539</v>
      </c>
      <c r="B39" s="275" t="s">
        <v>540</v>
      </c>
      <c r="C39" s="284"/>
      <c r="D39" s="277">
        <f>D40</f>
        <v>3643300</v>
      </c>
      <c r="E39" s="277">
        <f>E40</f>
        <v>2643300</v>
      </c>
    </row>
    <row r="40" spans="1:5" ht="26.25" customHeight="1">
      <c r="A40" s="281" t="s">
        <v>520</v>
      </c>
      <c r="B40" s="275" t="s">
        <v>541</v>
      </c>
      <c r="C40" s="284"/>
      <c r="D40" s="277">
        <f>D41+D42+D43</f>
        <v>3643300</v>
      </c>
      <c r="E40" s="277">
        <f>E41+E42+E43</f>
        <v>2643300</v>
      </c>
    </row>
    <row r="41" spans="1:5" ht="26.25" customHeight="1">
      <c r="A41" s="290" t="s">
        <v>522</v>
      </c>
      <c r="B41" s="275" t="s">
        <v>541</v>
      </c>
      <c r="C41" s="284" t="s">
        <v>523</v>
      </c>
      <c r="D41" s="282">
        <v>3411200</v>
      </c>
      <c r="E41" s="282">
        <v>2411200</v>
      </c>
    </row>
    <row r="42" spans="1:5" ht="27.75" customHeight="1">
      <c r="A42" s="290" t="s">
        <v>516</v>
      </c>
      <c r="B42" s="275" t="s">
        <v>541</v>
      </c>
      <c r="C42" s="284" t="s">
        <v>517</v>
      </c>
      <c r="D42" s="282">
        <v>230100</v>
      </c>
      <c r="E42" s="282">
        <v>230100</v>
      </c>
    </row>
    <row r="43" spans="1:5" ht="18.75" customHeight="1">
      <c r="A43" s="292" t="s">
        <v>524</v>
      </c>
      <c r="B43" s="275" t="s">
        <v>541</v>
      </c>
      <c r="C43" s="284" t="s">
        <v>525</v>
      </c>
      <c r="D43" s="282">
        <v>2000</v>
      </c>
      <c r="E43" s="282">
        <v>2000</v>
      </c>
    </row>
    <row r="44" spans="1:5" ht="42.75" customHeight="1">
      <c r="A44" s="295" t="s">
        <v>542</v>
      </c>
      <c r="B44" s="275" t="s">
        <v>543</v>
      </c>
      <c r="C44" s="284"/>
      <c r="D44" s="277">
        <f>D46</f>
        <v>52872</v>
      </c>
      <c r="E44" s="277">
        <f>E46</f>
        <v>52872</v>
      </c>
    </row>
    <row r="45" spans="1:5" ht="41.25" customHeight="1">
      <c r="A45" s="296" t="s">
        <v>544</v>
      </c>
      <c r="B45" s="275" t="s">
        <v>545</v>
      </c>
      <c r="C45" s="284"/>
      <c r="D45" s="277">
        <f>D46</f>
        <v>52872</v>
      </c>
      <c r="E45" s="277">
        <f>E46</f>
        <v>52872</v>
      </c>
    </row>
    <row r="46" spans="1:5" ht="46.5" customHeight="1">
      <c r="A46" s="290" t="s">
        <v>522</v>
      </c>
      <c r="B46" s="275" t="s">
        <v>545</v>
      </c>
      <c r="C46" s="284" t="s">
        <v>523</v>
      </c>
      <c r="D46" s="282">
        <v>52872</v>
      </c>
      <c r="E46" s="282">
        <v>52872</v>
      </c>
    </row>
    <row r="47" spans="1:5" ht="30.75" customHeight="1">
      <c r="A47" s="297" t="s">
        <v>546</v>
      </c>
      <c r="B47" s="275" t="s">
        <v>547</v>
      </c>
      <c r="C47" s="284"/>
      <c r="D47" s="277">
        <f>D48</f>
        <v>1416480</v>
      </c>
      <c r="E47" s="277">
        <f>E48</f>
        <v>1416480</v>
      </c>
    </row>
    <row r="48" spans="1:5" ht="30" customHeight="1">
      <c r="A48" s="291" t="s">
        <v>548</v>
      </c>
      <c r="B48" s="298" t="s">
        <v>549</v>
      </c>
      <c r="C48" s="284"/>
      <c r="D48" s="277">
        <f>D49</f>
        <v>1416480</v>
      </c>
      <c r="E48" s="277">
        <f>E49</f>
        <v>1416480</v>
      </c>
    </row>
    <row r="49" spans="1:5" ht="18.75" customHeight="1">
      <c r="A49" s="292" t="s">
        <v>550</v>
      </c>
      <c r="B49" s="298" t="s">
        <v>549</v>
      </c>
      <c r="C49" s="284" t="s">
        <v>551</v>
      </c>
      <c r="D49" s="282">
        <v>1416480</v>
      </c>
      <c r="E49" s="282">
        <v>1416480</v>
      </c>
    </row>
    <row r="50" spans="1:5" ht="16.5" customHeight="1" hidden="1">
      <c r="A50" s="299" t="s">
        <v>552</v>
      </c>
      <c r="B50" s="275" t="s">
        <v>553</v>
      </c>
      <c r="C50" s="284"/>
      <c r="D50" s="277">
        <f>D51</f>
        <v>0</v>
      </c>
      <c r="E50" s="277">
        <f>E51</f>
        <v>0</v>
      </c>
    </row>
    <row r="51" spans="1:5" ht="15.75" customHeight="1" hidden="1">
      <c r="A51" s="290" t="s">
        <v>554</v>
      </c>
      <c r="B51" s="275" t="s">
        <v>553</v>
      </c>
      <c r="C51" s="284" t="s">
        <v>517</v>
      </c>
      <c r="D51" s="277"/>
      <c r="E51" s="277"/>
    </row>
    <row r="52" spans="1:5" ht="30.75" customHeight="1">
      <c r="A52" s="281" t="s">
        <v>555</v>
      </c>
      <c r="B52" s="275" t="s">
        <v>556</v>
      </c>
      <c r="C52" s="284"/>
      <c r="D52" s="277">
        <f>D53+D76+D89</f>
        <v>24783223</v>
      </c>
      <c r="E52" s="277">
        <f>E53+E76+E89</f>
        <v>24783223</v>
      </c>
    </row>
    <row r="53" spans="1:5" ht="54.75" customHeight="1">
      <c r="A53" s="300" t="s">
        <v>557</v>
      </c>
      <c r="B53" s="275" t="s">
        <v>558</v>
      </c>
      <c r="C53" s="284"/>
      <c r="D53" s="277">
        <f>D54+D70+D73</f>
        <v>12616756</v>
      </c>
      <c r="E53" s="277">
        <f>E54+E70+E73</f>
        <v>12616756</v>
      </c>
    </row>
    <row r="54" spans="1:5" ht="30" customHeight="1">
      <c r="A54" s="300" t="s">
        <v>559</v>
      </c>
      <c r="B54" s="275" t="s">
        <v>560</v>
      </c>
      <c r="C54" s="284"/>
      <c r="D54" s="282">
        <f>D55+D58+D61+D64+D67</f>
        <v>12454025</v>
      </c>
      <c r="E54" s="282">
        <f>E55+E58+E61+E64+E67</f>
        <v>12454025</v>
      </c>
    </row>
    <row r="55" spans="1:5" ht="13.5">
      <c r="A55" s="281" t="s">
        <v>561</v>
      </c>
      <c r="B55" s="275" t="s">
        <v>562</v>
      </c>
      <c r="C55" s="284"/>
      <c r="D55" s="282">
        <f>D57+D56</f>
        <v>1556884</v>
      </c>
      <c r="E55" s="282">
        <f>E57+E56</f>
        <v>1556884</v>
      </c>
    </row>
    <row r="56" spans="1:5" ht="27" customHeight="1">
      <c r="A56" s="290" t="s">
        <v>516</v>
      </c>
      <c r="B56" s="275" t="s">
        <v>562</v>
      </c>
      <c r="C56" s="284" t="s">
        <v>517</v>
      </c>
      <c r="D56" s="282">
        <v>280</v>
      </c>
      <c r="E56" s="282">
        <v>280</v>
      </c>
    </row>
    <row r="57" spans="1:5" ht="19.5" customHeight="1">
      <c r="A57" s="301" t="s">
        <v>550</v>
      </c>
      <c r="B57" s="275" t="s">
        <v>562</v>
      </c>
      <c r="C57" s="284" t="s">
        <v>551</v>
      </c>
      <c r="D57" s="282">
        <v>1556604</v>
      </c>
      <c r="E57" s="282">
        <v>1556604</v>
      </c>
    </row>
    <row r="58" spans="1:5" ht="26.25">
      <c r="A58" s="296" t="s">
        <v>563</v>
      </c>
      <c r="B58" s="275" t="s">
        <v>564</v>
      </c>
      <c r="C58" s="284"/>
      <c r="D58" s="282">
        <f>D60+D59</f>
        <v>63415</v>
      </c>
      <c r="E58" s="282">
        <f>E60+E59</f>
        <v>63415</v>
      </c>
    </row>
    <row r="59" spans="1:5" ht="30.75" customHeight="1">
      <c r="A59" s="290" t="s">
        <v>516</v>
      </c>
      <c r="B59" s="275" t="s">
        <v>564</v>
      </c>
      <c r="C59" s="284" t="s">
        <v>517</v>
      </c>
      <c r="D59" s="282">
        <v>980</v>
      </c>
      <c r="E59" s="282">
        <v>980</v>
      </c>
    </row>
    <row r="60" spans="1:5" ht="17.25" customHeight="1">
      <c r="A60" s="301" t="s">
        <v>550</v>
      </c>
      <c r="B60" s="275" t="s">
        <v>564</v>
      </c>
      <c r="C60" s="284" t="s">
        <v>551</v>
      </c>
      <c r="D60" s="282">
        <v>62435</v>
      </c>
      <c r="E60" s="282">
        <v>62435</v>
      </c>
    </row>
    <row r="61" spans="1:5" ht="29.25" customHeight="1">
      <c r="A61" s="296" t="s">
        <v>565</v>
      </c>
      <c r="B61" s="275" t="s">
        <v>566</v>
      </c>
      <c r="C61" s="284"/>
      <c r="D61" s="282">
        <f>D63+D62</f>
        <v>295849</v>
      </c>
      <c r="E61" s="282">
        <f>E63+E62</f>
        <v>295849</v>
      </c>
    </row>
    <row r="62" spans="1:5" ht="31.5" customHeight="1">
      <c r="A62" s="290" t="s">
        <v>516</v>
      </c>
      <c r="B62" s="275" t="s">
        <v>566</v>
      </c>
      <c r="C62" s="284" t="s">
        <v>517</v>
      </c>
      <c r="D62" s="282">
        <v>5240</v>
      </c>
      <c r="E62" s="282">
        <v>5240</v>
      </c>
    </row>
    <row r="63" spans="1:5" ht="13.5">
      <c r="A63" s="301" t="s">
        <v>550</v>
      </c>
      <c r="B63" s="275" t="s">
        <v>566</v>
      </c>
      <c r="C63" s="284" t="s">
        <v>551</v>
      </c>
      <c r="D63" s="282">
        <v>290609</v>
      </c>
      <c r="E63" s="282">
        <v>290609</v>
      </c>
    </row>
    <row r="64" spans="1:5" ht="13.5">
      <c r="A64" s="281" t="s">
        <v>567</v>
      </c>
      <c r="B64" s="275" t="s">
        <v>568</v>
      </c>
      <c r="C64" s="284"/>
      <c r="D64" s="282">
        <f>D66+D65</f>
        <v>9062577</v>
      </c>
      <c r="E64" s="282">
        <f>E66+E65</f>
        <v>9062577</v>
      </c>
    </row>
    <row r="65" spans="1:5" ht="32.25" customHeight="1">
      <c r="A65" s="290" t="s">
        <v>516</v>
      </c>
      <c r="B65" s="275" t="s">
        <v>568</v>
      </c>
      <c r="C65" s="284" t="s">
        <v>517</v>
      </c>
      <c r="D65" s="282">
        <v>148440</v>
      </c>
      <c r="E65" s="282">
        <v>148440</v>
      </c>
    </row>
    <row r="66" spans="1:5" ht="19.5" customHeight="1">
      <c r="A66" s="301" t="s">
        <v>550</v>
      </c>
      <c r="B66" s="275" t="s">
        <v>568</v>
      </c>
      <c r="C66" s="284" t="s">
        <v>551</v>
      </c>
      <c r="D66" s="282">
        <v>8914137</v>
      </c>
      <c r="E66" s="282">
        <v>8914137</v>
      </c>
    </row>
    <row r="67" spans="1:5" ht="13.5">
      <c r="A67" s="281" t="s">
        <v>569</v>
      </c>
      <c r="B67" s="275" t="s">
        <v>570</v>
      </c>
      <c r="C67" s="284"/>
      <c r="D67" s="282">
        <f>D69+D68</f>
        <v>1475300</v>
      </c>
      <c r="E67" s="282">
        <f>E69+E68</f>
        <v>1475300</v>
      </c>
    </row>
    <row r="68" spans="1:5" ht="28.5" customHeight="1">
      <c r="A68" s="290" t="s">
        <v>516</v>
      </c>
      <c r="B68" s="275" t="s">
        <v>570</v>
      </c>
      <c r="C68" s="284" t="s">
        <v>517</v>
      </c>
      <c r="D68" s="282">
        <v>24490</v>
      </c>
      <c r="E68" s="282">
        <v>24490</v>
      </c>
    </row>
    <row r="69" spans="1:5" ht="21.75" customHeight="1">
      <c r="A69" s="301" t="s">
        <v>550</v>
      </c>
      <c r="B69" s="275" t="s">
        <v>570</v>
      </c>
      <c r="C69" s="284" t="s">
        <v>551</v>
      </c>
      <c r="D69" s="282">
        <v>1450810</v>
      </c>
      <c r="E69" s="282">
        <v>1450810</v>
      </c>
    </row>
    <row r="70" spans="1:5" ht="33" customHeight="1">
      <c r="A70" s="300" t="s">
        <v>571</v>
      </c>
      <c r="B70" s="275" t="s">
        <v>572</v>
      </c>
      <c r="C70" s="284"/>
      <c r="D70" s="282">
        <f>D71</f>
        <v>14000</v>
      </c>
      <c r="E70" s="282">
        <f>E71</f>
        <v>14000</v>
      </c>
    </row>
    <row r="71" spans="1:5" ht="15" customHeight="1">
      <c r="A71" s="290" t="s">
        <v>573</v>
      </c>
      <c r="B71" s="289" t="s">
        <v>574</v>
      </c>
      <c r="C71" s="284"/>
      <c r="D71" s="282">
        <f>D72</f>
        <v>14000</v>
      </c>
      <c r="E71" s="282">
        <f>E72</f>
        <v>14000</v>
      </c>
    </row>
    <row r="72" spans="1:5" ht="27.75" customHeight="1">
      <c r="A72" s="290" t="s">
        <v>516</v>
      </c>
      <c r="B72" s="289" t="s">
        <v>574</v>
      </c>
      <c r="C72" s="284" t="s">
        <v>517</v>
      </c>
      <c r="D72" s="282">
        <v>14000</v>
      </c>
      <c r="E72" s="282">
        <v>14000</v>
      </c>
    </row>
    <row r="73" spans="1:5" ht="27.75" customHeight="1">
      <c r="A73" s="297" t="s">
        <v>575</v>
      </c>
      <c r="B73" s="275" t="s">
        <v>576</v>
      </c>
      <c r="C73" s="284"/>
      <c r="D73" s="277">
        <f>D74</f>
        <v>148731</v>
      </c>
      <c r="E73" s="277">
        <f>E74</f>
        <v>148731</v>
      </c>
    </row>
    <row r="74" spans="1:5" ht="18.75" customHeight="1">
      <c r="A74" s="299" t="s">
        <v>577</v>
      </c>
      <c r="B74" s="275" t="s">
        <v>578</v>
      </c>
      <c r="C74" s="284"/>
      <c r="D74" s="277">
        <f>D75</f>
        <v>148731</v>
      </c>
      <c r="E74" s="277">
        <f>E75</f>
        <v>148731</v>
      </c>
    </row>
    <row r="75" spans="1:5" ht="18.75" customHeight="1">
      <c r="A75" s="292" t="s">
        <v>550</v>
      </c>
      <c r="B75" s="275" t="s">
        <v>578</v>
      </c>
      <c r="C75" s="284" t="s">
        <v>551</v>
      </c>
      <c r="D75" s="282">
        <v>148731</v>
      </c>
      <c r="E75" s="282">
        <v>148731</v>
      </c>
    </row>
    <row r="76" spans="1:5" ht="53.25" customHeight="1">
      <c r="A76" s="299" t="s">
        <v>579</v>
      </c>
      <c r="B76" s="302" t="s">
        <v>580</v>
      </c>
      <c r="C76" s="303"/>
      <c r="D76" s="293">
        <f>D77+D80+D86</f>
        <v>9957167</v>
      </c>
      <c r="E76" s="293">
        <f>E77+E80+E86</f>
        <v>9957167</v>
      </c>
    </row>
    <row r="77" spans="1:5" ht="42" customHeight="1">
      <c r="A77" s="288" t="s">
        <v>581</v>
      </c>
      <c r="B77" s="275" t="s">
        <v>582</v>
      </c>
      <c r="C77" s="284"/>
      <c r="D77" s="277">
        <f>D78</f>
        <v>9054167</v>
      </c>
      <c r="E77" s="277">
        <f>E78</f>
        <v>9054167</v>
      </c>
    </row>
    <row r="78" spans="1:5" ht="25.5" customHeight="1">
      <c r="A78" s="296" t="s">
        <v>583</v>
      </c>
      <c r="B78" s="275" t="s">
        <v>584</v>
      </c>
      <c r="C78" s="284"/>
      <c r="D78" s="277">
        <f>D79</f>
        <v>9054167</v>
      </c>
      <c r="E78" s="277">
        <f>E79</f>
        <v>9054167</v>
      </c>
    </row>
    <row r="79" spans="1:5" ht="13.5">
      <c r="A79" s="301" t="s">
        <v>550</v>
      </c>
      <c r="B79" s="275" t="s">
        <v>584</v>
      </c>
      <c r="C79" s="284" t="s">
        <v>551</v>
      </c>
      <c r="D79" s="282">
        <v>9054167</v>
      </c>
      <c r="E79" s="282">
        <v>9054167</v>
      </c>
    </row>
    <row r="80" spans="1:5" ht="42.75" customHeight="1">
      <c r="A80" s="304" t="s">
        <v>585</v>
      </c>
      <c r="B80" s="302" t="s">
        <v>586</v>
      </c>
      <c r="C80" s="303"/>
      <c r="D80" s="277">
        <f>D81+D84</f>
        <v>888000</v>
      </c>
      <c r="E80" s="277">
        <f>E81+E84</f>
        <v>888000</v>
      </c>
    </row>
    <row r="81" spans="1:5" ht="41.25" customHeight="1">
      <c r="A81" s="291" t="s">
        <v>587</v>
      </c>
      <c r="B81" s="302" t="s">
        <v>588</v>
      </c>
      <c r="C81" s="303"/>
      <c r="D81" s="277">
        <f>D82+D83</f>
        <v>888000</v>
      </c>
      <c r="E81" s="277">
        <f>E82+E83</f>
        <v>888000</v>
      </c>
    </row>
    <row r="82" spans="1:5" ht="39">
      <c r="A82" s="290" t="s">
        <v>522</v>
      </c>
      <c r="B82" s="302" t="s">
        <v>588</v>
      </c>
      <c r="C82" s="303" t="s">
        <v>523</v>
      </c>
      <c r="D82" s="282">
        <f>864600+11400</f>
        <v>876000</v>
      </c>
      <c r="E82" s="282">
        <f>864600+11400</f>
        <v>876000</v>
      </c>
    </row>
    <row r="83" spans="1:5" ht="26.25">
      <c r="A83" s="290" t="s">
        <v>516</v>
      </c>
      <c r="B83" s="302" t="s">
        <v>588</v>
      </c>
      <c r="C83" s="303" t="s">
        <v>517</v>
      </c>
      <c r="D83" s="282">
        <v>12000</v>
      </c>
      <c r="E83" s="282">
        <v>12000</v>
      </c>
    </row>
    <row r="84" spans="1:5" ht="66" hidden="1">
      <c r="A84" s="290" t="s">
        <v>589</v>
      </c>
      <c r="B84" s="302" t="s">
        <v>590</v>
      </c>
      <c r="C84" s="303"/>
      <c r="D84" s="277">
        <f>D85</f>
        <v>0</v>
      </c>
      <c r="E84" s="277">
        <f>E85</f>
        <v>0</v>
      </c>
    </row>
    <row r="85" spans="1:5" ht="27" hidden="1">
      <c r="A85" s="290" t="s">
        <v>516</v>
      </c>
      <c r="B85" s="302" t="s">
        <v>590</v>
      </c>
      <c r="C85" s="303" t="s">
        <v>517</v>
      </c>
      <c r="D85" s="277"/>
      <c r="E85" s="277"/>
    </row>
    <row r="86" spans="1:5" ht="31.5" customHeight="1">
      <c r="A86" s="305" t="s">
        <v>591</v>
      </c>
      <c r="B86" s="275" t="s">
        <v>592</v>
      </c>
      <c r="C86" s="284"/>
      <c r="D86" s="282">
        <f>D87</f>
        <v>15000</v>
      </c>
      <c r="E86" s="282">
        <f>E87</f>
        <v>15000</v>
      </c>
    </row>
    <row r="87" spans="1:5" ht="38.25" customHeight="1">
      <c r="A87" s="300" t="s">
        <v>593</v>
      </c>
      <c r="B87" s="289" t="s">
        <v>594</v>
      </c>
      <c r="C87" s="284"/>
      <c r="D87" s="282">
        <f>D88</f>
        <v>15000</v>
      </c>
      <c r="E87" s="282">
        <f>E88</f>
        <v>15000</v>
      </c>
    </row>
    <row r="88" spans="1:5" ht="26.25" customHeight="1">
      <c r="A88" s="290" t="s">
        <v>516</v>
      </c>
      <c r="B88" s="289" t="s">
        <v>594</v>
      </c>
      <c r="C88" s="284" t="s">
        <v>517</v>
      </c>
      <c r="D88" s="282">
        <v>15000</v>
      </c>
      <c r="E88" s="282">
        <v>15000</v>
      </c>
    </row>
    <row r="89" spans="1:5" ht="44.25" customHeight="1">
      <c r="A89" s="296" t="s">
        <v>595</v>
      </c>
      <c r="B89" s="275" t="s">
        <v>596</v>
      </c>
      <c r="C89" s="284"/>
      <c r="D89" s="277">
        <f>D90+D95</f>
        <v>2209300</v>
      </c>
      <c r="E89" s="277">
        <f>E90+E95</f>
        <v>2209300</v>
      </c>
    </row>
    <row r="90" spans="1:5" ht="30.75" customHeight="1">
      <c r="A90" s="296" t="s">
        <v>597</v>
      </c>
      <c r="B90" s="275" t="s">
        <v>598</v>
      </c>
      <c r="C90" s="284"/>
      <c r="D90" s="277">
        <f>D91+D93</f>
        <v>127300</v>
      </c>
      <c r="E90" s="277">
        <f>E91+E93</f>
        <v>127300</v>
      </c>
    </row>
    <row r="91" spans="1:5" ht="30" customHeight="1">
      <c r="A91" s="296" t="s">
        <v>599</v>
      </c>
      <c r="B91" s="275" t="s">
        <v>600</v>
      </c>
      <c r="C91" s="284"/>
      <c r="D91" s="277">
        <f>D92</f>
        <v>124300</v>
      </c>
      <c r="E91" s="277">
        <f>E92</f>
        <v>124300</v>
      </c>
    </row>
    <row r="92" spans="1:5" ht="32.25" customHeight="1">
      <c r="A92" s="290" t="s">
        <v>601</v>
      </c>
      <c r="B92" s="275" t="s">
        <v>600</v>
      </c>
      <c r="C92" s="303" t="s">
        <v>602</v>
      </c>
      <c r="D92" s="293">
        <f>122900+1400</f>
        <v>124300</v>
      </c>
      <c r="E92" s="293">
        <f>122900+1400</f>
        <v>124300</v>
      </c>
    </row>
    <row r="93" spans="1:5" ht="20.25" customHeight="1">
      <c r="A93" s="296" t="s">
        <v>603</v>
      </c>
      <c r="B93" s="275" t="s">
        <v>604</v>
      </c>
      <c r="C93" s="303"/>
      <c r="D93" s="277">
        <f>D94</f>
        <v>3000</v>
      </c>
      <c r="E93" s="277">
        <f>E94</f>
        <v>3000</v>
      </c>
    </row>
    <row r="94" spans="1:5" ht="32.25" customHeight="1">
      <c r="A94" s="290" t="s">
        <v>601</v>
      </c>
      <c r="B94" s="275" t="s">
        <v>604</v>
      </c>
      <c r="C94" s="303" t="s">
        <v>602</v>
      </c>
      <c r="D94" s="277">
        <v>3000</v>
      </c>
      <c r="E94" s="277">
        <v>3000</v>
      </c>
    </row>
    <row r="95" spans="1:5" ht="28.5" customHeight="1">
      <c r="A95" s="287" t="s">
        <v>605</v>
      </c>
      <c r="B95" s="302" t="s">
        <v>606</v>
      </c>
      <c r="C95" s="284"/>
      <c r="D95" s="293">
        <f>D96+D99</f>
        <v>2082000</v>
      </c>
      <c r="E95" s="293">
        <f>E96+E99</f>
        <v>2082000</v>
      </c>
    </row>
    <row r="96" spans="1:5" ht="30.75" customHeight="1">
      <c r="A96" s="296" t="s">
        <v>607</v>
      </c>
      <c r="B96" s="302" t="s">
        <v>608</v>
      </c>
      <c r="C96" s="284"/>
      <c r="D96" s="293">
        <f>D97+D98</f>
        <v>2072000</v>
      </c>
      <c r="E96" s="293">
        <f>E97+E98</f>
        <v>2072000</v>
      </c>
    </row>
    <row r="97" spans="1:5" ht="43.5" customHeight="1">
      <c r="A97" s="290" t="s">
        <v>522</v>
      </c>
      <c r="B97" s="302" t="s">
        <v>608</v>
      </c>
      <c r="C97" s="303" t="s">
        <v>523</v>
      </c>
      <c r="D97" s="282">
        <f>1524168+460299+300+60633+26600</f>
        <v>2072000</v>
      </c>
      <c r="E97" s="282">
        <f>1524168+460299+300+60633+26600</f>
        <v>2072000</v>
      </c>
    </row>
    <row r="98" spans="1:5" ht="26.25" hidden="1">
      <c r="A98" s="290" t="s">
        <v>516</v>
      </c>
      <c r="B98" s="302" t="s">
        <v>608</v>
      </c>
      <c r="C98" s="303" t="s">
        <v>517</v>
      </c>
      <c r="D98" s="282">
        <f>60633-60633</f>
        <v>0</v>
      </c>
      <c r="E98" s="282">
        <f>60633-60633</f>
        <v>0</v>
      </c>
    </row>
    <row r="99" spans="1:5" ht="17.25" customHeight="1">
      <c r="A99" s="305" t="s">
        <v>609</v>
      </c>
      <c r="B99" s="275" t="s">
        <v>610</v>
      </c>
      <c r="C99" s="303"/>
      <c r="D99" s="282">
        <f>D100</f>
        <v>10000</v>
      </c>
      <c r="E99" s="282">
        <f>E100</f>
        <v>10000</v>
      </c>
    </row>
    <row r="100" spans="1:5" ht="26.25">
      <c r="A100" s="290" t="s">
        <v>516</v>
      </c>
      <c r="B100" s="275" t="s">
        <v>610</v>
      </c>
      <c r="C100" s="303" t="s">
        <v>517</v>
      </c>
      <c r="D100" s="282">
        <v>10000</v>
      </c>
      <c r="E100" s="282">
        <v>10000</v>
      </c>
    </row>
    <row r="101" spans="1:8" ht="32.25" customHeight="1">
      <c r="A101" s="281" t="s">
        <v>611</v>
      </c>
      <c r="B101" s="275" t="s">
        <v>612</v>
      </c>
      <c r="C101" s="284"/>
      <c r="D101" s="277">
        <f>D102+D161+D176</f>
        <v>333397046</v>
      </c>
      <c r="E101" s="277">
        <f>E102+E161+E176</f>
        <v>334945046</v>
      </c>
      <c r="H101" s="306"/>
    </row>
    <row r="102" spans="1:5" s="308" customFormat="1" ht="41.25" customHeight="1">
      <c r="A102" s="307" t="s">
        <v>613</v>
      </c>
      <c r="B102" s="275" t="s">
        <v>614</v>
      </c>
      <c r="C102" s="284"/>
      <c r="D102" s="277">
        <f>D103+D126+D153</f>
        <v>294264717</v>
      </c>
      <c r="E102" s="277">
        <f>E103+E126+E153</f>
        <v>293264717</v>
      </c>
    </row>
    <row r="103" spans="1:5" ht="27.75" customHeight="1">
      <c r="A103" s="288" t="s">
        <v>615</v>
      </c>
      <c r="B103" s="309" t="s">
        <v>616</v>
      </c>
      <c r="C103" s="284"/>
      <c r="D103" s="293">
        <f>D104+D111+D118+D120+D122+D116+D115</f>
        <v>76641069</v>
      </c>
      <c r="E103" s="293">
        <f>E104+E111+E118+E120+E122+E116+E115</f>
        <v>75641069</v>
      </c>
    </row>
    <row r="104" spans="1:5" ht="18.75" customHeight="1">
      <c r="A104" s="296" t="s">
        <v>617</v>
      </c>
      <c r="B104" s="309" t="s">
        <v>618</v>
      </c>
      <c r="C104" s="284"/>
      <c r="D104" s="293">
        <f>D106+D105</f>
        <v>2080810</v>
      </c>
      <c r="E104" s="293">
        <f>E106+E105</f>
        <v>2080810</v>
      </c>
    </row>
    <row r="105" spans="1:5" ht="31.5" customHeight="1" hidden="1">
      <c r="A105" s="290" t="s">
        <v>516</v>
      </c>
      <c r="B105" s="309" t="s">
        <v>618</v>
      </c>
      <c r="C105" s="284" t="s">
        <v>517</v>
      </c>
      <c r="D105" s="282"/>
      <c r="E105" s="282"/>
    </row>
    <row r="106" spans="1:5" ht="17.25" customHeight="1">
      <c r="A106" s="301" t="s">
        <v>550</v>
      </c>
      <c r="B106" s="309" t="s">
        <v>618</v>
      </c>
      <c r="C106" s="284" t="s">
        <v>551</v>
      </c>
      <c r="D106" s="282">
        <v>2080810</v>
      </c>
      <c r="E106" s="282">
        <v>2080810</v>
      </c>
    </row>
    <row r="107" spans="1:5" ht="27" customHeight="1" hidden="1">
      <c r="A107" s="310" t="s">
        <v>619</v>
      </c>
      <c r="B107" s="275" t="s">
        <v>620</v>
      </c>
      <c r="C107" s="284"/>
      <c r="D107" s="277">
        <f>D108</f>
        <v>0</v>
      </c>
      <c r="E107" s="277">
        <f>E108</f>
        <v>0</v>
      </c>
    </row>
    <row r="108" spans="1:5" ht="16.5" customHeight="1" hidden="1">
      <c r="A108" s="290" t="s">
        <v>554</v>
      </c>
      <c r="B108" s="275" t="s">
        <v>620</v>
      </c>
      <c r="C108" s="284" t="s">
        <v>517</v>
      </c>
      <c r="D108" s="277"/>
      <c r="E108" s="277"/>
    </row>
    <row r="109" spans="1:5" ht="38.25" customHeight="1" hidden="1">
      <c r="A109" s="311" t="s">
        <v>621</v>
      </c>
      <c r="B109" s="275" t="s">
        <v>622</v>
      </c>
      <c r="C109" s="284"/>
      <c r="D109" s="277">
        <f>D110</f>
        <v>0</v>
      </c>
      <c r="E109" s="277">
        <f>E110</f>
        <v>0</v>
      </c>
    </row>
    <row r="110" spans="1:5" ht="15.75" customHeight="1" hidden="1">
      <c r="A110" s="290" t="s">
        <v>554</v>
      </c>
      <c r="B110" s="275" t="s">
        <v>622</v>
      </c>
      <c r="C110" s="284" t="s">
        <v>517</v>
      </c>
      <c r="D110" s="277"/>
      <c r="E110" s="277"/>
    </row>
    <row r="111" spans="1:5" ht="66" customHeight="1">
      <c r="A111" s="291" t="s">
        <v>623</v>
      </c>
      <c r="B111" s="275" t="s">
        <v>624</v>
      </c>
      <c r="C111" s="284"/>
      <c r="D111" s="293">
        <f>D112+D113</f>
        <v>39608388</v>
      </c>
      <c r="E111" s="293">
        <f>E112+E113</f>
        <v>39608388</v>
      </c>
    </row>
    <row r="112" spans="1:5" ht="42" customHeight="1">
      <c r="A112" s="312" t="s">
        <v>522</v>
      </c>
      <c r="B112" s="275" t="s">
        <v>624</v>
      </c>
      <c r="C112" s="284" t="s">
        <v>523</v>
      </c>
      <c r="D112" s="282">
        <v>39098886</v>
      </c>
      <c r="E112" s="282">
        <v>39098886</v>
      </c>
    </row>
    <row r="113" spans="1:5" ht="25.5" customHeight="1">
      <c r="A113" s="290" t="s">
        <v>516</v>
      </c>
      <c r="B113" s="275" t="s">
        <v>624</v>
      </c>
      <c r="C113" s="284" t="s">
        <v>517</v>
      </c>
      <c r="D113" s="282">
        <v>509502</v>
      </c>
      <c r="E113" s="282">
        <v>509502</v>
      </c>
    </row>
    <row r="114" spans="1:5" ht="13.5" hidden="1">
      <c r="A114" s="291" t="s">
        <v>625</v>
      </c>
      <c r="B114" s="275" t="s">
        <v>626</v>
      </c>
      <c r="C114" s="284"/>
      <c r="D114" s="293">
        <f>D115</f>
        <v>0</v>
      </c>
      <c r="E114" s="293">
        <f>E115</f>
        <v>0</v>
      </c>
    </row>
    <row r="115" spans="1:5" ht="13.5" hidden="1">
      <c r="A115" s="313" t="s">
        <v>516</v>
      </c>
      <c r="B115" s="275" t="s">
        <v>626</v>
      </c>
      <c r="C115" s="284" t="s">
        <v>517</v>
      </c>
      <c r="D115" s="293"/>
      <c r="E115" s="293"/>
    </row>
    <row r="116" spans="1:5" ht="0.75" customHeight="1" hidden="1">
      <c r="A116" s="291" t="s">
        <v>627</v>
      </c>
      <c r="B116" s="275" t="s">
        <v>628</v>
      </c>
      <c r="C116" s="284"/>
      <c r="D116" s="293">
        <f>D117</f>
        <v>0</v>
      </c>
      <c r="E116" s="293">
        <f>E117</f>
        <v>0</v>
      </c>
    </row>
    <row r="117" spans="1:5" ht="13.5" hidden="1">
      <c r="A117" s="313" t="s">
        <v>516</v>
      </c>
      <c r="B117" s="275" t="s">
        <v>628</v>
      </c>
      <c r="C117" s="284" t="s">
        <v>517</v>
      </c>
      <c r="D117" s="293">
        <f>175343-175343</f>
        <v>0</v>
      </c>
      <c r="E117" s="293">
        <f>175343-175343</f>
        <v>0</v>
      </c>
    </row>
    <row r="118" spans="1:5" ht="26.25" hidden="1">
      <c r="A118" s="291" t="s">
        <v>629</v>
      </c>
      <c r="B118" s="275" t="s">
        <v>630</v>
      </c>
      <c r="C118" s="284"/>
      <c r="D118" s="293">
        <f>D119</f>
        <v>0</v>
      </c>
      <c r="E118" s="293">
        <f>E119</f>
        <v>0</v>
      </c>
    </row>
    <row r="119" spans="1:5" ht="26.25" hidden="1">
      <c r="A119" s="290" t="s">
        <v>516</v>
      </c>
      <c r="B119" s="275" t="s">
        <v>630</v>
      </c>
      <c r="C119" s="284" t="s">
        <v>517</v>
      </c>
      <c r="D119" s="293"/>
      <c r="E119" s="293"/>
    </row>
    <row r="120" spans="1:5" ht="31.5" customHeight="1" hidden="1">
      <c r="A120" s="291" t="s">
        <v>631</v>
      </c>
      <c r="B120" s="275" t="s">
        <v>632</v>
      </c>
      <c r="C120" s="284"/>
      <c r="D120" s="282">
        <f>D121</f>
        <v>0</v>
      </c>
      <c r="E120" s="282">
        <f>E121</f>
        <v>0</v>
      </c>
    </row>
    <row r="121" spans="1:5" ht="26.25" hidden="1">
      <c r="A121" s="290" t="s">
        <v>516</v>
      </c>
      <c r="B121" s="275" t="s">
        <v>632</v>
      </c>
      <c r="C121" s="284" t="s">
        <v>517</v>
      </c>
      <c r="D121" s="282"/>
      <c r="E121" s="282"/>
    </row>
    <row r="122" spans="1:5" ht="17.25" customHeight="1">
      <c r="A122" s="288" t="s">
        <v>520</v>
      </c>
      <c r="B122" s="275" t="s">
        <v>633</v>
      </c>
      <c r="C122" s="284"/>
      <c r="D122" s="293">
        <f>D123+D124+D125</f>
        <v>34951871</v>
      </c>
      <c r="E122" s="293">
        <f>E123+E124+E125</f>
        <v>33951871</v>
      </c>
    </row>
    <row r="123" spans="1:5" ht="44.25" customHeight="1">
      <c r="A123" s="290" t="s">
        <v>522</v>
      </c>
      <c r="B123" s="275" t="s">
        <v>633</v>
      </c>
      <c r="C123" s="284" t="s">
        <v>523</v>
      </c>
      <c r="D123" s="282">
        <v>18202400</v>
      </c>
      <c r="E123" s="282">
        <v>17202400</v>
      </c>
    </row>
    <row r="124" spans="1:5" ht="30" customHeight="1">
      <c r="A124" s="290" t="s">
        <v>516</v>
      </c>
      <c r="B124" s="275" t="s">
        <v>633</v>
      </c>
      <c r="C124" s="284" t="s">
        <v>517</v>
      </c>
      <c r="D124" s="282">
        <v>14825086</v>
      </c>
      <c r="E124" s="282">
        <v>14825086</v>
      </c>
    </row>
    <row r="125" spans="1:5" ht="18" customHeight="1">
      <c r="A125" s="288" t="s">
        <v>524</v>
      </c>
      <c r="B125" s="275" t="s">
        <v>633</v>
      </c>
      <c r="C125" s="284" t="s">
        <v>525</v>
      </c>
      <c r="D125" s="282">
        <v>1924385</v>
      </c>
      <c r="E125" s="282">
        <v>1924385</v>
      </c>
    </row>
    <row r="126" spans="1:5" ht="34.5" customHeight="1">
      <c r="A126" s="288" t="s">
        <v>634</v>
      </c>
      <c r="B126" s="309" t="s">
        <v>635</v>
      </c>
      <c r="C126" s="284"/>
      <c r="D126" s="293">
        <f>D131+D134+D136+D138+D144+D146+D148+D151+D142+D127+D129</f>
        <v>198657640</v>
      </c>
      <c r="E126" s="293">
        <f>E131+E134+E136+E138+E144+E146+E148+E151+E142+E127+E129</f>
        <v>198657640</v>
      </c>
    </row>
    <row r="127" spans="1:5" ht="26.25" hidden="1">
      <c r="A127" s="288" t="s">
        <v>636</v>
      </c>
      <c r="B127" s="275" t="s">
        <v>637</v>
      </c>
      <c r="C127" s="284"/>
      <c r="D127" s="282">
        <f>D128</f>
        <v>0</v>
      </c>
      <c r="E127" s="282">
        <f>E128</f>
        <v>0</v>
      </c>
    </row>
    <row r="128" spans="1:5" ht="26.25" hidden="1">
      <c r="A128" s="290" t="s">
        <v>516</v>
      </c>
      <c r="B128" s="275" t="s">
        <v>637</v>
      </c>
      <c r="C128" s="284" t="s">
        <v>517</v>
      </c>
      <c r="D128" s="282"/>
      <c r="E128" s="282"/>
    </row>
    <row r="129" spans="1:5" ht="33.75" customHeight="1" hidden="1">
      <c r="A129" s="305" t="s">
        <v>638</v>
      </c>
      <c r="B129" s="275" t="s">
        <v>639</v>
      </c>
      <c r="C129" s="284"/>
      <c r="D129" s="282">
        <f>D130</f>
        <v>0</v>
      </c>
      <c r="E129" s="282">
        <f>E130</f>
        <v>0</v>
      </c>
    </row>
    <row r="130" spans="1:5" ht="26.25" hidden="1">
      <c r="A130" s="290" t="s">
        <v>516</v>
      </c>
      <c r="B130" s="275" t="s">
        <v>639</v>
      </c>
      <c r="C130" s="284" t="s">
        <v>517</v>
      </c>
      <c r="D130" s="282"/>
      <c r="E130" s="282"/>
    </row>
    <row r="131" spans="1:5" ht="73.5" customHeight="1">
      <c r="A131" s="291" t="s">
        <v>640</v>
      </c>
      <c r="B131" s="275" t="s">
        <v>641</v>
      </c>
      <c r="C131" s="284"/>
      <c r="D131" s="293">
        <f>D132+D133</f>
        <v>169901716</v>
      </c>
      <c r="E131" s="293">
        <f>E132+E133</f>
        <v>169901716</v>
      </c>
    </row>
    <row r="132" spans="1:5" ht="45" customHeight="1">
      <c r="A132" s="290" t="s">
        <v>522</v>
      </c>
      <c r="B132" s="275" t="s">
        <v>641</v>
      </c>
      <c r="C132" s="284" t="s">
        <v>523</v>
      </c>
      <c r="D132" s="282">
        <v>162981899</v>
      </c>
      <c r="E132" s="282">
        <v>162981899</v>
      </c>
    </row>
    <row r="133" spans="1:5" ht="30" customHeight="1">
      <c r="A133" s="290" t="s">
        <v>516</v>
      </c>
      <c r="B133" s="275" t="s">
        <v>641</v>
      </c>
      <c r="C133" s="284" t="s">
        <v>517</v>
      </c>
      <c r="D133" s="282">
        <v>6919817</v>
      </c>
      <c r="E133" s="282">
        <v>6919817</v>
      </c>
    </row>
    <row r="134" spans="1:5" ht="13.5" hidden="1">
      <c r="A134" s="291" t="s">
        <v>642</v>
      </c>
      <c r="B134" s="275" t="s">
        <v>643</v>
      </c>
      <c r="C134" s="284"/>
      <c r="D134" s="293">
        <f>D135</f>
        <v>0</v>
      </c>
      <c r="E134" s="293">
        <f>E135</f>
        <v>0</v>
      </c>
    </row>
    <row r="135" spans="1:5" ht="0.75" customHeight="1" hidden="1">
      <c r="A135" s="290" t="s">
        <v>516</v>
      </c>
      <c r="B135" s="275" t="s">
        <v>643</v>
      </c>
      <c r="C135" s="284" t="s">
        <v>517</v>
      </c>
      <c r="D135" s="293"/>
      <c r="E135" s="293"/>
    </row>
    <row r="136" spans="1:5" ht="13.5" hidden="1">
      <c r="A136" s="291" t="s">
        <v>644</v>
      </c>
      <c r="B136" s="275" t="s">
        <v>645</v>
      </c>
      <c r="C136" s="284"/>
      <c r="D136" s="293">
        <f>D137</f>
        <v>0</v>
      </c>
      <c r="E136" s="293">
        <f>E137</f>
        <v>0</v>
      </c>
    </row>
    <row r="137" spans="1:5" ht="26.25" hidden="1">
      <c r="A137" s="290" t="s">
        <v>516</v>
      </c>
      <c r="B137" s="275" t="s">
        <v>645</v>
      </c>
      <c r="C137" s="284" t="s">
        <v>517</v>
      </c>
      <c r="D137" s="293"/>
      <c r="E137" s="293"/>
    </row>
    <row r="138" spans="1:5" ht="52.5" hidden="1">
      <c r="A138" s="291" t="s">
        <v>646</v>
      </c>
      <c r="B138" s="275" t="s">
        <v>647</v>
      </c>
      <c r="C138" s="284"/>
      <c r="D138" s="293">
        <f>D139</f>
        <v>0</v>
      </c>
      <c r="E138" s="293">
        <f>E139</f>
        <v>0</v>
      </c>
    </row>
    <row r="139" spans="1:5" ht="28.5" customHeight="1" hidden="1">
      <c r="A139" s="290" t="s">
        <v>516</v>
      </c>
      <c r="B139" s="275" t="s">
        <v>647</v>
      </c>
      <c r="C139" s="284" t="s">
        <v>517</v>
      </c>
      <c r="D139" s="293"/>
      <c r="E139" s="293"/>
    </row>
    <row r="140" spans="1:5" ht="13.5" hidden="1">
      <c r="A140" s="291" t="s">
        <v>625</v>
      </c>
      <c r="B140" s="275" t="s">
        <v>648</v>
      </c>
      <c r="C140" s="284"/>
      <c r="D140" s="293">
        <f>D141</f>
        <v>0</v>
      </c>
      <c r="E140" s="293">
        <f>E141</f>
        <v>0</v>
      </c>
    </row>
    <row r="141" spans="1:5" ht="13.5" hidden="1">
      <c r="A141" s="313" t="s">
        <v>516</v>
      </c>
      <c r="B141" s="275" t="s">
        <v>648</v>
      </c>
      <c r="C141" s="284"/>
      <c r="D141" s="293"/>
      <c r="E141" s="293"/>
    </row>
    <row r="142" spans="1:5" ht="26.25" hidden="1">
      <c r="A142" s="291" t="s">
        <v>627</v>
      </c>
      <c r="B142" s="275" t="s">
        <v>649</v>
      </c>
      <c r="C142" s="284"/>
      <c r="D142" s="293">
        <f>D143</f>
        <v>0</v>
      </c>
      <c r="E142" s="293">
        <f>E143</f>
        <v>0</v>
      </c>
    </row>
    <row r="143" spans="1:5" ht="13.5" hidden="1">
      <c r="A143" s="313" t="s">
        <v>516</v>
      </c>
      <c r="B143" s="275" t="s">
        <v>649</v>
      </c>
      <c r="C143" s="284" t="s">
        <v>517</v>
      </c>
      <c r="D143" s="293">
        <f>1526555.5-1526555.5</f>
        <v>0</v>
      </c>
      <c r="E143" s="293">
        <f>1526555.5-1526555.5</f>
        <v>0</v>
      </c>
    </row>
    <row r="144" spans="1:5" ht="39" hidden="1">
      <c r="A144" s="291" t="s">
        <v>650</v>
      </c>
      <c r="B144" s="275" t="s">
        <v>651</v>
      </c>
      <c r="C144" s="284"/>
      <c r="D144" s="293">
        <f>D145</f>
        <v>0</v>
      </c>
      <c r="E144" s="293">
        <f>E145</f>
        <v>0</v>
      </c>
    </row>
    <row r="145" spans="1:5" ht="26.25" hidden="1">
      <c r="A145" s="290" t="s">
        <v>516</v>
      </c>
      <c r="B145" s="275" t="s">
        <v>651</v>
      </c>
      <c r="C145" s="284" t="s">
        <v>517</v>
      </c>
      <c r="D145" s="293"/>
      <c r="E145" s="293"/>
    </row>
    <row r="146" spans="1:5" ht="13.5" hidden="1">
      <c r="A146" s="310" t="s">
        <v>652</v>
      </c>
      <c r="B146" s="275" t="s">
        <v>653</v>
      </c>
      <c r="C146" s="284"/>
      <c r="D146" s="293">
        <f>D147</f>
        <v>0</v>
      </c>
      <c r="E146" s="293">
        <f>E147</f>
        <v>0</v>
      </c>
    </row>
    <row r="147" spans="1:5" ht="47.25" customHeight="1" hidden="1">
      <c r="A147" s="290" t="s">
        <v>522</v>
      </c>
      <c r="B147" s="275" t="s">
        <v>653</v>
      </c>
      <c r="C147" s="284" t="s">
        <v>523</v>
      </c>
      <c r="D147" s="282"/>
      <c r="E147" s="282"/>
    </row>
    <row r="148" spans="1:5" ht="17.25" customHeight="1">
      <c r="A148" s="288" t="s">
        <v>520</v>
      </c>
      <c r="B148" s="275" t="s">
        <v>654</v>
      </c>
      <c r="C148" s="284"/>
      <c r="D148" s="293">
        <f>D149+D150</f>
        <v>28755924</v>
      </c>
      <c r="E148" s="293">
        <f>E149+E150</f>
        <v>28755924</v>
      </c>
    </row>
    <row r="149" spans="1:5" ht="27.75" customHeight="1">
      <c r="A149" s="290" t="s">
        <v>516</v>
      </c>
      <c r="B149" s="275" t="s">
        <v>654</v>
      </c>
      <c r="C149" s="284" t="s">
        <v>517</v>
      </c>
      <c r="D149" s="282">
        <v>26683186</v>
      </c>
      <c r="E149" s="282">
        <v>26683186</v>
      </c>
    </row>
    <row r="150" spans="1:5" ht="16.5" customHeight="1">
      <c r="A150" s="288" t="s">
        <v>524</v>
      </c>
      <c r="B150" s="275" t="s">
        <v>654</v>
      </c>
      <c r="C150" s="284" t="s">
        <v>525</v>
      </c>
      <c r="D150" s="282">
        <v>2072738</v>
      </c>
      <c r="E150" s="282">
        <v>2072738</v>
      </c>
    </row>
    <row r="151" spans="1:5" ht="21" customHeight="1" hidden="1">
      <c r="A151" s="290" t="s">
        <v>655</v>
      </c>
      <c r="B151" s="275" t="s">
        <v>656</v>
      </c>
      <c r="C151" s="284"/>
      <c r="D151" s="282">
        <f>D152</f>
        <v>0</v>
      </c>
      <c r="E151" s="282">
        <f>E152</f>
        <v>0</v>
      </c>
    </row>
    <row r="152" spans="1:5" ht="30.75" customHeight="1" hidden="1">
      <c r="A152" s="290" t="s">
        <v>516</v>
      </c>
      <c r="B152" s="275" t="s">
        <v>656</v>
      </c>
      <c r="C152" s="284" t="s">
        <v>517</v>
      </c>
      <c r="D152" s="282"/>
      <c r="E152" s="282"/>
    </row>
    <row r="153" spans="1:5" ht="33" customHeight="1">
      <c r="A153" s="288" t="s">
        <v>657</v>
      </c>
      <c r="B153" s="275" t="s">
        <v>658</v>
      </c>
      <c r="C153" s="284"/>
      <c r="D153" s="293">
        <f>D158+D154+D156</f>
        <v>18966008</v>
      </c>
      <c r="E153" s="293">
        <f>E158+E154+E156</f>
        <v>18966008</v>
      </c>
    </row>
    <row r="154" spans="1:5" ht="33" customHeight="1" hidden="1">
      <c r="A154" s="291" t="s">
        <v>659</v>
      </c>
      <c r="B154" s="275" t="s">
        <v>660</v>
      </c>
      <c r="C154" s="284"/>
      <c r="D154" s="293">
        <f>D155</f>
        <v>0</v>
      </c>
      <c r="E154" s="293">
        <f>E155</f>
        <v>0</v>
      </c>
    </row>
    <row r="155" spans="1:5" ht="45" customHeight="1" hidden="1">
      <c r="A155" s="290" t="s">
        <v>522</v>
      </c>
      <c r="B155" s="275" t="s">
        <v>660</v>
      </c>
      <c r="C155" s="284" t="s">
        <v>523</v>
      </c>
      <c r="D155" s="293"/>
      <c r="E155" s="293"/>
    </row>
    <row r="156" spans="1:5" ht="26.25" customHeight="1" hidden="1">
      <c r="A156" s="291" t="s">
        <v>661</v>
      </c>
      <c r="B156" s="275" t="s">
        <v>662</v>
      </c>
      <c r="C156" s="284"/>
      <c r="D156" s="293">
        <f>D157</f>
        <v>0</v>
      </c>
      <c r="E156" s="293">
        <f>E157</f>
        <v>0</v>
      </c>
    </row>
    <row r="157" spans="1:5" ht="44.25" customHeight="1" hidden="1">
      <c r="A157" s="290" t="s">
        <v>522</v>
      </c>
      <c r="B157" s="275" t="s">
        <v>662</v>
      </c>
      <c r="C157" s="284" t="s">
        <v>523</v>
      </c>
      <c r="D157" s="293">
        <f>100000-100000</f>
        <v>0</v>
      </c>
      <c r="E157" s="293">
        <f>100000-100000</f>
        <v>0</v>
      </c>
    </row>
    <row r="158" spans="1:5" ht="58.5" customHeight="1">
      <c r="A158" s="291" t="s">
        <v>663</v>
      </c>
      <c r="B158" s="275" t="s">
        <v>664</v>
      </c>
      <c r="C158" s="284"/>
      <c r="D158" s="277">
        <f>D159+D160</f>
        <v>18966008</v>
      </c>
      <c r="E158" s="277">
        <f>E159+E160</f>
        <v>18966008</v>
      </c>
    </row>
    <row r="159" spans="1:5" ht="33" customHeight="1" hidden="1">
      <c r="A159" s="290" t="s">
        <v>516</v>
      </c>
      <c r="B159" s="275" t="s">
        <v>664</v>
      </c>
      <c r="C159" s="284" t="s">
        <v>517</v>
      </c>
      <c r="D159" s="293"/>
      <c r="E159" s="293"/>
    </row>
    <row r="160" spans="1:5" ht="15.75" customHeight="1">
      <c r="A160" s="301" t="s">
        <v>550</v>
      </c>
      <c r="B160" s="275" t="s">
        <v>664</v>
      </c>
      <c r="C160" s="284" t="s">
        <v>551</v>
      </c>
      <c r="D160" s="282">
        <v>18966008</v>
      </c>
      <c r="E160" s="282">
        <v>18966008</v>
      </c>
    </row>
    <row r="161" spans="1:5" s="308" customFormat="1" ht="48" customHeight="1">
      <c r="A161" s="290" t="s">
        <v>665</v>
      </c>
      <c r="B161" s="275" t="s">
        <v>666</v>
      </c>
      <c r="C161" s="284"/>
      <c r="D161" s="293">
        <f>D162+D167+D172</f>
        <v>32783463</v>
      </c>
      <c r="E161" s="293">
        <f>E162+E167+E172</f>
        <v>35331463</v>
      </c>
    </row>
    <row r="162" spans="1:5" ht="36.75" customHeight="1">
      <c r="A162" s="288" t="s">
        <v>667</v>
      </c>
      <c r="B162" s="275" t="s">
        <v>668</v>
      </c>
      <c r="C162" s="284"/>
      <c r="D162" s="293">
        <f>D163</f>
        <v>14612063</v>
      </c>
      <c r="E162" s="293">
        <f>E163</f>
        <v>15160063</v>
      </c>
    </row>
    <row r="163" spans="1:5" ht="15.75" customHeight="1">
      <c r="A163" s="288" t="s">
        <v>520</v>
      </c>
      <c r="B163" s="275" t="s">
        <v>669</v>
      </c>
      <c r="C163" s="284"/>
      <c r="D163" s="293">
        <f>D164+D165+D166</f>
        <v>14612063</v>
      </c>
      <c r="E163" s="293">
        <f>E164+E165+E166</f>
        <v>15160063</v>
      </c>
    </row>
    <row r="164" spans="1:5" ht="47.25" customHeight="1">
      <c r="A164" s="290" t="s">
        <v>522</v>
      </c>
      <c r="B164" s="275" t="s">
        <v>669</v>
      </c>
      <c r="C164" s="284" t="s">
        <v>523</v>
      </c>
      <c r="D164" s="282">
        <f>10400300+2452000+1000000</f>
        <v>13852300</v>
      </c>
      <c r="E164" s="282">
        <f>10400300+4000000</f>
        <v>14400300</v>
      </c>
    </row>
    <row r="165" spans="1:5" ht="33" customHeight="1">
      <c r="A165" s="290" t="s">
        <v>516</v>
      </c>
      <c r="B165" s="275" t="s">
        <v>669</v>
      </c>
      <c r="C165" s="284" t="s">
        <v>517</v>
      </c>
      <c r="D165" s="282">
        <v>644300</v>
      </c>
      <c r="E165" s="282">
        <v>644300</v>
      </c>
    </row>
    <row r="166" spans="1:5" ht="20.25" customHeight="1">
      <c r="A166" s="288" t="s">
        <v>524</v>
      </c>
      <c r="B166" s="275" t="s">
        <v>669</v>
      </c>
      <c r="C166" s="284" t="s">
        <v>525</v>
      </c>
      <c r="D166" s="282">
        <v>115463</v>
      </c>
      <c r="E166" s="282">
        <v>115463</v>
      </c>
    </row>
    <row r="167" spans="1:5" ht="19.5" customHeight="1">
      <c r="A167" s="288" t="s">
        <v>670</v>
      </c>
      <c r="B167" s="275" t="s">
        <v>671</v>
      </c>
      <c r="C167" s="284"/>
      <c r="D167" s="293">
        <f>D168</f>
        <v>16671400</v>
      </c>
      <c r="E167" s="293">
        <f>E168</f>
        <v>18671400</v>
      </c>
    </row>
    <row r="168" spans="1:5" ht="15.75" customHeight="1">
      <c r="A168" s="288" t="s">
        <v>520</v>
      </c>
      <c r="B168" s="275" t="s">
        <v>672</v>
      </c>
      <c r="C168" s="284"/>
      <c r="D168" s="293">
        <f>D169+D170+D171</f>
        <v>16671400</v>
      </c>
      <c r="E168" s="293">
        <f>E169+E170+E171</f>
        <v>18671400</v>
      </c>
    </row>
    <row r="169" spans="1:5" ht="45" customHeight="1">
      <c r="A169" s="290" t="s">
        <v>522</v>
      </c>
      <c r="B169" s="275" t="s">
        <v>672</v>
      </c>
      <c r="C169" s="284" t="s">
        <v>523</v>
      </c>
      <c r="D169" s="282">
        <v>15937600</v>
      </c>
      <c r="E169" s="282">
        <f>15937600+2000000</f>
        <v>17937600</v>
      </c>
    </row>
    <row r="170" spans="1:5" ht="27" customHeight="1">
      <c r="A170" s="290" t="s">
        <v>516</v>
      </c>
      <c r="B170" s="275" t="s">
        <v>672</v>
      </c>
      <c r="C170" s="284" t="s">
        <v>517</v>
      </c>
      <c r="D170" s="282">
        <v>688100</v>
      </c>
      <c r="E170" s="282">
        <v>688100</v>
      </c>
    </row>
    <row r="171" spans="1:5" ht="16.5" customHeight="1">
      <c r="A171" s="288" t="s">
        <v>524</v>
      </c>
      <c r="B171" s="275" t="s">
        <v>672</v>
      </c>
      <c r="C171" s="284" t="s">
        <v>525</v>
      </c>
      <c r="D171" s="282">
        <v>45700</v>
      </c>
      <c r="E171" s="282">
        <v>45700</v>
      </c>
    </row>
    <row r="172" spans="1:5" ht="29.25" customHeight="1">
      <c r="A172" s="300" t="s">
        <v>673</v>
      </c>
      <c r="B172" s="275" t="s">
        <v>674</v>
      </c>
      <c r="C172" s="284"/>
      <c r="D172" s="293">
        <f>D173</f>
        <v>1500000</v>
      </c>
      <c r="E172" s="293">
        <f>E173</f>
        <v>1500000</v>
      </c>
    </row>
    <row r="173" spans="1:5" ht="57" customHeight="1">
      <c r="A173" s="310" t="s">
        <v>675</v>
      </c>
      <c r="B173" s="275" t="s">
        <v>676</v>
      </c>
      <c r="C173" s="284"/>
      <c r="D173" s="293">
        <f>D174+D175</f>
        <v>1500000</v>
      </c>
      <c r="E173" s="293">
        <f>E174+E175</f>
        <v>1500000</v>
      </c>
    </row>
    <row r="174" spans="1:5" ht="26.25" hidden="1">
      <c r="A174" s="290" t="s">
        <v>516</v>
      </c>
      <c r="B174" s="275" t="s">
        <v>676</v>
      </c>
      <c r="C174" s="284" t="s">
        <v>517</v>
      </c>
      <c r="D174" s="293"/>
      <c r="E174" s="293"/>
    </row>
    <row r="175" spans="1:5" ht="19.5" customHeight="1">
      <c r="A175" s="301" t="s">
        <v>550</v>
      </c>
      <c r="B175" s="275" t="s">
        <v>676</v>
      </c>
      <c r="C175" s="284" t="s">
        <v>551</v>
      </c>
      <c r="D175" s="282">
        <v>1500000</v>
      </c>
      <c r="E175" s="282">
        <v>1500000</v>
      </c>
    </row>
    <row r="176" spans="1:5" s="308" customFormat="1" ht="43.5" customHeight="1">
      <c r="A176" s="314" t="s">
        <v>677</v>
      </c>
      <c r="B176" s="275" t="s">
        <v>678</v>
      </c>
      <c r="C176" s="284"/>
      <c r="D176" s="293">
        <f>D177+D182</f>
        <v>6348866</v>
      </c>
      <c r="E176" s="293">
        <f>E177+E182</f>
        <v>6348866</v>
      </c>
    </row>
    <row r="177" spans="1:5" ht="32.25" customHeight="1">
      <c r="A177" s="288" t="s">
        <v>679</v>
      </c>
      <c r="B177" s="275" t="s">
        <v>680</v>
      </c>
      <c r="C177" s="284"/>
      <c r="D177" s="293">
        <f>D178</f>
        <v>6125814</v>
      </c>
      <c r="E177" s="293">
        <f>E178</f>
        <v>6125814</v>
      </c>
    </row>
    <row r="178" spans="1:5" ht="18.75" customHeight="1">
      <c r="A178" s="288" t="s">
        <v>520</v>
      </c>
      <c r="B178" s="275" t="s">
        <v>681</v>
      </c>
      <c r="C178" s="284"/>
      <c r="D178" s="293">
        <f>D179+D180+D181</f>
        <v>6125814</v>
      </c>
      <c r="E178" s="293">
        <f>E179+E180+E181</f>
        <v>6125814</v>
      </c>
    </row>
    <row r="179" spans="1:5" ht="42" customHeight="1">
      <c r="A179" s="290" t="s">
        <v>522</v>
      </c>
      <c r="B179" s="275" t="s">
        <v>681</v>
      </c>
      <c r="C179" s="284" t="s">
        <v>523</v>
      </c>
      <c r="D179" s="282">
        <v>5573300</v>
      </c>
      <c r="E179" s="282">
        <v>5573300</v>
      </c>
    </row>
    <row r="180" spans="1:5" ht="27.75" customHeight="1">
      <c r="A180" s="290" t="s">
        <v>516</v>
      </c>
      <c r="B180" s="275" t="s">
        <v>681</v>
      </c>
      <c r="C180" s="284" t="s">
        <v>517</v>
      </c>
      <c r="D180" s="282">
        <v>517200</v>
      </c>
      <c r="E180" s="282">
        <v>517200</v>
      </c>
    </row>
    <row r="181" spans="1:5" ht="16.5" customHeight="1">
      <c r="A181" s="288" t="s">
        <v>524</v>
      </c>
      <c r="B181" s="275" t="s">
        <v>681</v>
      </c>
      <c r="C181" s="284" t="s">
        <v>525</v>
      </c>
      <c r="D181" s="282">
        <v>35314</v>
      </c>
      <c r="E181" s="282">
        <v>35314</v>
      </c>
    </row>
    <row r="182" spans="1:5" ht="27.75" customHeight="1">
      <c r="A182" s="288" t="s">
        <v>682</v>
      </c>
      <c r="B182" s="275" t="s">
        <v>683</v>
      </c>
      <c r="C182" s="284"/>
      <c r="D182" s="293">
        <f>D183+D185</f>
        <v>223052</v>
      </c>
      <c r="E182" s="293">
        <f>E183+E185</f>
        <v>223052</v>
      </c>
    </row>
    <row r="183" spans="1:5" ht="28.5" customHeight="1">
      <c r="A183" s="296" t="s">
        <v>684</v>
      </c>
      <c r="B183" s="275" t="s">
        <v>685</v>
      </c>
      <c r="C183" s="284"/>
      <c r="D183" s="293">
        <f>D184</f>
        <v>223052</v>
      </c>
      <c r="E183" s="293">
        <f>E184</f>
        <v>223052</v>
      </c>
    </row>
    <row r="184" spans="1:5" ht="39" customHeight="1">
      <c r="A184" s="290" t="s">
        <v>522</v>
      </c>
      <c r="B184" s="275" t="s">
        <v>685</v>
      </c>
      <c r="C184" s="284" t="s">
        <v>523</v>
      </c>
      <c r="D184" s="282">
        <v>223052</v>
      </c>
      <c r="E184" s="282">
        <v>223052</v>
      </c>
    </row>
    <row r="185" spans="1:5" ht="16.5" customHeight="1" hidden="1">
      <c r="A185" s="290" t="s">
        <v>655</v>
      </c>
      <c r="B185" s="275" t="s">
        <v>686</v>
      </c>
      <c r="C185" s="284"/>
      <c r="D185" s="293">
        <f>D186</f>
        <v>0</v>
      </c>
      <c r="E185" s="293">
        <f>E186</f>
        <v>0</v>
      </c>
    </row>
    <row r="186" spans="1:5" ht="27" customHeight="1" hidden="1">
      <c r="A186" s="290" t="s">
        <v>516</v>
      </c>
      <c r="B186" s="275" t="s">
        <v>686</v>
      </c>
      <c r="C186" s="284" t="s">
        <v>517</v>
      </c>
      <c r="D186" s="293"/>
      <c r="E186" s="293"/>
    </row>
    <row r="187" spans="1:5" ht="43.5" customHeight="1">
      <c r="A187" s="314" t="s">
        <v>687</v>
      </c>
      <c r="B187" s="275" t="s">
        <v>688</v>
      </c>
      <c r="C187" s="284"/>
      <c r="D187" s="293">
        <f>D188</f>
        <v>200000</v>
      </c>
      <c r="E187" s="293">
        <f>E188</f>
        <v>200000</v>
      </c>
    </row>
    <row r="188" spans="1:5" s="308" customFormat="1" ht="54" customHeight="1">
      <c r="A188" s="315" t="s">
        <v>689</v>
      </c>
      <c r="B188" s="275" t="s">
        <v>690</v>
      </c>
      <c r="C188" s="284"/>
      <c r="D188" s="293">
        <f>D189</f>
        <v>200000</v>
      </c>
      <c r="E188" s="293">
        <f>E189</f>
        <v>200000</v>
      </c>
    </row>
    <row r="189" spans="1:5" s="308" customFormat="1" ht="44.25" customHeight="1">
      <c r="A189" s="288" t="s">
        <v>691</v>
      </c>
      <c r="B189" s="275" t="s">
        <v>692</v>
      </c>
      <c r="C189" s="284"/>
      <c r="D189" s="282">
        <f>D190+D192</f>
        <v>200000</v>
      </c>
      <c r="E189" s="282">
        <f>E190+E192</f>
        <v>200000</v>
      </c>
    </row>
    <row r="190" spans="1:5" ht="18" customHeight="1" hidden="1">
      <c r="A190" s="296" t="s">
        <v>693</v>
      </c>
      <c r="B190" s="275" t="s">
        <v>694</v>
      </c>
      <c r="C190" s="284"/>
      <c r="D190" s="282">
        <f>D191</f>
        <v>0</v>
      </c>
      <c r="E190" s="282">
        <f>E191</f>
        <v>0</v>
      </c>
    </row>
    <row r="191" spans="1:5" ht="27" customHeight="1" hidden="1">
      <c r="A191" s="290" t="s">
        <v>516</v>
      </c>
      <c r="B191" s="275" t="s">
        <v>694</v>
      </c>
      <c r="C191" s="284" t="s">
        <v>517</v>
      </c>
      <c r="D191" s="282"/>
      <c r="E191" s="282"/>
    </row>
    <row r="192" spans="1:5" ht="18.75" customHeight="1">
      <c r="A192" s="296" t="s">
        <v>695</v>
      </c>
      <c r="B192" s="275" t="s">
        <v>696</v>
      </c>
      <c r="C192" s="284"/>
      <c r="D192" s="282">
        <f>D193</f>
        <v>200000</v>
      </c>
      <c r="E192" s="282">
        <f>E193</f>
        <v>200000</v>
      </c>
    </row>
    <row r="193" spans="1:5" ht="25.5" customHeight="1">
      <c r="A193" s="290" t="s">
        <v>516</v>
      </c>
      <c r="B193" s="275" t="s">
        <v>696</v>
      </c>
      <c r="C193" s="284" t="s">
        <v>517</v>
      </c>
      <c r="D193" s="282">
        <v>200000</v>
      </c>
      <c r="E193" s="282">
        <v>200000</v>
      </c>
    </row>
    <row r="194" spans="1:5" ht="42.75" customHeight="1" hidden="1">
      <c r="A194" s="316" t="s">
        <v>697</v>
      </c>
      <c r="B194" s="298" t="s">
        <v>698</v>
      </c>
      <c r="C194" s="284"/>
      <c r="D194" s="277">
        <f>D195</f>
        <v>0</v>
      </c>
      <c r="E194" s="277">
        <f>E195</f>
        <v>0</v>
      </c>
    </row>
    <row r="195" spans="1:5" s="308" customFormat="1" ht="67.5" customHeight="1" hidden="1">
      <c r="A195" s="299" t="s">
        <v>699</v>
      </c>
      <c r="B195" s="298" t="s">
        <v>700</v>
      </c>
      <c r="C195" s="284"/>
      <c r="D195" s="277">
        <f>D197</f>
        <v>0</v>
      </c>
      <c r="E195" s="277">
        <f>E197</f>
        <v>0</v>
      </c>
    </row>
    <row r="196" spans="1:5" s="308" customFormat="1" ht="31.5" customHeight="1" hidden="1">
      <c r="A196" s="288" t="s">
        <v>701</v>
      </c>
      <c r="B196" s="298" t="s">
        <v>702</v>
      </c>
      <c r="C196" s="284"/>
      <c r="D196" s="277">
        <f>D197</f>
        <v>0</v>
      </c>
      <c r="E196" s="277">
        <f>E197</f>
        <v>0</v>
      </c>
    </row>
    <row r="197" spans="1:5" ht="15" hidden="1">
      <c r="A197" s="274" t="s">
        <v>703</v>
      </c>
      <c r="B197" s="298" t="s">
        <v>704</v>
      </c>
      <c r="C197" s="284"/>
      <c r="D197" s="277">
        <f>D198</f>
        <v>0</v>
      </c>
      <c r="E197" s="277">
        <f>E198</f>
        <v>0</v>
      </c>
    </row>
    <row r="198" spans="1:5" ht="27" hidden="1">
      <c r="A198" s="290" t="s">
        <v>516</v>
      </c>
      <c r="B198" s="298" t="s">
        <v>704</v>
      </c>
      <c r="C198" s="284" t="s">
        <v>517</v>
      </c>
      <c r="D198" s="277"/>
      <c r="E198" s="277"/>
    </row>
    <row r="199" spans="1:5" ht="39">
      <c r="A199" s="274" t="s">
        <v>705</v>
      </c>
      <c r="B199" s="298" t="s">
        <v>706</v>
      </c>
      <c r="C199" s="303"/>
      <c r="D199" s="293">
        <f>D200</f>
        <v>500000</v>
      </c>
      <c r="E199" s="293">
        <f>E200</f>
        <v>500000</v>
      </c>
    </row>
    <row r="200" spans="1:5" s="308" customFormat="1" ht="52.5">
      <c r="A200" s="317" t="s">
        <v>707</v>
      </c>
      <c r="B200" s="289" t="s">
        <v>708</v>
      </c>
      <c r="C200" s="303"/>
      <c r="D200" s="293">
        <f>D201</f>
        <v>500000</v>
      </c>
      <c r="E200" s="293">
        <f>E201</f>
        <v>500000</v>
      </c>
    </row>
    <row r="201" spans="1:5" ht="24.75" customHeight="1">
      <c r="A201" s="288" t="s">
        <v>709</v>
      </c>
      <c r="B201" s="289" t="s">
        <v>710</v>
      </c>
      <c r="C201" s="303"/>
      <c r="D201" s="293">
        <f>D202+D204+D206+D208</f>
        <v>500000</v>
      </c>
      <c r="E201" s="293">
        <f>E202+E204+E206+E208</f>
        <v>500000</v>
      </c>
    </row>
    <row r="202" spans="1:5" ht="39" hidden="1">
      <c r="A202" s="291" t="s">
        <v>711</v>
      </c>
      <c r="B202" s="289" t="s">
        <v>712</v>
      </c>
      <c r="C202" s="303"/>
      <c r="D202" s="293">
        <f>D203</f>
        <v>0</v>
      </c>
      <c r="E202" s="293">
        <f>E203</f>
        <v>0</v>
      </c>
    </row>
    <row r="203" spans="1:5" ht="13.5" hidden="1">
      <c r="A203" s="310" t="s">
        <v>713</v>
      </c>
      <c r="B203" s="289" t="s">
        <v>712</v>
      </c>
      <c r="C203" s="303" t="s">
        <v>714</v>
      </c>
      <c r="D203" s="293"/>
      <c r="E203" s="293"/>
    </row>
    <row r="204" spans="1:5" ht="52.5" hidden="1">
      <c r="A204" s="291" t="s">
        <v>715</v>
      </c>
      <c r="B204" s="289" t="s">
        <v>716</v>
      </c>
      <c r="C204" s="303"/>
      <c r="D204" s="293">
        <f>D205</f>
        <v>0</v>
      </c>
      <c r="E204" s="293">
        <f>E205</f>
        <v>0</v>
      </c>
    </row>
    <row r="205" spans="1:5" ht="13.5" hidden="1">
      <c r="A205" s="310" t="s">
        <v>713</v>
      </c>
      <c r="B205" s="289" t="s">
        <v>716</v>
      </c>
      <c r="C205" s="303" t="s">
        <v>714</v>
      </c>
      <c r="D205" s="293"/>
      <c r="E205" s="293"/>
    </row>
    <row r="206" spans="1:5" ht="26.25" hidden="1">
      <c r="A206" s="305" t="s">
        <v>717</v>
      </c>
      <c r="B206" s="289" t="s">
        <v>718</v>
      </c>
      <c r="C206" s="303"/>
      <c r="D206" s="293">
        <f>D207</f>
        <v>0</v>
      </c>
      <c r="E206" s="293">
        <f>E207</f>
        <v>0</v>
      </c>
    </row>
    <row r="207" spans="1:5" ht="13.5" hidden="1">
      <c r="A207" s="310" t="s">
        <v>713</v>
      </c>
      <c r="B207" s="289" t="s">
        <v>718</v>
      </c>
      <c r="C207" s="303" t="s">
        <v>714</v>
      </c>
      <c r="D207" s="293"/>
      <c r="E207" s="293"/>
    </row>
    <row r="208" spans="1:5" ht="39">
      <c r="A208" s="318" t="s">
        <v>719</v>
      </c>
      <c r="B208" s="289" t="s">
        <v>720</v>
      </c>
      <c r="C208" s="303"/>
      <c r="D208" s="293">
        <f>D209</f>
        <v>500000</v>
      </c>
      <c r="E208" s="293">
        <f>E209</f>
        <v>500000</v>
      </c>
    </row>
    <row r="209" spans="1:5" ht="13.5">
      <c r="A209" s="310" t="s">
        <v>713</v>
      </c>
      <c r="B209" s="289" t="s">
        <v>720</v>
      </c>
      <c r="C209" s="303" t="s">
        <v>714</v>
      </c>
      <c r="D209" s="282">
        <f>970000-470000</f>
        <v>500000</v>
      </c>
      <c r="E209" s="282">
        <f>970000-470000</f>
        <v>500000</v>
      </c>
    </row>
    <row r="210" spans="1:5" ht="42" customHeight="1">
      <c r="A210" s="317" t="s">
        <v>721</v>
      </c>
      <c r="B210" s="319" t="s">
        <v>722</v>
      </c>
      <c r="C210" s="284"/>
      <c r="D210" s="277">
        <f>D222+D211</f>
        <v>830000</v>
      </c>
      <c r="E210" s="277">
        <f>E222+E211</f>
        <v>830000</v>
      </c>
    </row>
    <row r="211" spans="1:5" s="308" customFormat="1" ht="66" hidden="1">
      <c r="A211" s="320" t="s">
        <v>723</v>
      </c>
      <c r="B211" s="289" t="s">
        <v>724</v>
      </c>
      <c r="C211" s="303"/>
      <c r="D211" s="277">
        <f>D212+D215</f>
        <v>0</v>
      </c>
      <c r="E211" s="277">
        <f>E212+E215</f>
        <v>0</v>
      </c>
    </row>
    <row r="212" spans="1:5" ht="26.25" hidden="1">
      <c r="A212" s="288" t="s">
        <v>725</v>
      </c>
      <c r="B212" s="298" t="s">
        <v>726</v>
      </c>
      <c r="C212" s="303"/>
      <c r="D212" s="277">
        <f>D214</f>
        <v>0</v>
      </c>
      <c r="E212" s="277">
        <f>E214</f>
        <v>0</v>
      </c>
    </row>
    <row r="213" spans="1:5" ht="15" hidden="1">
      <c r="A213" s="310" t="s">
        <v>727</v>
      </c>
      <c r="B213" s="289" t="s">
        <v>728</v>
      </c>
      <c r="C213" s="303"/>
      <c r="D213" s="277">
        <f>D214</f>
        <v>0</v>
      </c>
      <c r="E213" s="277">
        <f>E214</f>
        <v>0</v>
      </c>
    </row>
    <row r="214" spans="1:5" ht="15" hidden="1">
      <c r="A214" s="310" t="s">
        <v>713</v>
      </c>
      <c r="B214" s="289" t="s">
        <v>728</v>
      </c>
      <c r="C214" s="303" t="s">
        <v>714</v>
      </c>
      <c r="D214" s="277"/>
      <c r="E214" s="277"/>
    </row>
    <row r="215" spans="1:5" ht="27" hidden="1">
      <c r="A215" s="281" t="s">
        <v>729</v>
      </c>
      <c r="B215" s="298" t="s">
        <v>730</v>
      </c>
      <c r="C215" s="303"/>
      <c r="D215" s="277">
        <f>D216</f>
        <v>0</v>
      </c>
      <c r="E215" s="277">
        <f>E216</f>
        <v>0</v>
      </c>
    </row>
    <row r="216" spans="1:5" ht="15" hidden="1">
      <c r="A216" s="296" t="s">
        <v>731</v>
      </c>
      <c r="B216" s="289" t="s">
        <v>732</v>
      </c>
      <c r="C216" s="303"/>
      <c r="D216" s="277">
        <f>D217</f>
        <v>0</v>
      </c>
      <c r="E216" s="277">
        <f>E217</f>
        <v>0</v>
      </c>
    </row>
    <row r="217" spans="1:5" ht="15" hidden="1">
      <c r="A217" s="310" t="s">
        <v>713</v>
      </c>
      <c r="B217" s="289" t="s">
        <v>732</v>
      </c>
      <c r="C217" s="303" t="s">
        <v>714</v>
      </c>
      <c r="D217" s="277"/>
      <c r="E217" s="277"/>
    </row>
    <row r="218" spans="1:5" ht="15" hidden="1">
      <c r="A218" s="310" t="s">
        <v>727</v>
      </c>
      <c r="B218" s="289" t="s">
        <v>733</v>
      </c>
      <c r="C218" s="303"/>
      <c r="D218" s="277">
        <f>D219</f>
        <v>0</v>
      </c>
      <c r="E218" s="277">
        <f>E219</f>
        <v>0</v>
      </c>
    </row>
    <row r="219" spans="1:5" ht="15" hidden="1">
      <c r="A219" s="310" t="s">
        <v>713</v>
      </c>
      <c r="B219" s="289" t="s">
        <v>733</v>
      </c>
      <c r="C219" s="303" t="s">
        <v>714</v>
      </c>
      <c r="D219" s="277"/>
      <c r="E219" s="277"/>
    </row>
    <row r="220" spans="1:5" ht="15" hidden="1">
      <c r="A220" s="310" t="s">
        <v>734</v>
      </c>
      <c r="B220" s="289" t="s">
        <v>735</v>
      </c>
      <c r="C220" s="303"/>
      <c r="D220" s="277">
        <f>D221</f>
        <v>0</v>
      </c>
      <c r="E220" s="277">
        <f>E221</f>
        <v>0</v>
      </c>
    </row>
    <row r="221" spans="1:5" ht="15" hidden="1">
      <c r="A221" s="310" t="s">
        <v>713</v>
      </c>
      <c r="B221" s="289" t="s">
        <v>735</v>
      </c>
      <c r="C221" s="303" t="s">
        <v>714</v>
      </c>
      <c r="D221" s="277"/>
      <c r="E221" s="277"/>
    </row>
    <row r="222" spans="1:5" s="308" customFormat="1" ht="62.25" customHeight="1">
      <c r="A222" s="299" t="s">
        <v>736</v>
      </c>
      <c r="B222" s="319" t="s">
        <v>737</v>
      </c>
      <c r="C222" s="284"/>
      <c r="D222" s="277">
        <f>D223+D230+D236+D245+D239</f>
        <v>830000</v>
      </c>
      <c r="E222" s="277">
        <f>E223+E230+E236+E245+E239</f>
        <v>830000</v>
      </c>
    </row>
    <row r="223" spans="1:5" s="308" customFormat="1" ht="27" hidden="1">
      <c r="A223" s="321" t="s">
        <v>738</v>
      </c>
      <c r="B223" s="298" t="s">
        <v>739</v>
      </c>
      <c r="C223" s="303"/>
      <c r="D223" s="277">
        <f>D224+D226+D228</f>
        <v>0</v>
      </c>
      <c r="E223" s="277">
        <f>E224+E226+E228</f>
        <v>0</v>
      </c>
    </row>
    <row r="224" spans="1:5" s="308" customFormat="1" ht="39.75" hidden="1">
      <c r="A224" s="296" t="s">
        <v>740</v>
      </c>
      <c r="B224" s="298" t="s">
        <v>741</v>
      </c>
      <c r="C224" s="303"/>
      <c r="D224" s="277">
        <f>D225</f>
        <v>0</v>
      </c>
      <c r="E224" s="277">
        <f>E225</f>
        <v>0</v>
      </c>
    </row>
    <row r="225" spans="1:5" s="308" customFormat="1" ht="15" hidden="1">
      <c r="A225" s="310" t="s">
        <v>713</v>
      </c>
      <c r="B225" s="298" t="s">
        <v>741</v>
      </c>
      <c r="C225" s="303" t="s">
        <v>714</v>
      </c>
      <c r="D225" s="277"/>
      <c r="E225" s="277"/>
    </row>
    <row r="226" spans="1:5" s="308" customFormat="1" ht="27" hidden="1">
      <c r="A226" s="296" t="s">
        <v>742</v>
      </c>
      <c r="B226" s="298" t="s">
        <v>743</v>
      </c>
      <c r="C226" s="303"/>
      <c r="D226" s="277">
        <f>D227</f>
        <v>0</v>
      </c>
      <c r="E226" s="277">
        <f>E227</f>
        <v>0</v>
      </c>
    </row>
    <row r="227" spans="1:5" s="308" customFormat="1" ht="15" hidden="1">
      <c r="A227" s="310" t="s">
        <v>713</v>
      </c>
      <c r="B227" s="298" t="s">
        <v>743</v>
      </c>
      <c r="C227" s="303" t="s">
        <v>714</v>
      </c>
      <c r="D227" s="277"/>
      <c r="E227" s="277"/>
    </row>
    <row r="228" spans="1:5" s="308" customFormat="1" ht="27" hidden="1">
      <c r="A228" s="296" t="s">
        <v>742</v>
      </c>
      <c r="B228" s="298" t="s">
        <v>744</v>
      </c>
      <c r="C228" s="303"/>
      <c r="D228" s="277">
        <f>D229</f>
        <v>0</v>
      </c>
      <c r="E228" s="277">
        <f>E229</f>
        <v>0</v>
      </c>
    </row>
    <row r="229" spans="1:5" s="308" customFormat="1" ht="15" hidden="1">
      <c r="A229" s="310" t="s">
        <v>713</v>
      </c>
      <c r="B229" s="298" t="s">
        <v>744</v>
      </c>
      <c r="C229" s="303" t="s">
        <v>714</v>
      </c>
      <c r="D229" s="277"/>
      <c r="E229" s="277"/>
    </row>
    <row r="230" spans="1:5" s="308" customFormat="1" ht="26.25" hidden="1">
      <c r="A230" s="288" t="s">
        <v>745</v>
      </c>
      <c r="B230" s="298" t="s">
        <v>746</v>
      </c>
      <c r="C230" s="303"/>
      <c r="D230" s="277">
        <f>D231+D233</f>
        <v>0</v>
      </c>
      <c r="E230" s="277">
        <f>E231+E233</f>
        <v>0</v>
      </c>
    </row>
    <row r="231" spans="1:5" s="308" customFormat="1" ht="24" hidden="1">
      <c r="A231" s="322" t="s">
        <v>747</v>
      </c>
      <c r="B231" s="298" t="s">
        <v>748</v>
      </c>
      <c r="C231" s="303"/>
      <c r="D231" s="277">
        <f>D232</f>
        <v>0</v>
      </c>
      <c r="E231" s="277">
        <f>E232</f>
        <v>0</v>
      </c>
    </row>
    <row r="232" spans="1:5" s="308" customFormat="1" ht="15" hidden="1">
      <c r="A232" s="310" t="s">
        <v>713</v>
      </c>
      <c r="B232" s="298" t="s">
        <v>748</v>
      </c>
      <c r="C232" s="303" t="s">
        <v>714</v>
      </c>
      <c r="D232" s="277"/>
      <c r="E232" s="277"/>
    </row>
    <row r="233" spans="1:5" s="308" customFormat="1" ht="28.5" customHeight="1" hidden="1">
      <c r="A233" s="322" t="s">
        <v>749</v>
      </c>
      <c r="B233" s="298" t="s">
        <v>750</v>
      </c>
      <c r="C233" s="303"/>
      <c r="D233" s="277">
        <f>D235+D234</f>
        <v>0</v>
      </c>
      <c r="E233" s="277">
        <f>E235+E234</f>
        <v>0</v>
      </c>
    </row>
    <row r="234" spans="1:5" s="308" customFormat="1" ht="21" customHeight="1" hidden="1">
      <c r="A234" s="290" t="s">
        <v>751</v>
      </c>
      <c r="B234" s="298" t="s">
        <v>750</v>
      </c>
      <c r="C234" s="303" t="s">
        <v>752</v>
      </c>
      <c r="D234" s="277"/>
      <c r="E234" s="277"/>
    </row>
    <row r="235" spans="1:5" s="308" customFormat="1" ht="15" hidden="1">
      <c r="A235" s="310" t="s">
        <v>713</v>
      </c>
      <c r="B235" s="298" t="s">
        <v>750</v>
      </c>
      <c r="C235" s="303" t="s">
        <v>714</v>
      </c>
      <c r="D235" s="323"/>
      <c r="E235" s="323"/>
    </row>
    <row r="236" spans="1:5" s="308" customFormat="1" ht="30.75" customHeight="1">
      <c r="A236" s="288" t="s">
        <v>753</v>
      </c>
      <c r="B236" s="298" t="s">
        <v>754</v>
      </c>
      <c r="C236" s="303"/>
      <c r="D236" s="293">
        <f>D237</f>
        <v>500000</v>
      </c>
      <c r="E236" s="293">
        <f>E237</f>
        <v>500000</v>
      </c>
    </row>
    <row r="237" spans="1:5" s="308" customFormat="1" ht="39">
      <c r="A237" s="296" t="s">
        <v>755</v>
      </c>
      <c r="B237" s="298" t="s">
        <v>756</v>
      </c>
      <c r="C237" s="303"/>
      <c r="D237" s="293">
        <f>D238</f>
        <v>500000</v>
      </c>
      <c r="E237" s="293">
        <f>E238</f>
        <v>500000</v>
      </c>
    </row>
    <row r="238" spans="1:5" s="308" customFormat="1" ht="13.5">
      <c r="A238" s="310" t="s">
        <v>713</v>
      </c>
      <c r="B238" s="298" t="s">
        <v>756</v>
      </c>
      <c r="C238" s="303" t="s">
        <v>714</v>
      </c>
      <c r="D238" s="293">
        <v>500000</v>
      </c>
      <c r="E238" s="293">
        <v>500000</v>
      </c>
    </row>
    <row r="239" spans="1:5" s="308" customFormat="1" ht="0.75" customHeight="1" hidden="1">
      <c r="A239" s="290" t="s">
        <v>757</v>
      </c>
      <c r="B239" s="275" t="s">
        <v>758</v>
      </c>
      <c r="C239" s="303"/>
      <c r="D239" s="282">
        <f>D240+D242</f>
        <v>0</v>
      </c>
      <c r="E239" s="282">
        <f>E240+E242</f>
        <v>0</v>
      </c>
    </row>
    <row r="240" spans="1:5" s="308" customFormat="1" ht="26.25" hidden="1">
      <c r="A240" s="290" t="s">
        <v>759</v>
      </c>
      <c r="B240" s="275" t="s">
        <v>760</v>
      </c>
      <c r="C240" s="303"/>
      <c r="D240" s="282">
        <f>D241</f>
        <v>0</v>
      </c>
      <c r="E240" s="282">
        <f>E241</f>
        <v>0</v>
      </c>
    </row>
    <row r="241" spans="1:5" s="308" customFormat="1" ht="22.5" customHeight="1" hidden="1">
      <c r="A241" s="310" t="s">
        <v>713</v>
      </c>
      <c r="B241" s="275" t="s">
        <v>760</v>
      </c>
      <c r="C241" s="303" t="s">
        <v>714</v>
      </c>
      <c r="D241" s="282"/>
      <c r="E241" s="282"/>
    </row>
    <row r="242" spans="1:5" s="308" customFormat="1" ht="26.25" hidden="1">
      <c r="A242" s="310" t="s">
        <v>761</v>
      </c>
      <c r="B242" s="275" t="s">
        <v>762</v>
      </c>
      <c r="C242" s="303"/>
      <c r="D242" s="282">
        <f>D244+D243</f>
        <v>0</v>
      </c>
      <c r="E242" s="282">
        <f>E244+E243</f>
        <v>0</v>
      </c>
    </row>
    <row r="243" spans="1:5" s="308" customFormat="1" ht="26.25" hidden="1">
      <c r="A243" s="290" t="s">
        <v>516</v>
      </c>
      <c r="B243" s="275" t="s">
        <v>762</v>
      </c>
      <c r="C243" s="303" t="s">
        <v>517</v>
      </c>
      <c r="D243" s="282"/>
      <c r="E243" s="282"/>
    </row>
    <row r="244" spans="1:5" s="308" customFormat="1" ht="26.25" hidden="1">
      <c r="A244" s="310" t="s">
        <v>751</v>
      </c>
      <c r="B244" s="275" t="s">
        <v>762</v>
      </c>
      <c r="C244" s="303" t="s">
        <v>752</v>
      </c>
      <c r="D244" s="282"/>
      <c r="E244" s="282"/>
    </row>
    <row r="245" spans="1:5" s="308" customFormat="1" ht="29.25" customHeight="1">
      <c r="A245" s="288" t="s">
        <v>763</v>
      </c>
      <c r="B245" s="298" t="s">
        <v>764</v>
      </c>
      <c r="C245" s="303"/>
      <c r="D245" s="293">
        <f>D250+D247+D248</f>
        <v>330000</v>
      </c>
      <c r="E245" s="293">
        <f>E250+E247+E248</f>
        <v>330000</v>
      </c>
    </row>
    <row r="246" spans="1:5" s="308" customFormat="1" ht="30" customHeight="1" hidden="1">
      <c r="A246" s="288" t="s">
        <v>765</v>
      </c>
      <c r="B246" s="298" t="s">
        <v>766</v>
      </c>
      <c r="C246" s="303"/>
      <c r="D246" s="293">
        <f>D247</f>
        <v>0</v>
      </c>
      <c r="E246" s="293">
        <f>E247</f>
        <v>0</v>
      </c>
    </row>
    <row r="247" spans="1:5" s="308" customFormat="1" ht="13.5" hidden="1">
      <c r="A247" s="310" t="s">
        <v>713</v>
      </c>
      <c r="B247" s="298" t="s">
        <v>766</v>
      </c>
      <c r="C247" s="303" t="s">
        <v>714</v>
      </c>
      <c r="D247" s="293"/>
      <c r="E247" s="293"/>
    </row>
    <row r="248" spans="1:5" s="308" customFormat="1" ht="30" customHeight="1">
      <c r="A248" s="288" t="s">
        <v>767</v>
      </c>
      <c r="B248" s="298" t="s">
        <v>768</v>
      </c>
      <c r="C248" s="303"/>
      <c r="D248" s="293">
        <f>D249</f>
        <v>330000</v>
      </c>
      <c r="E248" s="293">
        <f>E249</f>
        <v>330000</v>
      </c>
    </row>
    <row r="249" spans="1:5" s="308" customFormat="1" ht="23.25" customHeight="1">
      <c r="A249" s="310" t="s">
        <v>713</v>
      </c>
      <c r="B249" s="298" t="s">
        <v>768</v>
      </c>
      <c r="C249" s="303" t="s">
        <v>714</v>
      </c>
      <c r="D249" s="282">
        <f>877632-547632</f>
        <v>330000</v>
      </c>
      <c r="E249" s="282">
        <f>877632-547632</f>
        <v>330000</v>
      </c>
    </row>
    <row r="250" spans="1:5" s="308" customFormat="1" ht="30" customHeight="1" hidden="1">
      <c r="A250" s="310" t="s">
        <v>769</v>
      </c>
      <c r="B250" s="298" t="s">
        <v>770</v>
      </c>
      <c r="C250" s="303"/>
      <c r="D250" s="293">
        <f>D251</f>
        <v>0</v>
      </c>
      <c r="E250" s="293">
        <f>E251</f>
        <v>0</v>
      </c>
    </row>
    <row r="251" spans="1:5" s="308" customFormat="1" ht="13.5" hidden="1">
      <c r="A251" s="310" t="s">
        <v>713</v>
      </c>
      <c r="B251" s="298" t="s">
        <v>770</v>
      </c>
      <c r="C251" s="303" t="s">
        <v>714</v>
      </c>
      <c r="D251" s="293">
        <f>400000-400000</f>
        <v>0</v>
      </c>
      <c r="E251" s="293">
        <f>400000-400000</f>
        <v>0</v>
      </c>
    </row>
    <row r="252" spans="1:5" ht="45" customHeight="1">
      <c r="A252" s="288" t="s">
        <v>771</v>
      </c>
      <c r="B252" s="289" t="s">
        <v>772</v>
      </c>
      <c r="C252" s="284"/>
      <c r="D252" s="293">
        <f>D253+D258+D268</f>
        <v>3531909</v>
      </c>
      <c r="E252" s="293">
        <f>E253+E258+E268</f>
        <v>3337190</v>
      </c>
    </row>
    <row r="253" spans="1:5" s="308" customFormat="1" ht="63" customHeight="1">
      <c r="A253" s="288" t="s">
        <v>773</v>
      </c>
      <c r="B253" s="289" t="s">
        <v>774</v>
      </c>
      <c r="C253" s="324"/>
      <c r="D253" s="293">
        <f>D254</f>
        <v>85000</v>
      </c>
      <c r="E253" s="293">
        <f>E254</f>
        <v>85000</v>
      </c>
    </row>
    <row r="254" spans="1:5" ht="45" customHeight="1">
      <c r="A254" s="288" t="s">
        <v>775</v>
      </c>
      <c r="B254" s="289" t="s">
        <v>776</v>
      </c>
      <c r="C254" s="324"/>
      <c r="D254" s="293">
        <f>D255</f>
        <v>85000</v>
      </c>
      <c r="E254" s="293">
        <f>E255</f>
        <v>85000</v>
      </c>
    </row>
    <row r="255" spans="1:5" ht="15.75" customHeight="1">
      <c r="A255" s="288" t="s">
        <v>777</v>
      </c>
      <c r="B255" s="289" t="s">
        <v>778</v>
      </c>
      <c r="C255" s="324"/>
      <c r="D255" s="293">
        <f>D256+D257</f>
        <v>85000</v>
      </c>
      <c r="E255" s="293">
        <f>E256+E257</f>
        <v>85000</v>
      </c>
    </row>
    <row r="256" spans="1:5" s="308" customFormat="1" ht="26.25">
      <c r="A256" s="290" t="s">
        <v>516</v>
      </c>
      <c r="B256" s="289" t="s">
        <v>778</v>
      </c>
      <c r="C256" s="324" t="s">
        <v>517</v>
      </c>
      <c r="D256" s="293">
        <f>85000-20000</f>
        <v>65000</v>
      </c>
      <c r="E256" s="293">
        <f>85000-20000</f>
        <v>65000</v>
      </c>
    </row>
    <row r="257" spans="1:5" s="308" customFormat="1" ht="13.5">
      <c r="A257" s="281" t="s">
        <v>550</v>
      </c>
      <c r="B257" s="289" t="s">
        <v>778</v>
      </c>
      <c r="C257" s="324" t="s">
        <v>551</v>
      </c>
      <c r="D257" s="293">
        <f>20000</f>
        <v>20000</v>
      </c>
      <c r="E257" s="293">
        <f>20000</f>
        <v>20000</v>
      </c>
    </row>
    <row r="258" spans="1:5" s="308" customFormat="1" ht="68.25" customHeight="1">
      <c r="A258" s="299" t="s">
        <v>779</v>
      </c>
      <c r="B258" s="289" t="s">
        <v>780</v>
      </c>
      <c r="C258" s="284"/>
      <c r="D258" s="293">
        <f>D259+D263</f>
        <v>100000</v>
      </c>
      <c r="E258" s="293">
        <f>E259+E263</f>
        <v>100000</v>
      </c>
    </row>
    <row r="259" spans="1:5" s="308" customFormat="1" ht="44.25" customHeight="1">
      <c r="A259" s="299" t="s">
        <v>781</v>
      </c>
      <c r="B259" s="289" t="s">
        <v>782</v>
      </c>
      <c r="C259" s="284"/>
      <c r="D259" s="293">
        <f>D260</f>
        <v>100000</v>
      </c>
      <c r="E259" s="293">
        <f>E260</f>
        <v>100000</v>
      </c>
    </row>
    <row r="260" spans="1:5" ht="39">
      <c r="A260" s="281" t="s">
        <v>783</v>
      </c>
      <c r="B260" s="289" t="s">
        <v>784</v>
      </c>
      <c r="C260" s="284"/>
      <c r="D260" s="293">
        <f>D262+D261</f>
        <v>100000</v>
      </c>
      <c r="E260" s="293">
        <f>E262+E261</f>
        <v>100000</v>
      </c>
    </row>
    <row r="261" spans="1:5" ht="0.75" customHeight="1" hidden="1">
      <c r="A261" s="290" t="s">
        <v>522</v>
      </c>
      <c r="B261" s="289" t="s">
        <v>784</v>
      </c>
      <c r="C261" s="284" t="s">
        <v>523</v>
      </c>
      <c r="D261" s="293">
        <f>3195-3195</f>
        <v>0</v>
      </c>
      <c r="E261" s="293">
        <f>3195-3195</f>
        <v>0</v>
      </c>
    </row>
    <row r="262" spans="1:5" s="308" customFormat="1" ht="25.5" customHeight="1">
      <c r="A262" s="290" t="s">
        <v>516</v>
      </c>
      <c r="B262" s="289" t="s">
        <v>784</v>
      </c>
      <c r="C262" s="284" t="s">
        <v>517</v>
      </c>
      <c r="D262" s="293">
        <v>100000</v>
      </c>
      <c r="E262" s="293">
        <v>100000</v>
      </c>
    </row>
    <row r="263" spans="1:5" s="308" customFormat="1" ht="41.25" customHeight="1" hidden="1">
      <c r="A263" s="299" t="s">
        <v>785</v>
      </c>
      <c r="B263" s="289" t="s">
        <v>786</v>
      </c>
      <c r="C263" s="284"/>
      <c r="D263" s="293">
        <f>D264</f>
        <v>0</v>
      </c>
      <c r="E263" s="293">
        <f>E264</f>
        <v>0</v>
      </c>
    </row>
    <row r="264" spans="1:5" s="308" customFormat="1" ht="30" customHeight="1" hidden="1">
      <c r="A264" s="288" t="s">
        <v>520</v>
      </c>
      <c r="B264" s="289" t="s">
        <v>787</v>
      </c>
      <c r="C264" s="284"/>
      <c r="D264" s="293">
        <f>D265+D266+D267</f>
        <v>0</v>
      </c>
      <c r="E264" s="293">
        <f>E265+E266+E267</f>
        <v>0</v>
      </c>
    </row>
    <row r="265" spans="1:5" ht="41.25" customHeight="1" hidden="1">
      <c r="A265" s="290" t="s">
        <v>522</v>
      </c>
      <c r="B265" s="289" t="s">
        <v>787</v>
      </c>
      <c r="C265" s="284" t="s">
        <v>523</v>
      </c>
      <c r="D265" s="293"/>
      <c r="E265" s="293"/>
    </row>
    <row r="266" spans="1:5" ht="28.5" customHeight="1" hidden="1">
      <c r="A266" s="290" t="s">
        <v>516</v>
      </c>
      <c r="B266" s="289" t="s">
        <v>787</v>
      </c>
      <c r="C266" s="284" t="s">
        <v>517</v>
      </c>
      <c r="D266" s="293"/>
      <c r="E266" s="293"/>
    </row>
    <row r="267" spans="1:5" ht="16.5" customHeight="1" hidden="1">
      <c r="A267" s="288" t="s">
        <v>524</v>
      </c>
      <c r="B267" s="289" t="s">
        <v>787</v>
      </c>
      <c r="C267" s="284" t="s">
        <v>525</v>
      </c>
      <c r="D267" s="293"/>
      <c r="E267" s="293"/>
    </row>
    <row r="268" spans="1:5" s="308" customFormat="1" ht="58.5" customHeight="1">
      <c r="A268" s="299" t="s">
        <v>788</v>
      </c>
      <c r="B268" s="289" t="s">
        <v>789</v>
      </c>
      <c r="C268" s="324"/>
      <c r="D268" s="293">
        <f>D269+D279+D276</f>
        <v>3346909</v>
      </c>
      <c r="E268" s="293">
        <f>E269+E279+E276</f>
        <v>3152190</v>
      </c>
    </row>
    <row r="269" spans="1:5" ht="26.25">
      <c r="A269" s="288" t="s">
        <v>790</v>
      </c>
      <c r="B269" s="289" t="s">
        <v>791</v>
      </c>
      <c r="C269" s="324"/>
      <c r="D269" s="293">
        <f>D270+D273</f>
        <v>1270269</v>
      </c>
      <c r="E269" s="293">
        <f>E270+E273</f>
        <v>1102863</v>
      </c>
    </row>
    <row r="270" spans="1:5" ht="13.5" hidden="1">
      <c r="A270" s="281" t="s">
        <v>792</v>
      </c>
      <c r="B270" s="289" t="s">
        <v>793</v>
      </c>
      <c r="C270" s="284"/>
      <c r="D270" s="293">
        <f>D271+D272</f>
        <v>0</v>
      </c>
      <c r="E270" s="293">
        <f>E271+E272</f>
        <v>0</v>
      </c>
    </row>
    <row r="271" spans="1:5" ht="26.25" hidden="1">
      <c r="A271" s="290" t="s">
        <v>516</v>
      </c>
      <c r="B271" s="289" t="s">
        <v>793</v>
      </c>
      <c r="C271" s="324" t="s">
        <v>517</v>
      </c>
      <c r="D271" s="325"/>
      <c r="E271" s="325"/>
    </row>
    <row r="272" spans="1:5" ht="13.5" hidden="1">
      <c r="A272" s="281" t="s">
        <v>550</v>
      </c>
      <c r="B272" s="289" t="s">
        <v>793</v>
      </c>
      <c r="C272" s="324" t="s">
        <v>551</v>
      </c>
      <c r="D272" s="282"/>
      <c r="E272" s="282"/>
    </row>
    <row r="273" spans="1:5" ht="18.75" customHeight="1">
      <c r="A273" s="291" t="s">
        <v>794</v>
      </c>
      <c r="B273" s="289" t="s">
        <v>795</v>
      </c>
      <c r="C273" s="284"/>
      <c r="D273" s="293">
        <f>D275+D274</f>
        <v>1270269</v>
      </c>
      <c r="E273" s="293">
        <f>E275+E274</f>
        <v>1102863</v>
      </c>
    </row>
    <row r="274" spans="1:7" ht="29.25" customHeight="1">
      <c r="A274" s="290" t="s">
        <v>516</v>
      </c>
      <c r="B274" s="289" t="s">
        <v>795</v>
      </c>
      <c r="C274" s="324" t="s">
        <v>517</v>
      </c>
      <c r="D274" s="282">
        <v>582120</v>
      </c>
      <c r="E274" s="282">
        <v>582120</v>
      </c>
      <c r="G274" s="306"/>
    </row>
    <row r="275" spans="1:5" ht="21" customHeight="1">
      <c r="A275" s="281" t="s">
        <v>550</v>
      </c>
      <c r="B275" s="289" t="s">
        <v>795</v>
      </c>
      <c r="C275" s="324" t="s">
        <v>551</v>
      </c>
      <c r="D275" s="282">
        <f>520743+167406</f>
        <v>688149</v>
      </c>
      <c r="E275" s="282">
        <v>520743</v>
      </c>
    </row>
    <row r="276" spans="1:5" ht="15.75" customHeight="1">
      <c r="A276" s="288" t="s">
        <v>796</v>
      </c>
      <c r="B276" s="289" t="s">
        <v>797</v>
      </c>
      <c r="C276" s="324"/>
      <c r="D276" s="293">
        <f>D277</f>
        <v>36000</v>
      </c>
      <c r="E276" s="293">
        <f>E277</f>
        <v>36000</v>
      </c>
    </row>
    <row r="277" spans="1:5" ht="15" customHeight="1">
      <c r="A277" s="313" t="s">
        <v>798</v>
      </c>
      <c r="B277" s="289" t="s">
        <v>799</v>
      </c>
      <c r="C277" s="324"/>
      <c r="D277" s="293">
        <f>D278</f>
        <v>36000</v>
      </c>
      <c r="E277" s="293">
        <f>E278</f>
        <v>36000</v>
      </c>
    </row>
    <row r="278" spans="1:5" ht="22.5" customHeight="1">
      <c r="A278" s="313" t="s">
        <v>516</v>
      </c>
      <c r="B278" s="289" t="s">
        <v>799</v>
      </c>
      <c r="C278" s="324" t="s">
        <v>517</v>
      </c>
      <c r="D278" s="293">
        <v>36000</v>
      </c>
      <c r="E278" s="293">
        <v>36000</v>
      </c>
    </row>
    <row r="279" spans="1:5" ht="39.75" customHeight="1">
      <c r="A279" s="288" t="s">
        <v>800</v>
      </c>
      <c r="B279" s="289" t="s">
        <v>801</v>
      </c>
      <c r="C279" s="324"/>
      <c r="D279" s="293">
        <f>D280</f>
        <v>2040640</v>
      </c>
      <c r="E279" s="293">
        <f>E280</f>
        <v>2013327</v>
      </c>
    </row>
    <row r="280" spans="1:5" ht="26.25" customHeight="1">
      <c r="A280" s="296" t="s">
        <v>520</v>
      </c>
      <c r="B280" s="289" t="s">
        <v>802</v>
      </c>
      <c r="C280" s="324"/>
      <c r="D280" s="293">
        <f>D281+D282+D283</f>
        <v>2040640</v>
      </c>
      <c r="E280" s="293">
        <f>E281+E282+E283</f>
        <v>2013327</v>
      </c>
    </row>
    <row r="281" spans="1:5" ht="30.75" customHeight="1">
      <c r="A281" s="281" t="s">
        <v>803</v>
      </c>
      <c r="B281" s="289" t="s">
        <v>802</v>
      </c>
      <c r="C281" s="284" t="s">
        <v>523</v>
      </c>
      <c r="D281" s="282">
        <v>616000</v>
      </c>
      <c r="E281" s="282">
        <v>588687</v>
      </c>
    </row>
    <row r="282" spans="1:5" ht="27" customHeight="1">
      <c r="A282" s="290" t="s">
        <v>516</v>
      </c>
      <c r="B282" s="289" t="s">
        <v>802</v>
      </c>
      <c r="C282" s="324" t="s">
        <v>517</v>
      </c>
      <c r="D282" s="282">
        <v>1354640</v>
      </c>
      <c r="E282" s="282">
        <v>1354640</v>
      </c>
    </row>
    <row r="283" spans="1:5" ht="18.75" customHeight="1">
      <c r="A283" s="288" t="s">
        <v>524</v>
      </c>
      <c r="B283" s="289" t="s">
        <v>802</v>
      </c>
      <c r="C283" s="324" t="s">
        <v>525</v>
      </c>
      <c r="D283" s="282">
        <v>70000</v>
      </c>
      <c r="E283" s="282">
        <v>70000</v>
      </c>
    </row>
    <row r="284" spans="1:5" ht="43.5" customHeight="1">
      <c r="A284" s="314" t="s">
        <v>804</v>
      </c>
      <c r="B284" s="275" t="s">
        <v>805</v>
      </c>
      <c r="C284" s="303"/>
      <c r="D284" s="282">
        <f aca="true" t="shared" si="0" ref="D284:E287">D285</f>
        <v>657100</v>
      </c>
      <c r="E284" s="282">
        <f t="shared" si="0"/>
        <v>657100</v>
      </c>
    </row>
    <row r="285" spans="1:5" s="308" customFormat="1" ht="57.75" customHeight="1">
      <c r="A285" s="299" t="s">
        <v>806</v>
      </c>
      <c r="B285" s="275" t="s">
        <v>807</v>
      </c>
      <c r="C285" s="303"/>
      <c r="D285" s="282">
        <f t="shared" si="0"/>
        <v>657100</v>
      </c>
      <c r="E285" s="282">
        <f t="shared" si="0"/>
        <v>657100</v>
      </c>
    </row>
    <row r="286" spans="1:5" s="308" customFormat="1" ht="27" customHeight="1">
      <c r="A286" s="299" t="s">
        <v>808</v>
      </c>
      <c r="B286" s="275" t="s">
        <v>809</v>
      </c>
      <c r="C286" s="303"/>
      <c r="D286" s="282">
        <f t="shared" si="0"/>
        <v>657100</v>
      </c>
      <c r="E286" s="282">
        <f t="shared" si="0"/>
        <v>657100</v>
      </c>
    </row>
    <row r="287" spans="1:5" ht="18" customHeight="1">
      <c r="A287" s="299" t="s">
        <v>810</v>
      </c>
      <c r="B287" s="275" t="s">
        <v>811</v>
      </c>
      <c r="C287" s="303"/>
      <c r="D287" s="282">
        <f t="shared" si="0"/>
        <v>657100</v>
      </c>
      <c r="E287" s="282">
        <f t="shared" si="0"/>
        <v>657100</v>
      </c>
    </row>
    <row r="288" spans="1:5" ht="27" customHeight="1">
      <c r="A288" s="290" t="s">
        <v>516</v>
      </c>
      <c r="B288" s="275" t="s">
        <v>811</v>
      </c>
      <c r="C288" s="284" t="s">
        <v>517</v>
      </c>
      <c r="D288" s="282">
        <v>657100</v>
      </c>
      <c r="E288" s="282">
        <v>657100</v>
      </c>
    </row>
    <row r="289" spans="1:5" ht="40.5" customHeight="1">
      <c r="A289" s="274" t="s">
        <v>812</v>
      </c>
      <c r="B289" s="302" t="s">
        <v>813</v>
      </c>
      <c r="C289" s="284"/>
      <c r="D289" s="293">
        <f>D290</f>
        <v>329014</v>
      </c>
      <c r="E289" s="293">
        <f>E290</f>
        <v>329014</v>
      </c>
    </row>
    <row r="290" spans="1:5" s="308" customFormat="1" ht="69" customHeight="1">
      <c r="A290" s="287" t="s">
        <v>814</v>
      </c>
      <c r="B290" s="302" t="s">
        <v>815</v>
      </c>
      <c r="C290" s="284"/>
      <c r="D290" s="293">
        <f>D291</f>
        <v>329014</v>
      </c>
      <c r="E290" s="293">
        <f>E291</f>
        <v>329014</v>
      </c>
    </row>
    <row r="291" spans="1:5" s="308" customFormat="1" ht="29.25" customHeight="1">
      <c r="A291" s="288" t="s">
        <v>816</v>
      </c>
      <c r="B291" s="302" t="s">
        <v>817</v>
      </c>
      <c r="C291" s="284"/>
      <c r="D291" s="293">
        <f>D292+D295</f>
        <v>329014</v>
      </c>
      <c r="E291" s="293">
        <f>E292+E295</f>
        <v>329014</v>
      </c>
    </row>
    <row r="292" spans="1:5" ht="28.5" customHeight="1">
      <c r="A292" s="291" t="s">
        <v>818</v>
      </c>
      <c r="B292" s="302" t="s">
        <v>819</v>
      </c>
      <c r="C292" s="284"/>
      <c r="D292" s="293">
        <f>D293+D294</f>
        <v>329014</v>
      </c>
      <c r="E292" s="293">
        <f>E293+E294</f>
        <v>329014</v>
      </c>
    </row>
    <row r="293" spans="1:5" ht="42.75" customHeight="1">
      <c r="A293" s="290" t="s">
        <v>522</v>
      </c>
      <c r="B293" s="302" t="s">
        <v>819</v>
      </c>
      <c r="C293" s="303" t="s">
        <v>523</v>
      </c>
      <c r="D293" s="282">
        <v>295773</v>
      </c>
      <c r="E293" s="282">
        <v>295773</v>
      </c>
    </row>
    <row r="294" spans="1:5" ht="26.25" customHeight="1">
      <c r="A294" s="290" t="s">
        <v>516</v>
      </c>
      <c r="B294" s="302" t="s">
        <v>819</v>
      </c>
      <c r="C294" s="303" t="s">
        <v>517</v>
      </c>
      <c r="D294" s="282">
        <v>33241</v>
      </c>
      <c r="E294" s="282">
        <v>33241</v>
      </c>
    </row>
    <row r="295" spans="1:5" ht="28.5" customHeight="1" hidden="1">
      <c r="A295" s="290" t="s">
        <v>820</v>
      </c>
      <c r="B295" s="302" t="s">
        <v>821</v>
      </c>
      <c r="C295" s="284"/>
      <c r="D295" s="282">
        <f>D296</f>
        <v>0</v>
      </c>
      <c r="E295" s="282">
        <f>E296</f>
        <v>0</v>
      </c>
    </row>
    <row r="296" spans="1:5" ht="28.5" customHeight="1" hidden="1">
      <c r="A296" s="290" t="s">
        <v>516</v>
      </c>
      <c r="B296" s="302" t="s">
        <v>821</v>
      </c>
      <c r="C296" s="303" t="s">
        <v>517</v>
      </c>
      <c r="D296" s="282"/>
      <c r="E296" s="282"/>
    </row>
    <row r="297" spans="1:5" ht="44.25" customHeight="1">
      <c r="A297" s="326" t="s">
        <v>822</v>
      </c>
      <c r="B297" s="289" t="s">
        <v>823</v>
      </c>
      <c r="C297" s="284"/>
      <c r="D297" s="282">
        <f>D298+D309+D314</f>
        <v>5652900</v>
      </c>
      <c r="E297" s="282">
        <f>E298+E309+E314</f>
        <v>5938691</v>
      </c>
    </row>
    <row r="298" spans="1:5" s="308" customFormat="1" ht="52.5">
      <c r="A298" s="299" t="s">
        <v>824</v>
      </c>
      <c r="B298" s="289" t="s">
        <v>825</v>
      </c>
      <c r="C298" s="284"/>
      <c r="D298" s="282">
        <f>D299+D304</f>
        <v>4975100</v>
      </c>
      <c r="E298" s="282">
        <f>E299+E304</f>
        <v>5260891</v>
      </c>
    </row>
    <row r="299" spans="1:5" s="308" customFormat="1" ht="26.25">
      <c r="A299" s="288" t="s">
        <v>826</v>
      </c>
      <c r="B299" s="289" t="s">
        <v>827</v>
      </c>
      <c r="C299" s="284"/>
      <c r="D299" s="282">
        <f>D300+D302</f>
        <v>3988101</v>
      </c>
      <c r="E299" s="282">
        <f>E300</f>
        <v>5260891</v>
      </c>
    </row>
    <row r="300" spans="1:5" ht="26.25">
      <c r="A300" s="290" t="s">
        <v>828</v>
      </c>
      <c r="B300" s="289" t="s">
        <v>829</v>
      </c>
      <c r="C300" s="284"/>
      <c r="D300" s="282">
        <f>D301</f>
        <v>1810184</v>
      </c>
      <c r="E300" s="282">
        <f>E301</f>
        <v>5260891</v>
      </c>
    </row>
    <row r="301" spans="1:5" ht="21" customHeight="1">
      <c r="A301" s="290" t="s">
        <v>554</v>
      </c>
      <c r="B301" s="289" t="s">
        <v>829</v>
      </c>
      <c r="C301" s="284" t="s">
        <v>517</v>
      </c>
      <c r="D301" s="282">
        <f>4975100-3164916</f>
        <v>1810184</v>
      </c>
      <c r="E301" s="282">
        <v>5260891</v>
      </c>
    </row>
    <row r="302" spans="1:5" ht="13.5">
      <c r="A302" s="290" t="s">
        <v>830</v>
      </c>
      <c r="B302" s="289" t="s">
        <v>831</v>
      </c>
      <c r="C302" s="284"/>
      <c r="D302" s="282">
        <f>D303</f>
        <v>2177917</v>
      </c>
      <c r="E302" s="282">
        <f>E303</f>
        <v>0</v>
      </c>
    </row>
    <row r="303" spans="1:5" ht="13.5">
      <c r="A303" s="290" t="s">
        <v>554</v>
      </c>
      <c r="B303" s="289" t="s">
        <v>831</v>
      </c>
      <c r="C303" s="284" t="s">
        <v>517</v>
      </c>
      <c r="D303" s="282">
        <f>2177917</f>
        <v>2177917</v>
      </c>
      <c r="E303" s="282"/>
    </row>
    <row r="304" spans="1:5" ht="26.25">
      <c r="A304" s="288" t="s">
        <v>832</v>
      </c>
      <c r="B304" s="289" t="s">
        <v>833</v>
      </c>
      <c r="C304" s="284"/>
      <c r="D304" s="282">
        <f>D305+D307</f>
        <v>986999</v>
      </c>
      <c r="E304" s="282">
        <f>E305+E307</f>
        <v>0</v>
      </c>
    </row>
    <row r="305" spans="1:5" s="308" customFormat="1" ht="13.5" hidden="1">
      <c r="A305" s="290" t="s">
        <v>834</v>
      </c>
      <c r="B305" s="289" t="s">
        <v>835</v>
      </c>
      <c r="C305" s="284"/>
      <c r="D305" s="282">
        <f>D306</f>
        <v>0</v>
      </c>
      <c r="E305" s="282">
        <f>E306</f>
        <v>0</v>
      </c>
    </row>
    <row r="306" spans="1:5" ht="26.25" hidden="1">
      <c r="A306" s="281" t="s">
        <v>751</v>
      </c>
      <c r="B306" s="289" t="s">
        <v>835</v>
      </c>
      <c r="C306" s="284" t="s">
        <v>752</v>
      </c>
      <c r="D306" s="282"/>
      <c r="E306" s="282"/>
    </row>
    <row r="307" spans="1:5" ht="13.5">
      <c r="A307" s="290" t="s">
        <v>830</v>
      </c>
      <c r="B307" s="289" t="s">
        <v>836</v>
      </c>
      <c r="C307" s="284"/>
      <c r="D307" s="282">
        <f>D308</f>
        <v>986999</v>
      </c>
      <c r="E307" s="282">
        <f>E308</f>
        <v>0</v>
      </c>
    </row>
    <row r="308" spans="1:5" ht="26.25">
      <c r="A308" s="281" t="s">
        <v>751</v>
      </c>
      <c r="B308" s="289" t="s">
        <v>836</v>
      </c>
      <c r="C308" s="284" t="s">
        <v>752</v>
      </c>
      <c r="D308" s="282">
        <f>986999</f>
        <v>986999</v>
      </c>
      <c r="E308" s="282"/>
    </row>
    <row r="309" spans="1:5" s="308" customFormat="1" ht="69.75" customHeight="1">
      <c r="A309" s="327" t="s">
        <v>837</v>
      </c>
      <c r="B309" s="289" t="s">
        <v>838</v>
      </c>
      <c r="C309" s="284"/>
      <c r="D309" s="293">
        <f>D310</f>
        <v>510000</v>
      </c>
      <c r="E309" s="293">
        <f>E310</f>
        <v>510000</v>
      </c>
    </row>
    <row r="310" spans="1:5" s="308" customFormat="1" ht="30" customHeight="1">
      <c r="A310" s="288" t="s">
        <v>839</v>
      </c>
      <c r="B310" s="289" t="s">
        <v>840</v>
      </c>
      <c r="C310" s="284"/>
      <c r="D310" s="293">
        <f>D311</f>
        <v>510000</v>
      </c>
      <c r="E310" s="293">
        <f>E311</f>
        <v>510000</v>
      </c>
    </row>
    <row r="311" spans="1:5" ht="13.5">
      <c r="A311" s="281" t="s">
        <v>841</v>
      </c>
      <c r="B311" s="289" t="s">
        <v>842</v>
      </c>
      <c r="C311" s="284"/>
      <c r="D311" s="293">
        <f>D313+D312</f>
        <v>510000</v>
      </c>
      <c r="E311" s="293">
        <f>E313+E312</f>
        <v>510000</v>
      </c>
    </row>
    <row r="312" spans="1:5" ht="13.5">
      <c r="A312" s="290" t="s">
        <v>554</v>
      </c>
      <c r="B312" s="289" t="s">
        <v>842</v>
      </c>
      <c r="C312" s="284" t="s">
        <v>517</v>
      </c>
      <c r="D312" s="293">
        <v>10000</v>
      </c>
      <c r="E312" s="293">
        <v>10000</v>
      </c>
    </row>
    <row r="313" spans="1:5" ht="13.5">
      <c r="A313" s="290" t="s">
        <v>524</v>
      </c>
      <c r="B313" s="289" t="s">
        <v>842</v>
      </c>
      <c r="C313" s="284" t="s">
        <v>525</v>
      </c>
      <c r="D313" s="293">
        <v>500000</v>
      </c>
      <c r="E313" s="293">
        <v>500000</v>
      </c>
    </row>
    <row r="314" spans="1:5" s="308" customFormat="1" ht="71.25" customHeight="1">
      <c r="A314" s="327" t="s">
        <v>843</v>
      </c>
      <c r="B314" s="289" t="s">
        <v>844</v>
      </c>
      <c r="C314" s="284"/>
      <c r="D314" s="293">
        <f>D315+D318</f>
        <v>167800</v>
      </c>
      <c r="E314" s="293">
        <f>E315+E318</f>
        <v>167800</v>
      </c>
    </row>
    <row r="315" spans="1:5" ht="26.25" hidden="1">
      <c r="A315" s="315" t="s">
        <v>845</v>
      </c>
      <c r="B315" s="289" t="s">
        <v>846</v>
      </c>
      <c r="C315" s="284"/>
      <c r="D315" s="293">
        <f>D316</f>
        <v>0</v>
      </c>
      <c r="E315" s="293">
        <f>E316</f>
        <v>0</v>
      </c>
    </row>
    <row r="316" spans="1:5" ht="26.25" hidden="1">
      <c r="A316" s="288" t="s">
        <v>847</v>
      </c>
      <c r="B316" s="289" t="s">
        <v>848</v>
      </c>
      <c r="C316" s="284"/>
      <c r="D316" s="293">
        <f>D317</f>
        <v>0</v>
      </c>
      <c r="E316" s="293">
        <f>E317</f>
        <v>0</v>
      </c>
    </row>
    <row r="317" spans="1:5" ht="26.25" hidden="1">
      <c r="A317" s="290" t="s">
        <v>516</v>
      </c>
      <c r="B317" s="289" t="s">
        <v>848</v>
      </c>
      <c r="C317" s="284" t="s">
        <v>517</v>
      </c>
      <c r="D317" s="293"/>
      <c r="E317" s="293"/>
    </row>
    <row r="318" spans="1:5" ht="57.75" customHeight="1">
      <c r="A318" s="315" t="s">
        <v>849</v>
      </c>
      <c r="B318" s="289" t="s">
        <v>850</v>
      </c>
      <c r="C318" s="284"/>
      <c r="D318" s="293">
        <f>D319</f>
        <v>167800</v>
      </c>
      <c r="E318" s="293">
        <f>E319</f>
        <v>167800</v>
      </c>
    </row>
    <row r="319" spans="1:5" ht="31.5" customHeight="1">
      <c r="A319" s="288" t="s">
        <v>847</v>
      </c>
      <c r="B319" s="289" t="s">
        <v>851</v>
      </c>
      <c r="C319" s="284"/>
      <c r="D319" s="293">
        <f>D320</f>
        <v>167800</v>
      </c>
      <c r="E319" s="293">
        <f>E320</f>
        <v>167800</v>
      </c>
    </row>
    <row r="320" spans="1:5" ht="27.75" customHeight="1">
      <c r="A320" s="290" t="s">
        <v>516</v>
      </c>
      <c r="B320" s="289" t="s">
        <v>851</v>
      </c>
      <c r="C320" s="284" t="s">
        <v>517</v>
      </c>
      <c r="D320" s="282">
        <v>167800</v>
      </c>
      <c r="E320" s="282">
        <v>167800</v>
      </c>
    </row>
    <row r="321" spans="1:5" ht="43.5" customHeight="1">
      <c r="A321" s="281" t="s">
        <v>852</v>
      </c>
      <c r="B321" s="302" t="s">
        <v>853</v>
      </c>
      <c r="C321" s="303"/>
      <c r="D321" s="293">
        <f>D328+D322</f>
        <v>662000</v>
      </c>
      <c r="E321" s="293">
        <f>E328+E322</f>
        <v>662000</v>
      </c>
    </row>
    <row r="322" spans="1:5" ht="68.25" customHeight="1">
      <c r="A322" s="328" t="s">
        <v>854</v>
      </c>
      <c r="B322" s="302" t="s">
        <v>855</v>
      </c>
      <c r="C322" s="284"/>
      <c r="D322" s="282">
        <f>D323</f>
        <v>70000</v>
      </c>
      <c r="E322" s="282">
        <f>E323</f>
        <v>70000</v>
      </c>
    </row>
    <row r="323" spans="1:5" ht="31.5" customHeight="1">
      <c r="A323" s="287" t="s">
        <v>856</v>
      </c>
      <c r="B323" s="298" t="s">
        <v>857</v>
      </c>
      <c r="C323" s="284"/>
      <c r="D323" s="282">
        <f>D324+D326</f>
        <v>70000</v>
      </c>
      <c r="E323" s="282">
        <f>E324+E326</f>
        <v>70000</v>
      </c>
    </row>
    <row r="324" spans="1:5" ht="32.25" customHeight="1">
      <c r="A324" s="290" t="s">
        <v>858</v>
      </c>
      <c r="B324" s="298" t="s">
        <v>859</v>
      </c>
      <c r="C324" s="284"/>
      <c r="D324" s="282">
        <f>D325</f>
        <v>30000</v>
      </c>
      <c r="E324" s="282">
        <f>E325</f>
        <v>30000</v>
      </c>
    </row>
    <row r="325" spans="1:5" ht="28.5" customHeight="1">
      <c r="A325" s="290" t="s">
        <v>516</v>
      </c>
      <c r="B325" s="298" t="s">
        <v>859</v>
      </c>
      <c r="C325" s="284" t="s">
        <v>517</v>
      </c>
      <c r="D325" s="282">
        <v>30000</v>
      </c>
      <c r="E325" s="282">
        <v>30000</v>
      </c>
    </row>
    <row r="326" spans="1:5" ht="23.25" customHeight="1">
      <c r="A326" s="290" t="s">
        <v>860</v>
      </c>
      <c r="B326" s="298" t="s">
        <v>861</v>
      </c>
      <c r="C326" s="284"/>
      <c r="D326" s="282">
        <f>D327</f>
        <v>40000</v>
      </c>
      <c r="E326" s="282">
        <f>E327</f>
        <v>40000</v>
      </c>
    </row>
    <row r="327" spans="1:5" ht="28.5" customHeight="1">
      <c r="A327" s="290" t="s">
        <v>516</v>
      </c>
      <c r="B327" s="298" t="s">
        <v>861</v>
      </c>
      <c r="C327" s="284" t="s">
        <v>517</v>
      </c>
      <c r="D327" s="282">
        <f>40000</f>
        <v>40000</v>
      </c>
      <c r="E327" s="282">
        <f>40000</f>
        <v>40000</v>
      </c>
    </row>
    <row r="328" spans="1:5" s="308" customFormat="1" ht="59.25" customHeight="1">
      <c r="A328" s="281" t="s">
        <v>862</v>
      </c>
      <c r="B328" s="302" t="s">
        <v>863</v>
      </c>
      <c r="C328" s="303"/>
      <c r="D328" s="293">
        <f>D330+D333</f>
        <v>592000</v>
      </c>
      <c r="E328" s="293">
        <f>E330+E333</f>
        <v>592000</v>
      </c>
    </row>
    <row r="329" spans="1:5" ht="45.75" customHeight="1">
      <c r="A329" s="287" t="s">
        <v>864</v>
      </c>
      <c r="B329" s="302" t="s">
        <v>865</v>
      </c>
      <c r="C329" s="303"/>
      <c r="D329" s="293">
        <f>D330+D333</f>
        <v>592000</v>
      </c>
      <c r="E329" s="293">
        <f>E330+E333</f>
        <v>592000</v>
      </c>
    </row>
    <row r="330" spans="1:5" ht="40.5" customHeight="1">
      <c r="A330" s="291" t="s">
        <v>866</v>
      </c>
      <c r="B330" s="275" t="s">
        <v>867</v>
      </c>
      <c r="C330" s="284"/>
      <c r="D330" s="293">
        <f>D331+D332</f>
        <v>296000</v>
      </c>
      <c r="E330" s="293">
        <f>E331+E332</f>
        <v>296000</v>
      </c>
    </row>
    <row r="331" spans="1:5" ht="42" customHeight="1">
      <c r="A331" s="290" t="s">
        <v>522</v>
      </c>
      <c r="B331" s="275" t="s">
        <v>867</v>
      </c>
      <c r="C331" s="303" t="s">
        <v>523</v>
      </c>
      <c r="D331" s="282">
        <f>291800+400+3800</f>
        <v>296000</v>
      </c>
      <c r="E331" s="282">
        <f>291800+400+3800</f>
        <v>296000</v>
      </c>
    </row>
    <row r="332" spans="1:5" ht="0.75" customHeight="1" hidden="1">
      <c r="A332" s="290" t="s">
        <v>516</v>
      </c>
      <c r="B332" s="275" t="s">
        <v>867</v>
      </c>
      <c r="C332" s="303" t="s">
        <v>517</v>
      </c>
      <c r="D332" s="282">
        <v>0</v>
      </c>
      <c r="E332" s="282">
        <v>0</v>
      </c>
    </row>
    <row r="333" spans="1:5" ht="33.75" customHeight="1">
      <c r="A333" s="291" t="s">
        <v>868</v>
      </c>
      <c r="B333" s="275" t="s">
        <v>869</v>
      </c>
      <c r="C333" s="284"/>
      <c r="D333" s="293">
        <f>D334+D335</f>
        <v>296000</v>
      </c>
      <c r="E333" s="293">
        <f>E334+E335</f>
        <v>296000</v>
      </c>
    </row>
    <row r="334" spans="1:5" ht="39">
      <c r="A334" s="290" t="s">
        <v>522</v>
      </c>
      <c r="B334" s="275" t="s">
        <v>869</v>
      </c>
      <c r="C334" s="303" t="s">
        <v>523</v>
      </c>
      <c r="D334" s="282">
        <f>193920+58564+39716+3800</f>
        <v>296000</v>
      </c>
      <c r="E334" s="282">
        <f>193920+58564+39716+3800</f>
        <v>296000</v>
      </c>
    </row>
    <row r="335" spans="1:5" ht="26.25" hidden="1">
      <c r="A335" s="290" t="s">
        <v>516</v>
      </c>
      <c r="B335" s="275" t="s">
        <v>869</v>
      </c>
      <c r="C335" s="303" t="s">
        <v>517</v>
      </c>
      <c r="D335" s="282">
        <f>39716-39716</f>
        <v>0</v>
      </c>
      <c r="E335" s="282">
        <f>39716-39716</f>
        <v>0</v>
      </c>
    </row>
    <row r="336" spans="1:6" ht="59.25" customHeight="1">
      <c r="A336" s="287" t="s">
        <v>870</v>
      </c>
      <c r="B336" s="289" t="s">
        <v>871</v>
      </c>
      <c r="C336" s="303"/>
      <c r="D336" s="293">
        <f>D337</f>
        <v>51000</v>
      </c>
      <c r="E336" s="293">
        <f>E337</f>
        <v>51000</v>
      </c>
      <c r="F336" s="286"/>
    </row>
    <row r="337" spans="1:6" ht="84.75" customHeight="1">
      <c r="A337" s="305" t="s">
        <v>872</v>
      </c>
      <c r="B337" s="289" t="s">
        <v>873</v>
      </c>
      <c r="C337" s="303"/>
      <c r="D337" s="293">
        <f>D338+D341+D344+D347</f>
        <v>51000</v>
      </c>
      <c r="E337" s="293">
        <f>E338+E341+E344+E347</f>
        <v>51000</v>
      </c>
      <c r="F337" s="286"/>
    </row>
    <row r="338" spans="1:6" ht="26.25" hidden="1">
      <c r="A338" s="305" t="s">
        <v>874</v>
      </c>
      <c r="B338" s="289" t="s">
        <v>875</v>
      </c>
      <c r="C338" s="303"/>
      <c r="D338" s="293">
        <f>D339</f>
        <v>0</v>
      </c>
      <c r="E338" s="293">
        <f>E339</f>
        <v>0</v>
      </c>
      <c r="F338" s="286"/>
    </row>
    <row r="339" spans="1:6" ht="26.25" hidden="1">
      <c r="A339" s="290" t="s">
        <v>876</v>
      </c>
      <c r="B339" s="289" t="s">
        <v>877</v>
      </c>
      <c r="C339" s="303"/>
      <c r="D339" s="293">
        <f>D340</f>
        <v>0</v>
      </c>
      <c r="E339" s="293">
        <f>E340</f>
        <v>0</v>
      </c>
      <c r="F339" s="286"/>
    </row>
    <row r="340" spans="1:6" ht="26.25" hidden="1">
      <c r="A340" s="290" t="s">
        <v>516</v>
      </c>
      <c r="B340" s="289" t="s">
        <v>877</v>
      </c>
      <c r="C340" s="303" t="s">
        <v>517</v>
      </c>
      <c r="D340" s="293"/>
      <c r="E340" s="293"/>
      <c r="F340" s="286"/>
    </row>
    <row r="341" spans="1:6" ht="57" customHeight="1">
      <c r="A341" s="305" t="s">
        <v>878</v>
      </c>
      <c r="B341" s="289" t="s">
        <v>879</v>
      </c>
      <c r="C341" s="303"/>
      <c r="D341" s="293">
        <f>D342</f>
        <v>51000</v>
      </c>
      <c r="E341" s="293">
        <f>E342</f>
        <v>51000</v>
      </c>
      <c r="F341" s="286"/>
    </row>
    <row r="342" spans="1:6" ht="26.25">
      <c r="A342" s="290" t="s">
        <v>876</v>
      </c>
      <c r="B342" s="289" t="s">
        <v>880</v>
      </c>
      <c r="C342" s="303"/>
      <c r="D342" s="293">
        <f>D343</f>
        <v>51000</v>
      </c>
      <c r="E342" s="293">
        <f>E343</f>
        <v>51000</v>
      </c>
      <c r="F342" s="286"/>
    </row>
    <row r="343" spans="1:5" ht="26.25">
      <c r="A343" s="290" t="s">
        <v>516</v>
      </c>
      <c r="B343" s="289" t="s">
        <v>880</v>
      </c>
      <c r="C343" s="303" t="s">
        <v>517</v>
      </c>
      <c r="D343" s="282">
        <v>51000</v>
      </c>
      <c r="E343" s="282">
        <v>51000</v>
      </c>
    </row>
    <row r="344" spans="1:5" ht="39" hidden="1">
      <c r="A344" s="305" t="s">
        <v>881</v>
      </c>
      <c r="B344" s="289" t="s">
        <v>882</v>
      </c>
      <c r="C344" s="303"/>
      <c r="D344" s="293">
        <f>D345</f>
        <v>0</v>
      </c>
      <c r="E344" s="293">
        <f>E345</f>
        <v>0</v>
      </c>
    </row>
    <row r="345" spans="1:5" ht="26.25" hidden="1">
      <c r="A345" s="290" t="s">
        <v>876</v>
      </c>
      <c r="B345" s="289" t="s">
        <v>883</v>
      </c>
      <c r="C345" s="303"/>
      <c r="D345" s="293">
        <f>D346</f>
        <v>0</v>
      </c>
      <c r="E345" s="293">
        <f>E346</f>
        <v>0</v>
      </c>
    </row>
    <row r="346" spans="1:5" ht="26.25" hidden="1">
      <c r="A346" s="290" t="s">
        <v>516</v>
      </c>
      <c r="B346" s="289" t="s">
        <v>883</v>
      </c>
      <c r="C346" s="303" t="s">
        <v>517</v>
      </c>
      <c r="D346" s="293"/>
      <c r="E346" s="293"/>
    </row>
    <row r="347" spans="1:5" ht="26.25" hidden="1">
      <c r="A347" s="305" t="s">
        <v>884</v>
      </c>
      <c r="B347" s="289" t="s">
        <v>885</v>
      </c>
      <c r="C347" s="303"/>
      <c r="D347" s="293">
        <f>D348</f>
        <v>0</v>
      </c>
      <c r="E347" s="293">
        <f>E348</f>
        <v>0</v>
      </c>
    </row>
    <row r="348" spans="1:5" ht="26.25" hidden="1">
      <c r="A348" s="290" t="s">
        <v>876</v>
      </c>
      <c r="B348" s="289" t="s">
        <v>886</v>
      </c>
      <c r="C348" s="303"/>
      <c r="D348" s="293">
        <f>D349</f>
        <v>0</v>
      </c>
      <c r="E348" s="293">
        <f>E349</f>
        <v>0</v>
      </c>
    </row>
    <row r="349" spans="1:5" ht="26.25" hidden="1">
      <c r="A349" s="290" t="s">
        <v>516</v>
      </c>
      <c r="B349" s="289" t="s">
        <v>886</v>
      </c>
      <c r="C349" s="303" t="s">
        <v>517</v>
      </c>
      <c r="D349" s="293"/>
      <c r="E349" s="293"/>
    </row>
    <row r="350" spans="1:5" ht="45.75" customHeight="1">
      <c r="A350" s="287" t="s">
        <v>887</v>
      </c>
      <c r="B350" s="298" t="s">
        <v>888</v>
      </c>
      <c r="C350" s="284"/>
      <c r="D350" s="277">
        <f>D351+D355</f>
        <v>6682633.22</v>
      </c>
      <c r="E350" s="277">
        <f>E351+E355</f>
        <v>6214665</v>
      </c>
    </row>
    <row r="351" spans="1:5" s="308" customFormat="1" ht="57" customHeight="1">
      <c r="A351" s="274" t="s">
        <v>889</v>
      </c>
      <c r="B351" s="298" t="s">
        <v>890</v>
      </c>
      <c r="C351" s="284"/>
      <c r="D351" s="277">
        <f aca="true" t="shared" si="1" ref="D351:E353">D352</f>
        <v>1868.22</v>
      </c>
      <c r="E351" s="277">
        <f t="shared" si="1"/>
        <v>0</v>
      </c>
    </row>
    <row r="352" spans="1:5" ht="48" customHeight="1">
      <c r="A352" s="274" t="s">
        <v>891</v>
      </c>
      <c r="B352" s="298" t="s">
        <v>892</v>
      </c>
      <c r="C352" s="284"/>
      <c r="D352" s="277">
        <f t="shared" si="1"/>
        <v>1868.22</v>
      </c>
      <c r="E352" s="277">
        <f t="shared" si="1"/>
        <v>0</v>
      </c>
    </row>
    <row r="353" spans="1:5" ht="19.5" customHeight="1">
      <c r="A353" s="281" t="s">
        <v>893</v>
      </c>
      <c r="B353" s="298" t="s">
        <v>894</v>
      </c>
      <c r="C353" s="284"/>
      <c r="D353" s="277">
        <f t="shared" si="1"/>
        <v>1868.22</v>
      </c>
      <c r="E353" s="277">
        <f t="shared" si="1"/>
        <v>0</v>
      </c>
    </row>
    <row r="354" spans="1:5" ht="19.5" customHeight="1">
      <c r="A354" s="274" t="s">
        <v>895</v>
      </c>
      <c r="B354" s="298" t="s">
        <v>894</v>
      </c>
      <c r="C354" s="284" t="s">
        <v>896</v>
      </c>
      <c r="D354" s="277">
        <v>1868.22</v>
      </c>
      <c r="E354" s="277"/>
    </row>
    <row r="355" spans="1:5" s="308" customFormat="1" ht="60" customHeight="1">
      <c r="A355" s="274" t="s">
        <v>897</v>
      </c>
      <c r="B355" s="275" t="s">
        <v>898</v>
      </c>
      <c r="C355" s="284"/>
      <c r="D355" s="277">
        <f aca="true" t="shared" si="2" ref="D355:E357">D356</f>
        <v>6680765</v>
      </c>
      <c r="E355" s="277">
        <f t="shared" si="2"/>
        <v>6214665</v>
      </c>
    </row>
    <row r="356" spans="1:5" s="308" customFormat="1" ht="36" customHeight="1">
      <c r="A356" s="287" t="s">
        <v>899</v>
      </c>
      <c r="B356" s="275" t="s">
        <v>900</v>
      </c>
      <c r="C356" s="284"/>
      <c r="D356" s="293">
        <f t="shared" si="2"/>
        <v>6680765</v>
      </c>
      <c r="E356" s="293">
        <f t="shared" si="2"/>
        <v>6214665</v>
      </c>
    </row>
    <row r="357" spans="1:5" ht="29.25" customHeight="1">
      <c r="A357" s="291" t="s">
        <v>901</v>
      </c>
      <c r="B357" s="275" t="s">
        <v>902</v>
      </c>
      <c r="C357" s="284"/>
      <c r="D357" s="293">
        <f t="shared" si="2"/>
        <v>6680765</v>
      </c>
      <c r="E357" s="293">
        <f t="shared" si="2"/>
        <v>6214665</v>
      </c>
    </row>
    <row r="358" spans="1:5" s="308" customFormat="1" ht="13.5">
      <c r="A358" s="310" t="s">
        <v>713</v>
      </c>
      <c r="B358" s="275" t="s">
        <v>902</v>
      </c>
      <c r="C358" s="303" t="s">
        <v>714</v>
      </c>
      <c r="D358" s="282">
        <v>6680765</v>
      </c>
      <c r="E358" s="282">
        <v>6214665</v>
      </c>
    </row>
    <row r="359" spans="1:5" ht="26.25">
      <c r="A359" s="299" t="s">
        <v>903</v>
      </c>
      <c r="B359" s="275" t="s">
        <v>904</v>
      </c>
      <c r="C359" s="303"/>
      <c r="D359" s="293">
        <f>D360+D364</f>
        <v>33000</v>
      </c>
      <c r="E359" s="293">
        <f>E360+E364</f>
        <v>33000</v>
      </c>
    </row>
    <row r="360" spans="1:5" s="308" customFormat="1" ht="54.75" customHeight="1">
      <c r="A360" s="315" t="s">
        <v>905</v>
      </c>
      <c r="B360" s="275" t="s">
        <v>906</v>
      </c>
      <c r="C360" s="303"/>
      <c r="D360" s="293">
        <f aca="true" t="shared" si="3" ref="D360:E362">D361</f>
        <v>28000</v>
      </c>
      <c r="E360" s="293">
        <f t="shared" si="3"/>
        <v>28000</v>
      </c>
    </row>
    <row r="361" spans="1:5" ht="26.25">
      <c r="A361" s="315" t="s">
        <v>907</v>
      </c>
      <c r="B361" s="275" t="s">
        <v>908</v>
      </c>
      <c r="C361" s="303"/>
      <c r="D361" s="293">
        <f t="shared" si="3"/>
        <v>28000</v>
      </c>
      <c r="E361" s="293">
        <f t="shared" si="3"/>
        <v>28000</v>
      </c>
    </row>
    <row r="362" spans="1:5" ht="26.25">
      <c r="A362" s="296" t="s">
        <v>909</v>
      </c>
      <c r="B362" s="275" t="s">
        <v>910</v>
      </c>
      <c r="C362" s="303"/>
      <c r="D362" s="293">
        <f t="shared" si="3"/>
        <v>28000</v>
      </c>
      <c r="E362" s="293">
        <f t="shared" si="3"/>
        <v>28000</v>
      </c>
    </row>
    <row r="363" spans="1:5" ht="26.25">
      <c r="A363" s="290" t="s">
        <v>516</v>
      </c>
      <c r="B363" s="275" t="s">
        <v>910</v>
      </c>
      <c r="C363" s="303" t="s">
        <v>517</v>
      </c>
      <c r="D363" s="293">
        <v>28000</v>
      </c>
      <c r="E363" s="293">
        <v>28000</v>
      </c>
    </row>
    <row r="364" spans="1:5" ht="54.75" customHeight="1">
      <c r="A364" s="287" t="s">
        <v>911</v>
      </c>
      <c r="B364" s="275" t="s">
        <v>912</v>
      </c>
      <c r="C364" s="303"/>
      <c r="D364" s="293">
        <f aca="true" t="shared" si="4" ref="D364:E366">D365</f>
        <v>5000</v>
      </c>
      <c r="E364" s="293">
        <f t="shared" si="4"/>
        <v>5000</v>
      </c>
    </row>
    <row r="365" spans="1:5" ht="43.5" customHeight="1">
      <c r="A365" s="315" t="s">
        <v>913</v>
      </c>
      <c r="B365" s="275" t="s">
        <v>914</v>
      </c>
      <c r="C365" s="303"/>
      <c r="D365" s="293">
        <f t="shared" si="4"/>
        <v>5000</v>
      </c>
      <c r="E365" s="293">
        <f t="shared" si="4"/>
        <v>5000</v>
      </c>
    </row>
    <row r="366" spans="1:5" ht="31.5" customHeight="1">
      <c r="A366" s="290" t="s">
        <v>915</v>
      </c>
      <c r="B366" s="275" t="s">
        <v>916</v>
      </c>
      <c r="C366" s="303"/>
      <c r="D366" s="293">
        <f t="shared" si="4"/>
        <v>5000</v>
      </c>
      <c r="E366" s="293">
        <f t="shared" si="4"/>
        <v>5000</v>
      </c>
    </row>
    <row r="367" spans="1:5" ht="26.25">
      <c r="A367" s="290" t="s">
        <v>516</v>
      </c>
      <c r="B367" s="275" t="s">
        <v>916</v>
      </c>
      <c r="C367" s="303" t="s">
        <v>517</v>
      </c>
      <c r="D367" s="293">
        <v>5000</v>
      </c>
      <c r="E367" s="293">
        <v>5000</v>
      </c>
    </row>
    <row r="368" spans="1:5" ht="46.5" customHeight="1">
      <c r="A368" s="299" t="s">
        <v>917</v>
      </c>
      <c r="B368" s="289" t="s">
        <v>918</v>
      </c>
      <c r="C368" s="303"/>
      <c r="D368" s="293">
        <f>D369</f>
        <v>1000000</v>
      </c>
      <c r="E368" s="293">
        <f>E369</f>
        <v>1000000</v>
      </c>
    </row>
    <row r="369" spans="1:5" s="308" customFormat="1" ht="80.25" customHeight="1">
      <c r="A369" s="329" t="s">
        <v>919</v>
      </c>
      <c r="B369" s="289" t="s">
        <v>920</v>
      </c>
      <c r="C369" s="303"/>
      <c r="D369" s="293">
        <f>D377+D370</f>
        <v>1000000</v>
      </c>
      <c r="E369" s="293">
        <f>E377+E370</f>
        <v>1000000</v>
      </c>
    </row>
    <row r="370" spans="1:5" ht="24.75" customHeight="1" hidden="1">
      <c r="A370" s="305" t="s">
        <v>921</v>
      </c>
      <c r="B370" s="289" t="s">
        <v>922</v>
      </c>
      <c r="C370" s="303"/>
      <c r="D370" s="293">
        <f>D371+D373+D375</f>
        <v>0</v>
      </c>
      <c r="E370" s="293">
        <f>E371+E373+E375</f>
        <v>0</v>
      </c>
    </row>
    <row r="371" spans="1:5" ht="41.25" hidden="1">
      <c r="A371" s="330" t="s">
        <v>923</v>
      </c>
      <c r="B371" s="275" t="s">
        <v>924</v>
      </c>
      <c r="C371" s="303"/>
      <c r="D371" s="293">
        <f>D372</f>
        <v>0</v>
      </c>
      <c r="E371" s="293">
        <f>E372</f>
        <v>0</v>
      </c>
    </row>
    <row r="372" spans="1:5" ht="13.5" hidden="1">
      <c r="A372" s="331" t="s">
        <v>713</v>
      </c>
      <c r="B372" s="275" t="s">
        <v>924</v>
      </c>
      <c r="C372" s="303" t="s">
        <v>714</v>
      </c>
      <c r="D372" s="293"/>
      <c r="E372" s="293"/>
    </row>
    <row r="373" spans="1:5" ht="27" hidden="1">
      <c r="A373" s="330" t="s">
        <v>925</v>
      </c>
      <c r="B373" s="275" t="s">
        <v>926</v>
      </c>
      <c r="C373" s="303"/>
      <c r="D373" s="293">
        <f>D374</f>
        <v>0</v>
      </c>
      <c r="E373" s="293">
        <f>E374</f>
        <v>0</v>
      </c>
    </row>
    <row r="374" spans="1:5" ht="13.5" hidden="1">
      <c r="A374" s="331" t="s">
        <v>713</v>
      </c>
      <c r="B374" s="275" t="s">
        <v>926</v>
      </c>
      <c r="C374" s="303" t="s">
        <v>714</v>
      </c>
      <c r="D374" s="293"/>
      <c r="E374" s="293"/>
    </row>
    <row r="375" spans="1:5" ht="27" hidden="1">
      <c r="A375" s="330" t="s">
        <v>927</v>
      </c>
      <c r="B375" s="275" t="s">
        <v>928</v>
      </c>
      <c r="C375" s="303"/>
      <c r="D375" s="293">
        <f>D376</f>
        <v>0</v>
      </c>
      <c r="E375" s="293">
        <f>E376</f>
        <v>0</v>
      </c>
    </row>
    <row r="376" spans="1:5" ht="13.5" hidden="1">
      <c r="A376" s="331" t="s">
        <v>713</v>
      </c>
      <c r="B376" s="275" t="s">
        <v>928</v>
      </c>
      <c r="C376" s="303" t="s">
        <v>714</v>
      </c>
      <c r="D376" s="293"/>
      <c r="E376" s="293"/>
    </row>
    <row r="377" spans="1:5" ht="22.5" customHeight="1">
      <c r="A377" s="310" t="s">
        <v>929</v>
      </c>
      <c r="B377" s="289" t="s">
        <v>930</v>
      </c>
      <c r="C377" s="303"/>
      <c r="D377" s="293">
        <f>D382+D380+D378+D384</f>
        <v>1000000</v>
      </c>
      <c r="E377" s="293">
        <f>E382+E380+E378+E384</f>
        <v>1000000</v>
      </c>
    </row>
    <row r="378" spans="1:5" ht="39" hidden="1">
      <c r="A378" s="291" t="s">
        <v>923</v>
      </c>
      <c r="B378" s="289" t="s">
        <v>931</v>
      </c>
      <c r="C378" s="303"/>
      <c r="D378" s="293">
        <f>D379</f>
        <v>0</v>
      </c>
      <c r="E378" s="293">
        <f>E379</f>
        <v>0</v>
      </c>
    </row>
    <row r="379" spans="1:5" ht="13.5" hidden="1">
      <c r="A379" s="331" t="s">
        <v>713</v>
      </c>
      <c r="B379" s="289" t="s">
        <v>931</v>
      </c>
      <c r="C379" s="303" t="s">
        <v>714</v>
      </c>
      <c r="D379" s="293"/>
      <c r="E379" s="293"/>
    </row>
    <row r="380" spans="1:5" ht="0.75" customHeight="1" hidden="1">
      <c r="A380" s="305" t="s">
        <v>932</v>
      </c>
      <c r="B380" s="289" t="s">
        <v>933</v>
      </c>
      <c r="C380" s="303"/>
      <c r="D380" s="293">
        <f>D381</f>
        <v>0</v>
      </c>
      <c r="E380" s="293">
        <f>E381</f>
        <v>0</v>
      </c>
    </row>
    <row r="381" spans="1:5" ht="13.5" hidden="1">
      <c r="A381" s="310" t="s">
        <v>713</v>
      </c>
      <c r="B381" s="289" t="s">
        <v>933</v>
      </c>
      <c r="C381" s="303" t="s">
        <v>714</v>
      </c>
      <c r="D381" s="293"/>
      <c r="E381" s="293"/>
    </row>
    <row r="382" spans="1:5" ht="35.25" customHeight="1">
      <c r="A382" s="332" t="s">
        <v>934</v>
      </c>
      <c r="B382" s="289" t="s">
        <v>935</v>
      </c>
      <c r="C382" s="303"/>
      <c r="D382" s="293">
        <f>D383</f>
        <v>1000000</v>
      </c>
      <c r="E382" s="293">
        <f>E383</f>
        <v>1000000</v>
      </c>
    </row>
    <row r="383" spans="1:5" ht="19.5" customHeight="1">
      <c r="A383" s="310" t="s">
        <v>713</v>
      </c>
      <c r="B383" s="289" t="s">
        <v>935</v>
      </c>
      <c r="C383" s="303" t="s">
        <v>714</v>
      </c>
      <c r="D383" s="293">
        <v>1000000</v>
      </c>
      <c r="E383" s="293">
        <v>1000000</v>
      </c>
    </row>
    <row r="384" spans="1:5" ht="45.75" customHeight="1" hidden="1">
      <c r="A384" s="296" t="s">
        <v>755</v>
      </c>
      <c r="B384" s="289" t="s">
        <v>936</v>
      </c>
      <c r="C384" s="303"/>
      <c r="D384" s="282">
        <f>D385</f>
        <v>0</v>
      </c>
      <c r="E384" s="282">
        <f>E385</f>
        <v>0</v>
      </c>
    </row>
    <row r="385" spans="1:5" ht="24" customHeight="1" hidden="1">
      <c r="A385" s="310" t="s">
        <v>713</v>
      </c>
      <c r="B385" s="289" t="s">
        <v>936</v>
      </c>
      <c r="C385" s="303" t="s">
        <v>714</v>
      </c>
      <c r="D385" s="282"/>
      <c r="E385" s="282"/>
    </row>
    <row r="386" spans="1:5" ht="29.25" customHeight="1">
      <c r="A386" s="314" t="s">
        <v>937</v>
      </c>
      <c r="B386" s="275" t="s">
        <v>938</v>
      </c>
      <c r="C386" s="303"/>
      <c r="D386" s="293">
        <f aca="true" t="shared" si="5" ref="D386:E389">D387</f>
        <v>15000</v>
      </c>
      <c r="E386" s="293">
        <f t="shared" si="5"/>
        <v>15000</v>
      </c>
    </row>
    <row r="387" spans="1:5" ht="45.75" customHeight="1">
      <c r="A387" s="287" t="s">
        <v>939</v>
      </c>
      <c r="B387" s="275" t="s">
        <v>940</v>
      </c>
      <c r="C387" s="303"/>
      <c r="D387" s="293">
        <f t="shared" si="5"/>
        <v>15000</v>
      </c>
      <c r="E387" s="293">
        <f t="shared" si="5"/>
        <v>15000</v>
      </c>
    </row>
    <row r="388" spans="1:5" ht="28.5" customHeight="1">
      <c r="A388" s="305" t="s">
        <v>941</v>
      </c>
      <c r="B388" s="275" t="s">
        <v>942</v>
      </c>
      <c r="C388" s="303"/>
      <c r="D388" s="293">
        <f t="shared" si="5"/>
        <v>15000</v>
      </c>
      <c r="E388" s="293">
        <f t="shared" si="5"/>
        <v>15000</v>
      </c>
    </row>
    <row r="389" spans="1:5" ht="20.25" customHeight="1">
      <c r="A389" s="305" t="s">
        <v>943</v>
      </c>
      <c r="B389" s="275" t="s">
        <v>944</v>
      </c>
      <c r="C389" s="303"/>
      <c r="D389" s="293">
        <f t="shared" si="5"/>
        <v>15000</v>
      </c>
      <c r="E389" s="293">
        <f t="shared" si="5"/>
        <v>15000</v>
      </c>
    </row>
    <row r="390" spans="1:5" ht="30" customHeight="1">
      <c r="A390" s="313" t="s">
        <v>516</v>
      </c>
      <c r="B390" s="275" t="s">
        <v>944</v>
      </c>
      <c r="C390" s="284" t="s">
        <v>517</v>
      </c>
      <c r="D390" s="293">
        <v>15000</v>
      </c>
      <c r="E390" s="293">
        <v>15000</v>
      </c>
    </row>
    <row r="391" spans="1:5" ht="41.25" customHeight="1">
      <c r="A391" s="297" t="s">
        <v>945</v>
      </c>
      <c r="B391" s="289" t="s">
        <v>946</v>
      </c>
      <c r="C391" s="284"/>
      <c r="D391" s="282">
        <f>D392+D396</f>
        <v>196500</v>
      </c>
      <c r="E391" s="282">
        <f>E392+E396</f>
        <v>196500</v>
      </c>
    </row>
    <row r="392" spans="1:5" ht="39">
      <c r="A392" s="305" t="s">
        <v>947</v>
      </c>
      <c r="B392" s="289" t="s">
        <v>948</v>
      </c>
      <c r="C392" s="284"/>
      <c r="D392" s="282">
        <f aca="true" t="shared" si="6" ref="D392:E394">D393</f>
        <v>0</v>
      </c>
      <c r="E392" s="282">
        <f t="shared" si="6"/>
        <v>0</v>
      </c>
    </row>
    <row r="393" spans="1:5" ht="13.5">
      <c r="A393" s="305" t="s">
        <v>949</v>
      </c>
      <c r="B393" s="289" t="s">
        <v>950</v>
      </c>
      <c r="C393" s="284"/>
      <c r="D393" s="282">
        <f t="shared" si="6"/>
        <v>0</v>
      </c>
      <c r="E393" s="282">
        <f t="shared" si="6"/>
        <v>0</v>
      </c>
    </row>
    <row r="394" spans="1:5" ht="26.25">
      <c r="A394" s="290" t="s">
        <v>951</v>
      </c>
      <c r="B394" s="289" t="s">
        <v>952</v>
      </c>
      <c r="C394" s="284"/>
      <c r="D394" s="282">
        <f t="shared" si="6"/>
        <v>0</v>
      </c>
      <c r="E394" s="282">
        <f t="shared" si="6"/>
        <v>0</v>
      </c>
    </row>
    <row r="395" spans="1:5" ht="26.25">
      <c r="A395" s="290" t="s">
        <v>516</v>
      </c>
      <c r="B395" s="289" t="s">
        <v>952</v>
      </c>
      <c r="C395" s="284" t="s">
        <v>517</v>
      </c>
      <c r="D395" s="282">
        <f>15000-15000</f>
        <v>0</v>
      </c>
      <c r="E395" s="282">
        <f>15000-15000</f>
        <v>0</v>
      </c>
    </row>
    <row r="396" spans="1:5" ht="57.75" customHeight="1">
      <c r="A396" s="305" t="s">
        <v>953</v>
      </c>
      <c r="B396" s="289" t="s">
        <v>954</v>
      </c>
      <c r="C396" s="284"/>
      <c r="D396" s="282">
        <f aca="true" t="shared" si="7" ref="D396:E398">D397</f>
        <v>196500</v>
      </c>
      <c r="E396" s="282">
        <f t="shared" si="7"/>
        <v>196500</v>
      </c>
    </row>
    <row r="397" spans="1:5" ht="19.5" customHeight="1">
      <c r="A397" s="305" t="s">
        <v>955</v>
      </c>
      <c r="B397" s="289" t="s">
        <v>956</v>
      </c>
      <c r="C397" s="284"/>
      <c r="D397" s="282">
        <f t="shared" si="7"/>
        <v>196500</v>
      </c>
      <c r="E397" s="282">
        <f t="shared" si="7"/>
        <v>196500</v>
      </c>
    </row>
    <row r="398" spans="1:5" ht="13.5">
      <c r="A398" s="305" t="s">
        <v>609</v>
      </c>
      <c r="B398" s="289" t="s">
        <v>957</v>
      </c>
      <c r="C398" s="284"/>
      <c r="D398" s="282">
        <f t="shared" si="7"/>
        <v>196500</v>
      </c>
      <c r="E398" s="282">
        <f t="shared" si="7"/>
        <v>196500</v>
      </c>
    </row>
    <row r="399" spans="1:5" ht="26.25">
      <c r="A399" s="290" t="s">
        <v>516</v>
      </c>
      <c r="B399" s="289" t="s">
        <v>957</v>
      </c>
      <c r="C399" s="284" t="s">
        <v>517</v>
      </c>
      <c r="D399" s="282">
        <f>181500+15000</f>
        <v>196500</v>
      </c>
      <c r="E399" s="282">
        <f>181500+15000</f>
        <v>196500</v>
      </c>
    </row>
    <row r="400" spans="1:5" ht="33" customHeight="1">
      <c r="A400" s="290" t="s">
        <v>958</v>
      </c>
      <c r="B400" s="289" t="s">
        <v>959</v>
      </c>
      <c r="C400" s="324"/>
      <c r="D400" s="293">
        <f>D401</f>
        <v>1867940</v>
      </c>
      <c r="E400" s="293">
        <f>E401</f>
        <v>1022136</v>
      </c>
    </row>
    <row r="401" spans="1:5" s="308" customFormat="1" ht="61.5" customHeight="1">
      <c r="A401" s="290" t="s">
        <v>960</v>
      </c>
      <c r="B401" s="289" t="s">
        <v>961</v>
      </c>
      <c r="C401" s="324"/>
      <c r="D401" s="293">
        <f>D403</f>
        <v>1867940</v>
      </c>
      <c r="E401" s="293">
        <f>E403</f>
        <v>1022136</v>
      </c>
    </row>
    <row r="402" spans="1:5" s="308" customFormat="1" ht="60" customHeight="1">
      <c r="A402" s="333" t="s">
        <v>962</v>
      </c>
      <c r="B402" s="289" t="s">
        <v>963</v>
      </c>
      <c r="C402" s="324"/>
      <c r="D402" s="293">
        <f>D403</f>
        <v>1867940</v>
      </c>
      <c r="E402" s="293">
        <f>E403</f>
        <v>1022136</v>
      </c>
    </row>
    <row r="403" spans="1:5" s="308" customFormat="1" ht="33" customHeight="1">
      <c r="A403" s="296" t="s">
        <v>964</v>
      </c>
      <c r="B403" s="289" t="s">
        <v>965</v>
      </c>
      <c r="C403" s="324"/>
      <c r="D403" s="293">
        <f>D404+D405</f>
        <v>1867940</v>
      </c>
      <c r="E403" s="293">
        <f>E404+E405</f>
        <v>1022136</v>
      </c>
    </row>
    <row r="404" spans="1:5" ht="39">
      <c r="A404" s="290" t="s">
        <v>522</v>
      </c>
      <c r="B404" s="289" t="s">
        <v>965</v>
      </c>
      <c r="C404" s="324" t="s">
        <v>523</v>
      </c>
      <c r="D404" s="282">
        <v>765394</v>
      </c>
      <c r="E404" s="282">
        <v>765394</v>
      </c>
    </row>
    <row r="405" spans="1:5" ht="26.25">
      <c r="A405" s="290" t="s">
        <v>516</v>
      </c>
      <c r="B405" s="289" t="s">
        <v>965</v>
      </c>
      <c r="C405" s="324" t="s">
        <v>517</v>
      </c>
      <c r="D405" s="282">
        <v>1102546</v>
      </c>
      <c r="E405" s="282">
        <f>1300046-1043304</f>
        <v>256742</v>
      </c>
    </row>
    <row r="406" spans="1:5" ht="15">
      <c r="A406" s="290" t="s">
        <v>966</v>
      </c>
      <c r="B406" s="302" t="s">
        <v>967</v>
      </c>
      <c r="C406" s="284"/>
      <c r="D406" s="277">
        <f aca="true" t="shared" si="8" ref="D406:E408">D407</f>
        <v>1537000</v>
      </c>
      <c r="E406" s="277">
        <f t="shared" si="8"/>
        <v>1537000</v>
      </c>
    </row>
    <row r="407" spans="1:5" s="308" customFormat="1" ht="15">
      <c r="A407" s="281" t="s">
        <v>968</v>
      </c>
      <c r="B407" s="302" t="s">
        <v>969</v>
      </c>
      <c r="C407" s="284"/>
      <c r="D407" s="277">
        <f t="shared" si="8"/>
        <v>1537000</v>
      </c>
      <c r="E407" s="277">
        <f t="shared" si="8"/>
        <v>1537000</v>
      </c>
    </row>
    <row r="408" spans="1:5" ht="27">
      <c r="A408" s="296" t="s">
        <v>970</v>
      </c>
      <c r="B408" s="302" t="s">
        <v>971</v>
      </c>
      <c r="C408" s="284"/>
      <c r="D408" s="277">
        <f t="shared" si="8"/>
        <v>1537000</v>
      </c>
      <c r="E408" s="277">
        <f t="shared" si="8"/>
        <v>1537000</v>
      </c>
    </row>
    <row r="409" spans="1:5" ht="39">
      <c r="A409" s="290" t="s">
        <v>522</v>
      </c>
      <c r="B409" s="302" t="s">
        <v>971</v>
      </c>
      <c r="C409" s="303" t="s">
        <v>523</v>
      </c>
      <c r="D409" s="282">
        <v>1537000</v>
      </c>
      <c r="E409" s="282">
        <v>1537000</v>
      </c>
    </row>
    <row r="410" spans="1:5" ht="15" customHeight="1">
      <c r="A410" s="290" t="s">
        <v>972</v>
      </c>
      <c r="B410" s="275" t="s">
        <v>973</v>
      </c>
      <c r="C410" s="284"/>
      <c r="D410" s="293">
        <f>D411</f>
        <v>16057600</v>
      </c>
      <c r="E410" s="293">
        <f>E411</f>
        <v>16057600</v>
      </c>
    </row>
    <row r="411" spans="1:5" s="308" customFormat="1" ht="15.75" customHeight="1">
      <c r="A411" s="296" t="s">
        <v>974</v>
      </c>
      <c r="B411" s="275" t="s">
        <v>975</v>
      </c>
      <c r="C411" s="284"/>
      <c r="D411" s="293">
        <f>D412</f>
        <v>16057600</v>
      </c>
      <c r="E411" s="293">
        <f>E412</f>
        <v>16057600</v>
      </c>
    </row>
    <row r="412" spans="1:5" ht="27.75" customHeight="1">
      <c r="A412" s="296" t="s">
        <v>970</v>
      </c>
      <c r="B412" s="275" t="s">
        <v>976</v>
      </c>
      <c r="C412" s="284"/>
      <c r="D412" s="293">
        <f>D413+D414+D415</f>
        <v>16057600</v>
      </c>
      <c r="E412" s="293">
        <f>E413+E414+E415</f>
        <v>16057600</v>
      </c>
    </row>
    <row r="413" spans="1:5" ht="39">
      <c r="A413" s="290" t="s">
        <v>522</v>
      </c>
      <c r="B413" s="275" t="s">
        <v>976</v>
      </c>
      <c r="C413" s="303" t="s">
        <v>523</v>
      </c>
      <c r="D413" s="282">
        <v>15918200</v>
      </c>
      <c r="E413" s="282">
        <v>15918200</v>
      </c>
    </row>
    <row r="414" spans="1:5" ht="26.25">
      <c r="A414" s="290" t="s">
        <v>516</v>
      </c>
      <c r="B414" s="275" t="s">
        <v>976</v>
      </c>
      <c r="C414" s="303" t="s">
        <v>517</v>
      </c>
      <c r="D414" s="334">
        <v>58500</v>
      </c>
      <c r="E414" s="334">
        <v>58500</v>
      </c>
    </row>
    <row r="415" spans="1:5" ht="13.5">
      <c r="A415" s="288" t="s">
        <v>524</v>
      </c>
      <c r="B415" s="275" t="s">
        <v>976</v>
      </c>
      <c r="C415" s="303" t="s">
        <v>525</v>
      </c>
      <c r="D415" s="282">
        <v>80900</v>
      </c>
      <c r="E415" s="282">
        <v>80900</v>
      </c>
    </row>
    <row r="416" spans="1:5" ht="26.25">
      <c r="A416" s="290" t="s">
        <v>977</v>
      </c>
      <c r="B416" s="298" t="s">
        <v>978</v>
      </c>
      <c r="C416" s="303"/>
      <c r="D416" s="293">
        <f>D417</f>
        <v>559000</v>
      </c>
      <c r="E416" s="293">
        <f>E417</f>
        <v>559000</v>
      </c>
    </row>
    <row r="417" spans="1:5" s="308" customFormat="1" ht="17.25" customHeight="1">
      <c r="A417" s="290" t="s">
        <v>979</v>
      </c>
      <c r="B417" s="298" t="s">
        <v>980</v>
      </c>
      <c r="C417" s="303"/>
      <c r="D417" s="293">
        <f>D418</f>
        <v>559000</v>
      </c>
      <c r="E417" s="293">
        <f>E418</f>
        <v>559000</v>
      </c>
    </row>
    <row r="418" spans="1:5" ht="26.25">
      <c r="A418" s="296" t="s">
        <v>970</v>
      </c>
      <c r="B418" s="298" t="s">
        <v>981</v>
      </c>
      <c r="C418" s="284"/>
      <c r="D418" s="293">
        <f>D419+D420+D421</f>
        <v>559000</v>
      </c>
      <c r="E418" s="293">
        <f>E419+E420+E421</f>
        <v>559000</v>
      </c>
    </row>
    <row r="419" spans="1:5" ht="38.25" customHeight="1">
      <c r="A419" s="290" t="s">
        <v>522</v>
      </c>
      <c r="B419" s="298" t="s">
        <v>981</v>
      </c>
      <c r="C419" s="303" t="s">
        <v>523</v>
      </c>
      <c r="D419" s="282">
        <v>559000</v>
      </c>
      <c r="E419" s="282">
        <v>559000</v>
      </c>
    </row>
    <row r="420" spans="1:5" ht="13.5">
      <c r="A420" s="290" t="s">
        <v>554</v>
      </c>
      <c r="B420" s="298" t="s">
        <v>981</v>
      </c>
      <c r="C420" s="303" t="s">
        <v>517</v>
      </c>
      <c r="D420" s="282"/>
      <c r="E420" s="282"/>
    </row>
    <row r="421" spans="1:5" ht="13.5" hidden="1">
      <c r="A421" s="288" t="s">
        <v>524</v>
      </c>
      <c r="B421" s="298" t="s">
        <v>981</v>
      </c>
      <c r="C421" s="303" t="s">
        <v>525</v>
      </c>
      <c r="D421" s="293"/>
      <c r="E421" s="293"/>
    </row>
    <row r="422" spans="1:5" ht="28.5" customHeight="1">
      <c r="A422" s="290" t="s">
        <v>982</v>
      </c>
      <c r="B422" s="302" t="s">
        <v>983</v>
      </c>
      <c r="C422" s="284"/>
      <c r="D422" s="293">
        <f>D423+D426</f>
        <v>1942800</v>
      </c>
      <c r="E422" s="293">
        <f>E423+E426</f>
        <v>1942800</v>
      </c>
    </row>
    <row r="423" spans="1:5" s="308" customFormat="1" ht="19.5" customHeight="1">
      <c r="A423" s="281" t="s">
        <v>984</v>
      </c>
      <c r="B423" s="302" t="s">
        <v>985</v>
      </c>
      <c r="C423" s="284"/>
      <c r="D423" s="293">
        <f>D424</f>
        <v>880000</v>
      </c>
      <c r="E423" s="293">
        <f>E424</f>
        <v>880000</v>
      </c>
    </row>
    <row r="424" spans="1:5" ht="30.75" customHeight="1">
      <c r="A424" s="296" t="s">
        <v>970</v>
      </c>
      <c r="B424" s="302" t="s">
        <v>986</v>
      </c>
      <c r="C424" s="303"/>
      <c r="D424" s="293">
        <f>D425</f>
        <v>880000</v>
      </c>
      <c r="E424" s="293">
        <f>E425</f>
        <v>880000</v>
      </c>
    </row>
    <row r="425" spans="1:5" ht="39.75" customHeight="1">
      <c r="A425" s="290" t="s">
        <v>522</v>
      </c>
      <c r="B425" s="302" t="s">
        <v>986</v>
      </c>
      <c r="C425" s="303" t="s">
        <v>523</v>
      </c>
      <c r="D425" s="282">
        <v>880000</v>
      </c>
      <c r="E425" s="282">
        <v>880000</v>
      </c>
    </row>
    <row r="426" spans="1:5" s="308" customFormat="1" ht="15.75" customHeight="1">
      <c r="A426" s="281" t="s">
        <v>987</v>
      </c>
      <c r="B426" s="302" t="s">
        <v>988</v>
      </c>
      <c r="C426" s="303"/>
      <c r="D426" s="293">
        <f>D427</f>
        <v>1062800</v>
      </c>
      <c r="E426" s="293">
        <f>E427</f>
        <v>1062800</v>
      </c>
    </row>
    <row r="427" spans="1:5" ht="28.5" customHeight="1">
      <c r="A427" s="296" t="s">
        <v>970</v>
      </c>
      <c r="B427" s="302" t="s">
        <v>989</v>
      </c>
      <c r="C427" s="303"/>
      <c r="D427" s="293">
        <f>D428+D429+D430</f>
        <v>1062800</v>
      </c>
      <c r="E427" s="293">
        <f>E428+E429+E430</f>
        <v>1062800</v>
      </c>
    </row>
    <row r="428" spans="1:5" ht="42.75" customHeight="1">
      <c r="A428" s="290" t="s">
        <v>522</v>
      </c>
      <c r="B428" s="302" t="s">
        <v>989</v>
      </c>
      <c r="C428" s="303" t="s">
        <v>523</v>
      </c>
      <c r="D428" s="282">
        <v>1062800</v>
      </c>
      <c r="E428" s="282">
        <v>1062800</v>
      </c>
    </row>
    <row r="429" spans="1:5" ht="13.5" hidden="1">
      <c r="A429" s="290" t="s">
        <v>554</v>
      </c>
      <c r="B429" s="302" t="s">
        <v>989</v>
      </c>
      <c r="C429" s="303" t="s">
        <v>517</v>
      </c>
      <c r="D429" s="282"/>
      <c r="E429" s="282"/>
    </row>
    <row r="430" spans="1:5" ht="13.5" hidden="1">
      <c r="A430" s="288" t="s">
        <v>524</v>
      </c>
      <c r="B430" s="302" t="s">
        <v>989</v>
      </c>
      <c r="C430" s="303" t="s">
        <v>525</v>
      </c>
      <c r="D430" s="293"/>
      <c r="E430" s="293"/>
    </row>
    <row r="431" spans="1:5" ht="26.25" customHeight="1">
      <c r="A431" s="290" t="s">
        <v>990</v>
      </c>
      <c r="B431" s="302" t="s">
        <v>991</v>
      </c>
      <c r="C431" s="324"/>
      <c r="D431" s="293">
        <f>D432</f>
        <v>177900.78</v>
      </c>
      <c r="E431" s="293">
        <f>E432</f>
        <v>177900</v>
      </c>
    </row>
    <row r="432" spans="1:5" s="308" customFormat="1" ht="17.25" customHeight="1">
      <c r="A432" s="290" t="s">
        <v>992</v>
      </c>
      <c r="B432" s="302" t="s">
        <v>993</v>
      </c>
      <c r="C432" s="324"/>
      <c r="D432" s="293">
        <f>D433</f>
        <v>177900.78</v>
      </c>
      <c r="E432" s="293">
        <f>E433</f>
        <v>177900</v>
      </c>
    </row>
    <row r="433" spans="1:5" ht="17.25" customHeight="1">
      <c r="A433" s="281" t="s">
        <v>609</v>
      </c>
      <c r="B433" s="302" t="s">
        <v>994</v>
      </c>
      <c r="C433" s="324"/>
      <c r="D433" s="293">
        <f>D434+D435</f>
        <v>177900.78</v>
      </c>
      <c r="E433" s="293">
        <f>E434+E435</f>
        <v>177900</v>
      </c>
    </row>
    <row r="434" spans="1:5" ht="16.5" customHeight="1">
      <c r="A434" s="290" t="s">
        <v>554</v>
      </c>
      <c r="B434" s="302" t="s">
        <v>994</v>
      </c>
      <c r="C434" s="324" t="s">
        <v>517</v>
      </c>
      <c r="D434" s="282">
        <v>10000.78</v>
      </c>
      <c r="E434" s="282">
        <v>10000</v>
      </c>
    </row>
    <row r="435" spans="1:5" ht="17.25" customHeight="1">
      <c r="A435" s="288" t="s">
        <v>524</v>
      </c>
      <c r="B435" s="302" t="s">
        <v>994</v>
      </c>
      <c r="C435" s="324" t="s">
        <v>525</v>
      </c>
      <c r="D435" s="282">
        <v>167900</v>
      </c>
      <c r="E435" s="282">
        <v>167900</v>
      </c>
    </row>
    <row r="436" spans="1:7" ht="18.75" customHeight="1">
      <c r="A436" s="281" t="s">
        <v>995</v>
      </c>
      <c r="B436" s="298" t="s">
        <v>996</v>
      </c>
      <c r="C436" s="303"/>
      <c r="D436" s="277">
        <f>D437+D441+D460</f>
        <v>36052294</v>
      </c>
      <c r="E436" s="277">
        <f>E437+E441+E460</f>
        <v>9052294</v>
      </c>
      <c r="F436" s="335"/>
      <c r="G436" s="335"/>
    </row>
    <row r="437" spans="1:6" s="308" customFormat="1" ht="30" customHeight="1">
      <c r="A437" s="287" t="s">
        <v>997</v>
      </c>
      <c r="B437" s="275" t="s">
        <v>998</v>
      </c>
      <c r="C437" s="284"/>
      <c r="D437" s="277">
        <f>D438</f>
        <v>296000</v>
      </c>
      <c r="E437" s="277">
        <f>E438</f>
        <v>296000</v>
      </c>
      <c r="F437" s="336"/>
    </row>
    <row r="438" spans="1:6" ht="26.25">
      <c r="A438" s="296" t="s">
        <v>999</v>
      </c>
      <c r="B438" s="275" t="s">
        <v>1000</v>
      </c>
      <c r="C438" s="284"/>
      <c r="D438" s="293">
        <f>D439+D440</f>
        <v>296000</v>
      </c>
      <c r="E438" s="293">
        <f>E439+E440</f>
        <v>296000</v>
      </c>
      <c r="F438" s="335"/>
    </row>
    <row r="439" spans="1:6" ht="38.25" customHeight="1">
      <c r="A439" s="290" t="s">
        <v>522</v>
      </c>
      <c r="B439" s="275" t="s">
        <v>1000</v>
      </c>
      <c r="C439" s="303" t="s">
        <v>523</v>
      </c>
      <c r="D439" s="282">
        <f>208320+62913+20967+3800</f>
        <v>296000</v>
      </c>
      <c r="E439" s="282">
        <f>208320+62913+20967+3800</f>
        <v>296000</v>
      </c>
      <c r="F439" s="335"/>
    </row>
    <row r="440" spans="1:6" ht="13.5" hidden="1">
      <c r="A440" s="290" t="s">
        <v>554</v>
      </c>
      <c r="B440" s="275" t="s">
        <v>1000</v>
      </c>
      <c r="C440" s="303" t="s">
        <v>517</v>
      </c>
      <c r="D440" s="282">
        <f>20967-20967</f>
        <v>0</v>
      </c>
      <c r="E440" s="282">
        <f>20967-20967</f>
        <v>0</v>
      </c>
      <c r="F440" s="335"/>
    </row>
    <row r="441" spans="1:6" ht="18" customHeight="1">
      <c r="A441" s="290" t="s">
        <v>1001</v>
      </c>
      <c r="B441" s="275" t="s">
        <v>1002</v>
      </c>
      <c r="C441" s="303"/>
      <c r="D441" s="293">
        <f>D442+D444+D446+D448+D452+D456+D458+D450</f>
        <v>35756294</v>
      </c>
      <c r="E441" s="293">
        <f>E442+E444+E446+E448+E452+E456+E458+E450</f>
        <v>8756294</v>
      </c>
      <c r="F441" s="335"/>
    </row>
    <row r="442" spans="1:6" ht="36.75" customHeight="1">
      <c r="A442" s="337" t="s">
        <v>1003</v>
      </c>
      <c r="B442" s="275" t="s">
        <v>1004</v>
      </c>
      <c r="C442" s="284"/>
      <c r="D442" s="293">
        <f>D443</f>
        <v>280884</v>
      </c>
      <c r="E442" s="293">
        <f>E443</f>
        <v>280884</v>
      </c>
      <c r="F442" s="335"/>
    </row>
    <row r="443" spans="1:6" ht="26.25" customHeight="1">
      <c r="A443" s="290" t="s">
        <v>516</v>
      </c>
      <c r="B443" s="275" t="s">
        <v>1004</v>
      </c>
      <c r="C443" s="303" t="s">
        <v>517</v>
      </c>
      <c r="D443" s="282">
        <f>5758+275126</f>
        <v>280884</v>
      </c>
      <c r="E443" s="282">
        <f>5758+275126</f>
        <v>280884</v>
      </c>
      <c r="F443" s="335"/>
    </row>
    <row r="444" spans="1:6" ht="43.5" customHeight="1">
      <c r="A444" s="337" t="s">
        <v>1005</v>
      </c>
      <c r="B444" s="275" t="s">
        <v>1006</v>
      </c>
      <c r="C444" s="284"/>
      <c r="D444" s="293">
        <f>D445</f>
        <v>29600</v>
      </c>
      <c r="E444" s="293">
        <f>E445</f>
        <v>29600</v>
      </c>
      <c r="F444" s="335"/>
    </row>
    <row r="445" spans="1:6" ht="25.5" customHeight="1">
      <c r="A445" s="290" t="s">
        <v>516</v>
      </c>
      <c r="B445" s="275" t="s">
        <v>1006</v>
      </c>
      <c r="C445" s="303" t="s">
        <v>523</v>
      </c>
      <c r="D445" s="282">
        <f>22442+6778+380</f>
        <v>29600</v>
      </c>
      <c r="E445" s="282">
        <f>22442+6778+380</f>
        <v>29600</v>
      </c>
      <c r="F445" s="335"/>
    </row>
    <row r="446" spans="1:6" ht="39" hidden="1">
      <c r="A446" s="291" t="s">
        <v>1007</v>
      </c>
      <c r="B446" s="275" t="s">
        <v>1008</v>
      </c>
      <c r="C446" s="303"/>
      <c r="D446" s="293">
        <f>D447</f>
        <v>0</v>
      </c>
      <c r="E446" s="293">
        <f>E447</f>
        <v>0</v>
      </c>
      <c r="F446" s="335"/>
    </row>
    <row r="447" spans="1:6" ht="13.5" hidden="1">
      <c r="A447" s="290" t="s">
        <v>554</v>
      </c>
      <c r="B447" s="275" t="s">
        <v>1008</v>
      </c>
      <c r="C447" s="303" t="s">
        <v>517</v>
      </c>
      <c r="D447" s="293"/>
      <c r="E447" s="293"/>
      <c r="F447" s="335"/>
    </row>
    <row r="448" spans="1:6" ht="13.5" hidden="1">
      <c r="A448" s="288" t="s">
        <v>1009</v>
      </c>
      <c r="B448" s="275" t="s">
        <v>1010</v>
      </c>
      <c r="C448" s="284"/>
      <c r="D448" s="293"/>
      <c r="E448" s="293"/>
      <c r="F448" s="335"/>
    </row>
    <row r="449" spans="1:6" ht="26.25" hidden="1">
      <c r="A449" s="290" t="s">
        <v>516</v>
      </c>
      <c r="B449" s="275" t="s">
        <v>1010</v>
      </c>
      <c r="C449" s="303" t="s">
        <v>517</v>
      </c>
      <c r="D449" s="293"/>
      <c r="E449" s="293"/>
      <c r="F449" s="335"/>
    </row>
    <row r="450" spans="1:5" ht="26.25">
      <c r="A450" s="290" t="s">
        <v>1011</v>
      </c>
      <c r="B450" s="275" t="s">
        <v>1012</v>
      </c>
      <c r="C450" s="303"/>
      <c r="D450" s="293">
        <f>D451</f>
        <v>175320</v>
      </c>
      <c r="E450" s="293">
        <f>E451</f>
        <v>175320</v>
      </c>
    </row>
    <row r="451" spans="1:5" ht="14.25" customHeight="1">
      <c r="A451" s="290" t="s">
        <v>713</v>
      </c>
      <c r="B451" s="275" t="s">
        <v>1012</v>
      </c>
      <c r="C451" s="303" t="s">
        <v>714</v>
      </c>
      <c r="D451" s="282">
        <f>175320</f>
        <v>175320</v>
      </c>
      <c r="E451" s="282">
        <f>175320</f>
        <v>175320</v>
      </c>
    </row>
    <row r="452" spans="1:5" ht="26.25">
      <c r="A452" s="288" t="s">
        <v>520</v>
      </c>
      <c r="B452" s="275" t="s">
        <v>1013</v>
      </c>
      <c r="C452" s="284"/>
      <c r="D452" s="293">
        <f>D453+D454+D455</f>
        <v>8170490</v>
      </c>
      <c r="E452" s="293">
        <f>E453+E454+E455</f>
        <v>8170490</v>
      </c>
    </row>
    <row r="453" spans="1:5" ht="39">
      <c r="A453" s="290" t="s">
        <v>522</v>
      </c>
      <c r="B453" s="275" t="s">
        <v>1013</v>
      </c>
      <c r="C453" s="303" t="s">
        <v>523</v>
      </c>
      <c r="D453" s="282">
        <v>5520500</v>
      </c>
      <c r="E453" s="282">
        <v>5520500</v>
      </c>
    </row>
    <row r="454" spans="1:5" ht="26.25">
      <c r="A454" s="290" t="s">
        <v>516</v>
      </c>
      <c r="B454" s="275" t="s">
        <v>1013</v>
      </c>
      <c r="C454" s="303" t="s">
        <v>517</v>
      </c>
      <c r="D454" s="282">
        <v>2631850</v>
      </c>
      <c r="E454" s="282">
        <v>2631850</v>
      </c>
    </row>
    <row r="455" spans="1:5" ht="13.5">
      <c r="A455" s="288" t="s">
        <v>524</v>
      </c>
      <c r="B455" s="275" t="s">
        <v>1013</v>
      </c>
      <c r="C455" s="303" t="s">
        <v>525</v>
      </c>
      <c r="D455" s="282">
        <v>18140</v>
      </c>
      <c r="E455" s="282">
        <v>18140</v>
      </c>
    </row>
    <row r="456" spans="1:5" ht="13.5">
      <c r="A456" s="299" t="s">
        <v>1014</v>
      </c>
      <c r="B456" s="275" t="s">
        <v>1015</v>
      </c>
      <c r="C456" s="303"/>
      <c r="D456" s="293">
        <f>D457</f>
        <v>100000</v>
      </c>
      <c r="E456" s="293">
        <f>E457</f>
        <v>100000</v>
      </c>
    </row>
    <row r="457" spans="1:5" ht="25.5" customHeight="1">
      <c r="A457" s="290" t="s">
        <v>516</v>
      </c>
      <c r="B457" s="275" t="s">
        <v>1015</v>
      </c>
      <c r="C457" s="303" t="s">
        <v>517</v>
      </c>
      <c r="D457" s="293">
        <v>100000</v>
      </c>
      <c r="E457" s="293">
        <v>100000</v>
      </c>
    </row>
    <row r="458" spans="1:5" ht="26.25">
      <c r="A458" s="290" t="s">
        <v>1011</v>
      </c>
      <c r="B458" s="275" t="s">
        <v>1016</v>
      </c>
      <c r="C458" s="303"/>
      <c r="D458" s="293">
        <f>D459</f>
        <v>27000000</v>
      </c>
      <c r="E458" s="293">
        <f>E459</f>
        <v>0</v>
      </c>
    </row>
    <row r="459" spans="1:5" ht="14.25" customHeight="1">
      <c r="A459" s="290" t="s">
        <v>713</v>
      </c>
      <c r="B459" s="275" t="s">
        <v>1016</v>
      </c>
      <c r="C459" s="303" t="s">
        <v>517</v>
      </c>
      <c r="D459" s="282">
        <f>27000000</f>
        <v>27000000</v>
      </c>
      <c r="E459" s="282"/>
    </row>
    <row r="460" spans="1:5" s="308" customFormat="1" ht="15" hidden="1">
      <c r="A460" s="301" t="s">
        <v>1017</v>
      </c>
      <c r="B460" s="275" t="s">
        <v>1018</v>
      </c>
      <c r="C460" s="284"/>
      <c r="D460" s="277">
        <f>D461</f>
        <v>0</v>
      </c>
      <c r="E460" s="277">
        <f>E461</f>
        <v>0</v>
      </c>
    </row>
    <row r="461" spans="1:5" ht="15" hidden="1">
      <c r="A461" s="281" t="s">
        <v>1019</v>
      </c>
      <c r="B461" s="275" t="s">
        <v>1020</v>
      </c>
      <c r="C461" s="284"/>
      <c r="D461" s="277">
        <f>D462</f>
        <v>0</v>
      </c>
      <c r="E461" s="277">
        <f>E462</f>
        <v>0</v>
      </c>
    </row>
    <row r="462" spans="1:5" ht="15" hidden="1">
      <c r="A462" s="290" t="s">
        <v>554</v>
      </c>
      <c r="B462" s="275" t="s">
        <v>1020</v>
      </c>
      <c r="C462" s="284" t="s">
        <v>525</v>
      </c>
      <c r="D462" s="277"/>
      <c r="E462" s="277"/>
    </row>
    <row r="463" spans="1:5" ht="13.5">
      <c r="A463" s="290" t="s">
        <v>1021</v>
      </c>
      <c r="B463" s="302" t="s">
        <v>1022</v>
      </c>
      <c r="C463" s="338" t="s">
        <v>1023</v>
      </c>
      <c r="D463" s="293">
        <f aca="true" t="shared" si="9" ref="D463:E465">D464</f>
        <v>50000</v>
      </c>
      <c r="E463" s="293">
        <f t="shared" si="9"/>
        <v>50000</v>
      </c>
    </row>
    <row r="464" spans="1:5" s="308" customFormat="1" ht="13.5">
      <c r="A464" s="290" t="s">
        <v>1024</v>
      </c>
      <c r="B464" s="302" t="s">
        <v>1025</v>
      </c>
      <c r="C464" s="338" t="s">
        <v>1023</v>
      </c>
      <c r="D464" s="293">
        <f t="shared" si="9"/>
        <v>50000</v>
      </c>
      <c r="E464" s="293">
        <f t="shared" si="9"/>
        <v>50000</v>
      </c>
    </row>
    <row r="465" spans="1:5" ht="13.5">
      <c r="A465" s="296" t="s">
        <v>1026</v>
      </c>
      <c r="B465" s="302" t="s">
        <v>1027</v>
      </c>
      <c r="C465" s="338" t="s">
        <v>1023</v>
      </c>
      <c r="D465" s="293">
        <f t="shared" si="9"/>
        <v>50000</v>
      </c>
      <c r="E465" s="293">
        <f t="shared" si="9"/>
        <v>50000</v>
      </c>
    </row>
    <row r="466" spans="1:5" ht="13.5" customHeight="1">
      <c r="A466" s="290" t="s">
        <v>524</v>
      </c>
      <c r="B466" s="302" t="s">
        <v>1027</v>
      </c>
      <c r="C466" s="338" t="s">
        <v>525</v>
      </c>
      <c r="D466" s="293">
        <v>50000</v>
      </c>
      <c r="E466" s="293">
        <v>50000</v>
      </c>
    </row>
    <row r="467" spans="1:5" ht="13.5" hidden="1">
      <c r="A467" s="339"/>
      <c r="B467" s="340" t="s">
        <v>1028</v>
      </c>
      <c r="C467" s="341"/>
      <c r="D467" s="342">
        <f aca="true" t="shared" si="10" ref="D467:E469">D468</f>
        <v>0</v>
      </c>
      <c r="E467" s="342">
        <f t="shared" si="10"/>
        <v>0</v>
      </c>
    </row>
    <row r="468" spans="1:5" ht="26.25" hidden="1">
      <c r="A468" s="288" t="s">
        <v>1029</v>
      </c>
      <c r="B468" s="302" t="s">
        <v>1030</v>
      </c>
      <c r="C468" s="341"/>
      <c r="D468" s="342">
        <f t="shared" si="10"/>
        <v>0</v>
      </c>
      <c r="E468" s="342">
        <f t="shared" si="10"/>
        <v>0</v>
      </c>
    </row>
    <row r="469" spans="1:5" ht="13.5" hidden="1">
      <c r="A469" s="288" t="s">
        <v>1031</v>
      </c>
      <c r="B469" s="302" t="s">
        <v>1032</v>
      </c>
      <c r="C469" s="341"/>
      <c r="D469" s="342">
        <f t="shared" si="10"/>
        <v>0</v>
      </c>
      <c r="E469" s="342">
        <f t="shared" si="10"/>
        <v>0</v>
      </c>
    </row>
    <row r="470" spans="1:5" ht="11.25" customHeight="1" hidden="1">
      <c r="A470" s="343" t="s">
        <v>516</v>
      </c>
      <c r="B470" s="302" t="s">
        <v>1033</v>
      </c>
      <c r="C470" s="341">
        <v>200</v>
      </c>
      <c r="D470" s="342"/>
      <c r="E470" s="342"/>
    </row>
    <row r="471" spans="1:5" ht="15" hidden="1">
      <c r="A471" s="339" t="s">
        <v>1034</v>
      </c>
      <c r="B471" s="344" t="s">
        <v>1035</v>
      </c>
      <c r="C471" s="345"/>
      <c r="D471" s="346">
        <f aca="true" t="shared" si="11" ref="D471:E473">D472</f>
        <v>0</v>
      </c>
      <c r="E471" s="346">
        <f t="shared" si="11"/>
        <v>0</v>
      </c>
    </row>
    <row r="472" spans="1:5" s="308" customFormat="1" ht="15" hidden="1">
      <c r="A472" s="343" t="s">
        <v>1024</v>
      </c>
      <c r="B472" s="298" t="s">
        <v>1036</v>
      </c>
      <c r="C472" s="303"/>
      <c r="D472" s="347">
        <f t="shared" si="11"/>
        <v>0</v>
      </c>
      <c r="E472" s="347">
        <f t="shared" si="11"/>
        <v>0</v>
      </c>
    </row>
    <row r="473" spans="1:5" ht="15" hidden="1">
      <c r="A473" s="343" t="s">
        <v>1037</v>
      </c>
      <c r="B473" s="298" t="s">
        <v>1038</v>
      </c>
      <c r="C473" s="303"/>
      <c r="D473" s="347">
        <f t="shared" si="11"/>
        <v>0</v>
      </c>
      <c r="E473" s="347">
        <f t="shared" si="11"/>
        <v>0</v>
      </c>
    </row>
    <row r="474" spans="1:5" ht="15.75" hidden="1" thickBot="1">
      <c r="A474" s="348" t="s">
        <v>550</v>
      </c>
      <c r="B474" s="349" t="s">
        <v>1038</v>
      </c>
      <c r="C474" s="350" t="s">
        <v>551</v>
      </c>
      <c r="D474" s="351"/>
      <c r="E474" s="351"/>
    </row>
    <row r="475" spans="1:3" ht="15">
      <c r="A475" s="352"/>
      <c r="B475" s="353"/>
      <c r="C475" s="252"/>
    </row>
    <row r="476" spans="1:3" ht="15">
      <c r="A476" s="352"/>
      <c r="B476" s="353"/>
      <c r="C476" s="252"/>
    </row>
    <row r="477" spans="1:3" ht="15">
      <c r="A477" s="352"/>
      <c r="B477" s="353"/>
      <c r="C477" s="252"/>
    </row>
    <row r="478" spans="1:3" ht="15">
      <c r="A478" s="352"/>
      <c r="B478" s="353"/>
      <c r="C478" s="252"/>
    </row>
  </sheetData>
  <sheetProtection/>
  <mergeCells count="9">
    <mergeCell ref="B5:E5"/>
    <mergeCell ref="B6:E6"/>
    <mergeCell ref="A8:E8"/>
    <mergeCell ref="F8:K8"/>
    <mergeCell ref="A10:A11"/>
    <mergeCell ref="B10:B11"/>
    <mergeCell ref="C10:C11"/>
    <mergeCell ref="D10:D11"/>
    <mergeCell ref="E10:E11"/>
  </mergeCells>
  <hyperlinks>
    <hyperlink ref="A211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" right="0.7" top="0.75" bottom="0.75" header="0.3" footer="0.3"/>
  <pageSetup horizontalDpi="600" verticalDpi="600" orientation="portrait" paperSize="9" scale="6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60" zoomScalePageLayoutView="0" workbookViewId="0" topLeftCell="A4">
      <selection activeCell="I24" sqref="I24"/>
    </sheetView>
  </sheetViews>
  <sheetFormatPr defaultColWidth="9.140625" defaultRowHeight="15"/>
  <cols>
    <col min="1" max="1" width="28.140625" style="0" customWidth="1"/>
    <col min="2" max="2" width="44.57421875" style="0" customWidth="1"/>
    <col min="3" max="3" width="20.7109375" style="551" customWidth="1"/>
    <col min="4" max="4" width="0.13671875" style="0" hidden="1" customWidth="1"/>
    <col min="5" max="5" width="17.7109375" style="0" customWidth="1"/>
    <col min="6" max="6" width="9.140625" style="0" hidden="1" customWidth="1"/>
    <col min="7" max="7" width="3.7109375" style="0" customWidth="1"/>
    <col min="8" max="8" width="15.421875" style="0" customWidth="1"/>
    <col min="9" max="9" width="19.140625" style="524" customWidth="1"/>
    <col min="10" max="10" width="12.28125" style="0" customWidth="1"/>
    <col min="11" max="11" width="18.140625" style="524" customWidth="1"/>
    <col min="12" max="12" width="11.8515625" style="0" customWidth="1"/>
  </cols>
  <sheetData>
    <row r="1" spans="1:11" s="428" customFormat="1" ht="15">
      <c r="A1" s="563" t="s">
        <v>1317</v>
      </c>
      <c r="B1" s="563"/>
      <c r="C1" s="563"/>
      <c r="D1" s="563"/>
      <c r="E1" s="563"/>
      <c r="I1" s="520"/>
      <c r="K1" s="520"/>
    </row>
    <row r="2" spans="1:11" s="428" customFormat="1" ht="12.75">
      <c r="A2" s="566" t="s">
        <v>1318</v>
      </c>
      <c r="B2" s="566"/>
      <c r="C2" s="566"/>
      <c r="D2" s="566"/>
      <c r="E2" s="566"/>
      <c r="I2" s="520"/>
      <c r="K2" s="520"/>
    </row>
    <row r="3" spans="1:11" s="428" customFormat="1" ht="12.75">
      <c r="A3" s="566" t="s">
        <v>1319</v>
      </c>
      <c r="B3" s="566"/>
      <c r="C3" s="566"/>
      <c r="D3" s="566"/>
      <c r="E3" s="566"/>
      <c r="I3" s="520"/>
      <c r="K3" s="520"/>
    </row>
    <row r="4" spans="1:11" s="522" customFormat="1" ht="33" customHeight="1">
      <c r="A4" s="521"/>
      <c r="B4" s="571" t="s">
        <v>1320</v>
      </c>
      <c r="C4" s="571"/>
      <c r="D4" s="571"/>
      <c r="E4" s="571"/>
      <c r="I4" s="523"/>
      <c r="K4" s="523"/>
    </row>
    <row r="5" spans="1:11" s="522" customFormat="1" ht="28.5" customHeight="1" hidden="1">
      <c r="A5" s="521"/>
      <c r="B5" s="565" t="s">
        <v>1237</v>
      </c>
      <c r="C5" s="565"/>
      <c r="D5" s="521"/>
      <c r="I5" s="523"/>
      <c r="K5" s="523"/>
    </row>
    <row r="6" spans="1:11" s="522" customFormat="1" ht="12.75" hidden="1">
      <c r="A6" s="521"/>
      <c r="B6" s="566" t="s">
        <v>1238</v>
      </c>
      <c r="C6" s="566"/>
      <c r="I6" s="523"/>
      <c r="K6" s="523"/>
    </row>
    <row r="7" spans="1:4" ht="24.75" customHeight="1">
      <c r="A7" s="5"/>
      <c r="B7" s="567" t="s">
        <v>1322</v>
      </c>
      <c r="C7" s="567"/>
      <c r="D7" s="5"/>
    </row>
    <row r="8" spans="1:4" ht="9.75" customHeight="1">
      <c r="A8" s="568" t="s">
        <v>1239</v>
      </c>
      <c r="B8" s="568"/>
      <c r="C8" s="568"/>
      <c r="D8" s="568"/>
    </row>
    <row r="9" spans="1:5" ht="38.25" customHeight="1">
      <c r="A9" s="569" t="s">
        <v>1240</v>
      </c>
      <c r="B9" s="569"/>
      <c r="C9" s="569"/>
      <c r="D9" s="569"/>
      <c r="E9" s="569"/>
    </row>
    <row r="10" spans="1:5" ht="15.75" customHeight="1">
      <c r="A10" s="568" t="s">
        <v>1321</v>
      </c>
      <c r="B10" s="568"/>
      <c r="C10" s="568"/>
      <c r="D10" s="568"/>
      <c r="E10" s="568"/>
    </row>
    <row r="11" spans="3:5" ht="13.5" customHeight="1">
      <c r="C11" s="525"/>
      <c r="E11" t="s">
        <v>1242</v>
      </c>
    </row>
    <row r="12" spans="1:5" ht="38.25" customHeight="1">
      <c r="A12" s="526" t="s">
        <v>2</v>
      </c>
      <c r="B12" s="526" t="s">
        <v>1243</v>
      </c>
      <c r="C12" s="555" t="s">
        <v>1323</v>
      </c>
      <c r="D12" s="554"/>
      <c r="E12" s="556" t="s">
        <v>1324</v>
      </c>
    </row>
    <row r="13" spans="1:5" ht="12.75" customHeight="1">
      <c r="A13" s="526">
        <v>1</v>
      </c>
      <c r="B13" s="526">
        <v>2</v>
      </c>
      <c r="C13" s="528">
        <v>3</v>
      </c>
      <c r="D13" s="1"/>
      <c r="E13" s="548">
        <v>4</v>
      </c>
    </row>
    <row r="14" spans="1:11" s="16" customFormat="1" ht="1.5" customHeight="1" hidden="1">
      <c r="A14" s="529" t="s">
        <v>1244</v>
      </c>
      <c r="B14" s="530" t="s">
        <v>1245</v>
      </c>
      <c r="C14" s="531">
        <f>C15+C35</f>
        <v>0</v>
      </c>
      <c r="D14" s="552">
        <f>D15</f>
        <v>-5508343.731</v>
      </c>
      <c r="E14" s="553"/>
      <c r="I14" s="533"/>
      <c r="K14" s="533"/>
    </row>
    <row r="15" spans="1:5" ht="24.75" customHeight="1">
      <c r="A15" s="534" t="s">
        <v>1246</v>
      </c>
      <c r="B15" s="535" t="s">
        <v>1247</v>
      </c>
      <c r="C15" s="557">
        <f>C21+C26+C16</f>
        <v>0</v>
      </c>
      <c r="D15" s="557">
        <f>D21+D26+D16</f>
        <v>-5508343.731</v>
      </c>
      <c r="E15" s="557">
        <f>E21+E26+E16</f>
        <v>0</v>
      </c>
    </row>
    <row r="16" spans="1:5" ht="24.75" customHeight="1" hidden="1">
      <c r="A16" s="529" t="s">
        <v>1248</v>
      </c>
      <c r="B16" s="537" t="s">
        <v>1249</v>
      </c>
      <c r="C16" s="557">
        <f>C17+C20</f>
        <v>0</v>
      </c>
      <c r="D16" s="557">
        <f>D17+D20</f>
        <v>0</v>
      </c>
      <c r="E16" s="557">
        <f>E17+E20</f>
        <v>0</v>
      </c>
    </row>
    <row r="17" spans="1:5" ht="1.5" customHeight="1" hidden="1">
      <c r="A17" s="534" t="s">
        <v>1250</v>
      </c>
      <c r="B17" s="535" t="s">
        <v>1251</v>
      </c>
      <c r="C17" s="557">
        <f>C18</f>
        <v>0</v>
      </c>
      <c r="D17" s="557">
        <f>D18</f>
        <v>0</v>
      </c>
      <c r="E17" s="557">
        <f>E18</f>
        <v>0</v>
      </c>
    </row>
    <row r="18" spans="1:5" ht="39" customHeight="1" hidden="1">
      <c r="A18" s="538" t="s">
        <v>1252</v>
      </c>
      <c r="B18" s="535" t="s">
        <v>1253</v>
      </c>
      <c r="C18" s="557">
        <v>0</v>
      </c>
      <c r="D18" s="557">
        <v>0</v>
      </c>
      <c r="E18" s="557">
        <v>0</v>
      </c>
    </row>
    <row r="19" spans="1:5" ht="39" customHeight="1" hidden="1">
      <c r="A19" s="538" t="s">
        <v>1254</v>
      </c>
      <c r="B19" s="539" t="s">
        <v>1255</v>
      </c>
      <c r="C19" s="557">
        <v>0</v>
      </c>
      <c r="D19" s="557">
        <v>0</v>
      </c>
      <c r="E19" s="557">
        <v>0</v>
      </c>
    </row>
    <row r="20" spans="1:5" ht="39" customHeight="1" hidden="1">
      <c r="A20" s="538" t="s">
        <v>1256</v>
      </c>
      <c r="B20" s="539" t="s">
        <v>1257</v>
      </c>
      <c r="C20" s="557">
        <v>0</v>
      </c>
      <c r="D20" s="557">
        <v>0</v>
      </c>
      <c r="E20" s="557">
        <v>0</v>
      </c>
    </row>
    <row r="21" spans="1:11" ht="42" customHeight="1">
      <c r="A21" s="529" t="s">
        <v>1258</v>
      </c>
      <c r="B21" s="540" t="s">
        <v>1259</v>
      </c>
      <c r="C21" s="558">
        <f>C22+C24</f>
        <v>0</v>
      </c>
      <c r="D21" s="558">
        <f>D22+D24</f>
        <v>-3544.7309999999998</v>
      </c>
      <c r="E21" s="558">
        <f>E22+E24</f>
        <v>0</v>
      </c>
      <c r="J21" s="567"/>
      <c r="K21" s="567"/>
    </row>
    <row r="22" spans="1:11" ht="40.5" customHeight="1" hidden="1">
      <c r="A22" s="538" t="s">
        <v>1260</v>
      </c>
      <c r="B22" s="541" t="s">
        <v>1261</v>
      </c>
      <c r="C22" s="557">
        <f>C23</f>
        <v>0</v>
      </c>
      <c r="D22" s="557">
        <f>D23</f>
        <v>21657</v>
      </c>
      <c r="E22" s="557">
        <f>E23</f>
        <v>0</v>
      </c>
      <c r="J22" s="570"/>
      <c r="K22" s="570"/>
    </row>
    <row r="23" spans="1:12" ht="52.5" customHeight="1" hidden="1">
      <c r="A23" s="538" t="s">
        <v>1262</v>
      </c>
      <c r="B23" s="541" t="s">
        <v>1263</v>
      </c>
      <c r="C23" s="557">
        <v>0</v>
      </c>
      <c r="D23" s="559">
        <v>21657</v>
      </c>
      <c r="E23" s="560">
        <v>0</v>
      </c>
      <c r="G23" s="542"/>
      <c r="H23" s="524"/>
      <c r="I23" s="543"/>
      <c r="J23" s="543"/>
      <c r="K23" s="543"/>
      <c r="L23" s="5"/>
    </row>
    <row r="24" spans="1:10" ht="39.75" customHeight="1">
      <c r="A24" s="538" t="s">
        <v>1264</v>
      </c>
      <c r="B24" s="541" t="s">
        <v>1265</v>
      </c>
      <c r="C24" s="557">
        <f>C25</f>
        <v>0</v>
      </c>
      <c r="D24" s="557">
        <f>D25</f>
        <v>-25201.731</v>
      </c>
      <c r="E24" s="557">
        <f>E25</f>
        <v>0</v>
      </c>
      <c r="H24" s="524"/>
      <c r="J24" s="524"/>
    </row>
    <row r="25" spans="1:11" ht="52.5">
      <c r="A25" s="538" t="s">
        <v>1266</v>
      </c>
      <c r="B25" s="541" t="s">
        <v>1267</v>
      </c>
      <c r="C25" s="557">
        <v>0</v>
      </c>
      <c r="D25" s="559">
        <v>-25201.731</v>
      </c>
      <c r="E25" s="560"/>
      <c r="H25" s="524"/>
      <c r="K25"/>
    </row>
    <row r="26" spans="1:8" ht="25.5" customHeight="1">
      <c r="A26" s="529" t="s">
        <v>1268</v>
      </c>
      <c r="B26" s="530" t="s">
        <v>1269</v>
      </c>
      <c r="C26" s="558">
        <f>C27+C31</f>
        <v>0</v>
      </c>
      <c r="D26" s="558">
        <f>D27+D31</f>
        <v>-5504799</v>
      </c>
      <c r="E26" s="558">
        <f>E27+E31</f>
        <v>0</v>
      </c>
      <c r="H26" s="542"/>
    </row>
    <row r="27" spans="1:8" ht="14.25">
      <c r="A27" s="534" t="s">
        <v>1270</v>
      </c>
      <c r="B27" s="541" t="s">
        <v>1271</v>
      </c>
      <c r="C27" s="557">
        <f>C28</f>
        <v>-467736434</v>
      </c>
      <c r="D27" s="557">
        <f aca="true" t="shared" si="0" ref="D27:E29">D28</f>
        <v>-411219023</v>
      </c>
      <c r="E27" s="557">
        <f t="shared" si="0"/>
        <v>-446291859</v>
      </c>
      <c r="H27" s="524"/>
    </row>
    <row r="28" spans="1:8" ht="21" customHeight="1">
      <c r="A28" s="534" t="s">
        <v>1272</v>
      </c>
      <c r="B28" s="544" t="s">
        <v>1273</v>
      </c>
      <c r="C28" s="557">
        <f>C29</f>
        <v>-467736434</v>
      </c>
      <c r="D28" s="557">
        <f t="shared" si="0"/>
        <v>-411219023</v>
      </c>
      <c r="E28" s="557">
        <f t="shared" si="0"/>
        <v>-446291859</v>
      </c>
      <c r="H28" s="542"/>
    </row>
    <row r="29" spans="1:5" ht="26.25">
      <c r="A29" s="534" t="s">
        <v>1274</v>
      </c>
      <c r="B29" s="541" t="s">
        <v>1275</v>
      </c>
      <c r="C29" s="557">
        <f>C30</f>
        <v>-467736434</v>
      </c>
      <c r="D29" s="557">
        <f t="shared" si="0"/>
        <v>-411219023</v>
      </c>
      <c r="E29" s="557">
        <f t="shared" si="0"/>
        <v>-446291859</v>
      </c>
    </row>
    <row r="30" spans="1:8" ht="26.25">
      <c r="A30" s="534" t="s">
        <v>1276</v>
      </c>
      <c r="B30" s="541" t="s">
        <v>1277</v>
      </c>
      <c r="C30" s="557">
        <f>-465236434-C37</f>
        <v>-467736434</v>
      </c>
      <c r="D30" s="557">
        <f>-408536023-D37</f>
        <v>-411219023</v>
      </c>
      <c r="E30" s="557">
        <f>-443791859-E37</f>
        <v>-446291859</v>
      </c>
      <c r="H30" s="542"/>
    </row>
    <row r="31" spans="1:5" ht="14.25" customHeight="1">
      <c r="A31" s="534" t="s">
        <v>1278</v>
      </c>
      <c r="B31" s="541" t="s">
        <v>1279</v>
      </c>
      <c r="C31" s="557">
        <f>C32</f>
        <v>467736434</v>
      </c>
      <c r="D31" s="557">
        <f aca="true" t="shared" si="1" ref="D31:E33">D32</f>
        <v>405714224</v>
      </c>
      <c r="E31" s="557">
        <f t="shared" si="1"/>
        <v>446291859</v>
      </c>
    </row>
    <row r="32" spans="1:8" ht="14.25">
      <c r="A32" s="534" t="s">
        <v>1280</v>
      </c>
      <c r="B32" s="545" t="s">
        <v>1281</v>
      </c>
      <c r="C32" s="557">
        <f>C33</f>
        <v>467736434</v>
      </c>
      <c r="D32" s="557">
        <f t="shared" si="1"/>
        <v>405714224</v>
      </c>
      <c r="E32" s="557">
        <f t="shared" si="1"/>
        <v>446291859</v>
      </c>
      <c r="H32" s="542"/>
    </row>
    <row r="33" spans="1:5" ht="26.25">
      <c r="A33" s="534" t="s">
        <v>1282</v>
      </c>
      <c r="B33" s="541" t="s">
        <v>1283</v>
      </c>
      <c r="C33" s="557">
        <f>C34</f>
        <v>467736434</v>
      </c>
      <c r="D33" s="557">
        <f t="shared" si="1"/>
        <v>405714224</v>
      </c>
      <c r="E33" s="557">
        <f t="shared" si="1"/>
        <v>446291859</v>
      </c>
    </row>
    <row r="34" spans="1:10" ht="26.25">
      <c r="A34" s="534" t="s">
        <v>1284</v>
      </c>
      <c r="B34" s="541" t="s">
        <v>1285</v>
      </c>
      <c r="C34" s="557">
        <f>465236434-C44</f>
        <v>467736434</v>
      </c>
      <c r="D34" s="557">
        <f>403031224-D44</f>
        <v>405714224</v>
      </c>
      <c r="E34" s="557">
        <f>443791859-E44</f>
        <v>446291859</v>
      </c>
      <c r="H34" s="542"/>
      <c r="J34" s="16"/>
    </row>
    <row r="35" spans="1:5" ht="27">
      <c r="A35" s="546" t="s">
        <v>1286</v>
      </c>
      <c r="B35" s="547" t="s">
        <v>1287</v>
      </c>
      <c r="C35" s="561">
        <f>C36</f>
        <v>0</v>
      </c>
      <c r="D35" s="561">
        <f>D36</f>
        <v>0</v>
      </c>
      <c r="E35" s="561">
        <f>E36</f>
        <v>0</v>
      </c>
    </row>
    <row r="36" spans="1:5" ht="39.75" hidden="1">
      <c r="A36" s="546" t="s">
        <v>1288</v>
      </c>
      <c r="B36" s="547" t="s">
        <v>1289</v>
      </c>
      <c r="C36" s="561">
        <f>C37+C44</f>
        <v>0</v>
      </c>
      <c r="D36" s="561">
        <f>D37+D44</f>
        <v>0</v>
      </c>
      <c r="E36" s="561">
        <f>E37+E44</f>
        <v>0</v>
      </c>
    </row>
    <row r="37" spans="1:5" ht="27.75" customHeight="1">
      <c r="A37" s="548" t="s">
        <v>1290</v>
      </c>
      <c r="B37" s="549" t="s">
        <v>1291</v>
      </c>
      <c r="C37" s="562">
        <f>C41+C43</f>
        <v>2500000</v>
      </c>
      <c r="D37" s="562">
        <f>D41+D43</f>
        <v>2683000</v>
      </c>
      <c r="E37" s="562">
        <f>E41+E43</f>
        <v>2500000</v>
      </c>
    </row>
    <row r="38" spans="1:5" ht="55.5" customHeight="1">
      <c r="A38" s="548" t="s">
        <v>1292</v>
      </c>
      <c r="B38" s="549" t="s">
        <v>1293</v>
      </c>
      <c r="C38" s="562">
        <f>C39</f>
        <v>2000000</v>
      </c>
      <c r="D38" s="562">
        <f aca="true" t="shared" si="2" ref="D38:E40">D39</f>
        <v>2000000</v>
      </c>
      <c r="E38" s="562">
        <f t="shared" si="2"/>
        <v>2000000</v>
      </c>
    </row>
    <row r="39" spans="1:5" ht="57">
      <c r="A39" s="548" t="s">
        <v>1294</v>
      </c>
      <c r="B39" s="549" t="s">
        <v>1295</v>
      </c>
      <c r="C39" s="562">
        <f>C40</f>
        <v>2000000</v>
      </c>
      <c r="D39" s="562">
        <f t="shared" si="2"/>
        <v>2000000</v>
      </c>
      <c r="E39" s="562">
        <f t="shared" si="2"/>
        <v>2000000</v>
      </c>
    </row>
    <row r="40" spans="1:5" ht="28.5">
      <c r="A40" s="548" t="s">
        <v>1296</v>
      </c>
      <c r="B40" s="549" t="s">
        <v>1297</v>
      </c>
      <c r="C40" s="562">
        <f>C41</f>
        <v>2000000</v>
      </c>
      <c r="D40" s="562">
        <f t="shared" si="2"/>
        <v>2000000</v>
      </c>
      <c r="E40" s="562">
        <f t="shared" si="2"/>
        <v>2000000</v>
      </c>
    </row>
    <row r="41" spans="1:5" ht="86.25">
      <c r="A41" s="548" t="s">
        <v>1298</v>
      </c>
      <c r="B41" s="549" t="s">
        <v>1299</v>
      </c>
      <c r="C41" s="562">
        <v>2000000</v>
      </c>
      <c r="D41" s="562">
        <v>2000000</v>
      </c>
      <c r="E41" s="562">
        <v>2000000</v>
      </c>
    </row>
    <row r="42" spans="1:5" ht="42">
      <c r="A42" s="548" t="s">
        <v>1300</v>
      </c>
      <c r="B42" s="550" t="s">
        <v>1301</v>
      </c>
      <c r="C42" s="562">
        <v>500000</v>
      </c>
      <c r="D42" s="562">
        <v>683000</v>
      </c>
      <c r="E42" s="562">
        <v>500000</v>
      </c>
    </row>
    <row r="43" spans="1:5" ht="69">
      <c r="A43" s="548" t="s">
        <v>1302</v>
      </c>
      <c r="B43" s="550" t="s">
        <v>1303</v>
      </c>
      <c r="C43" s="562">
        <v>500000</v>
      </c>
      <c r="D43" s="562">
        <v>683000</v>
      </c>
      <c r="E43" s="562">
        <v>500000</v>
      </c>
    </row>
    <row r="44" spans="1:5" ht="28.5">
      <c r="A44" s="548" t="s">
        <v>1304</v>
      </c>
      <c r="B44" s="549" t="s">
        <v>1305</v>
      </c>
      <c r="C44" s="562">
        <f aca="true" t="shared" si="3" ref="C44:E45">C45</f>
        <v>-2500000</v>
      </c>
      <c r="D44" s="562">
        <f t="shared" si="3"/>
        <v>-2683000</v>
      </c>
      <c r="E44" s="562">
        <f t="shared" si="3"/>
        <v>-2500000</v>
      </c>
    </row>
    <row r="45" spans="1:5" ht="42.75">
      <c r="A45" s="548" t="s">
        <v>1306</v>
      </c>
      <c r="B45" s="549" t="s">
        <v>1307</v>
      </c>
      <c r="C45" s="562">
        <f t="shared" si="3"/>
        <v>-2500000</v>
      </c>
      <c r="D45" s="562">
        <f t="shared" si="3"/>
        <v>-2683000</v>
      </c>
      <c r="E45" s="562">
        <f t="shared" si="3"/>
        <v>-2500000</v>
      </c>
    </row>
    <row r="46" spans="1:5" ht="57">
      <c r="A46" s="548" t="s">
        <v>1308</v>
      </c>
      <c r="B46" s="549" t="s">
        <v>1309</v>
      </c>
      <c r="C46" s="562">
        <f>C47+C49</f>
        <v>-2500000</v>
      </c>
      <c r="D46" s="562">
        <f>D47+D49</f>
        <v>-2683000</v>
      </c>
      <c r="E46" s="562">
        <f>E47+E49</f>
        <v>-2500000</v>
      </c>
    </row>
    <row r="47" spans="1:5" ht="28.5">
      <c r="A47" s="548" t="s">
        <v>1310</v>
      </c>
      <c r="B47" s="549" t="s">
        <v>1297</v>
      </c>
      <c r="C47" s="562">
        <v>-2000000</v>
      </c>
      <c r="D47" s="562">
        <v>-2000000</v>
      </c>
      <c r="E47" s="562">
        <v>-2000000</v>
      </c>
    </row>
    <row r="48" spans="1:5" ht="28.5">
      <c r="A48" s="548" t="s">
        <v>1311</v>
      </c>
      <c r="B48" s="549" t="s">
        <v>1297</v>
      </c>
      <c r="C48" s="562">
        <v>-2000000</v>
      </c>
      <c r="D48" s="562">
        <v>-2000000</v>
      </c>
      <c r="E48" s="562">
        <v>-2000000</v>
      </c>
    </row>
    <row r="49" spans="1:5" ht="28.5">
      <c r="A49" s="548" t="s">
        <v>1312</v>
      </c>
      <c r="B49" s="549" t="s">
        <v>1313</v>
      </c>
      <c r="C49" s="562">
        <v>-500000</v>
      </c>
      <c r="D49" s="562">
        <v>-683000</v>
      </c>
      <c r="E49" s="562">
        <v>-500000</v>
      </c>
    </row>
    <row r="50" spans="1:5" ht="48.75" customHeight="1">
      <c r="A50" s="548" t="s">
        <v>1314</v>
      </c>
      <c r="B50" s="549" t="s">
        <v>1315</v>
      </c>
      <c r="C50" s="562">
        <v>-500000</v>
      </c>
      <c r="D50" s="562">
        <v>-683000</v>
      </c>
      <c r="E50" s="562">
        <v>-500000</v>
      </c>
    </row>
    <row r="61" ht="14.25">
      <c r="B61" s="16"/>
    </row>
    <row r="62" ht="14.25">
      <c r="B62" s="16"/>
    </row>
    <row r="69" ht="14.25">
      <c r="B69" s="16"/>
    </row>
  </sheetData>
  <sheetProtection/>
  <mergeCells count="12">
    <mergeCell ref="B7:C7"/>
    <mergeCell ref="A8:D8"/>
    <mergeCell ref="A9:E9"/>
    <mergeCell ref="A10:E10"/>
    <mergeCell ref="J21:K21"/>
    <mergeCell ref="J22:K22"/>
    <mergeCell ref="A1:E1"/>
    <mergeCell ref="A2:E2"/>
    <mergeCell ref="A3:E3"/>
    <mergeCell ref="B4:E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9"/>
  <sheetViews>
    <sheetView zoomScalePageLayoutView="0" workbookViewId="0" topLeftCell="A1">
      <selection activeCell="A10" sqref="A10:C10"/>
    </sheetView>
  </sheetViews>
  <sheetFormatPr defaultColWidth="9.140625" defaultRowHeight="15"/>
  <cols>
    <col min="1" max="1" width="18.421875" style="0" customWidth="1"/>
    <col min="2" max="2" width="60.28125" style="0" customWidth="1"/>
    <col min="3" max="3" width="14.57421875" style="99" customWidth="1"/>
  </cols>
  <sheetData>
    <row r="1" spans="1:3" ht="14.25">
      <c r="A1" s="5"/>
      <c r="B1" s="574" t="s">
        <v>42</v>
      </c>
      <c r="C1" s="574"/>
    </row>
    <row r="2" spans="1:3" ht="11.25" customHeight="1">
      <c r="A2" s="5"/>
      <c r="B2" s="574" t="s">
        <v>43</v>
      </c>
      <c r="C2" s="574"/>
    </row>
    <row r="3" spans="1:3" ht="12.75" customHeight="1">
      <c r="A3" s="5"/>
      <c r="B3" s="574" t="s">
        <v>44</v>
      </c>
      <c r="C3" s="574"/>
    </row>
    <row r="4" spans="1:3" ht="12.75" customHeight="1">
      <c r="A4" s="5"/>
      <c r="B4" s="574" t="s">
        <v>388</v>
      </c>
      <c r="C4" s="574"/>
    </row>
    <row r="5" spans="1:3" ht="12.75" customHeight="1">
      <c r="A5" s="5"/>
      <c r="B5" s="574" t="s">
        <v>45</v>
      </c>
      <c r="C5" s="574"/>
    </row>
    <row r="6" spans="1:3" ht="13.5" customHeight="1">
      <c r="A6" s="5"/>
      <c r="B6" s="577" t="s">
        <v>367</v>
      </c>
      <c r="C6" s="577"/>
    </row>
    <row r="7" spans="1:3" ht="11.25" customHeight="1">
      <c r="A7" s="5"/>
      <c r="B7" s="574" t="s">
        <v>0</v>
      </c>
      <c r="C7" s="574"/>
    </row>
    <row r="8" spans="1:3" ht="12" customHeight="1">
      <c r="A8" s="5"/>
      <c r="B8" s="574" t="s">
        <v>1</v>
      </c>
      <c r="C8" s="574"/>
    </row>
    <row r="9" spans="1:3" ht="11.25" customHeight="1">
      <c r="A9" s="5"/>
      <c r="B9" s="574" t="s">
        <v>1325</v>
      </c>
      <c r="C9" s="574"/>
    </row>
    <row r="10" spans="1:3" ht="12" customHeight="1">
      <c r="A10" s="575"/>
      <c r="B10" s="575"/>
      <c r="C10" s="575"/>
    </row>
    <row r="11" spans="2:3" ht="14.25" hidden="1">
      <c r="B11" s="1"/>
      <c r="C11" s="1"/>
    </row>
    <row r="12" spans="1:3" ht="15" customHeight="1">
      <c r="A12" s="576" t="s">
        <v>46</v>
      </c>
      <c r="B12" s="576"/>
      <c r="C12" s="576"/>
    </row>
    <row r="13" spans="1:3" ht="14.25" customHeight="1">
      <c r="A13" s="576" t="s">
        <v>47</v>
      </c>
      <c r="B13" s="576"/>
      <c r="C13" s="576"/>
    </row>
    <row r="14" spans="1:3" ht="15" customHeight="1">
      <c r="A14" s="572" t="s">
        <v>368</v>
      </c>
      <c r="B14" s="572"/>
      <c r="C14" s="572"/>
    </row>
    <row r="15" spans="1:3" ht="14.25" hidden="1">
      <c r="A15" s="6"/>
      <c r="B15" s="7"/>
      <c r="C15" s="8"/>
    </row>
    <row r="16" spans="1:3" ht="13.5" customHeight="1">
      <c r="A16" s="6"/>
      <c r="B16" s="7"/>
      <c r="C16" s="9" t="s">
        <v>48</v>
      </c>
    </row>
    <row r="17" spans="1:3" ht="38.25" customHeight="1">
      <c r="A17" s="111" t="s">
        <v>2</v>
      </c>
      <c r="B17" s="112" t="s">
        <v>49</v>
      </c>
      <c r="C17" s="113" t="s">
        <v>369</v>
      </c>
    </row>
    <row r="18" spans="1:3" ht="14.25">
      <c r="A18" s="10">
        <v>1</v>
      </c>
      <c r="B18" s="10">
        <v>2</v>
      </c>
      <c r="C18" s="11">
        <v>3</v>
      </c>
    </row>
    <row r="19" spans="1:3" ht="14.25" customHeight="1">
      <c r="A19" s="573" t="s">
        <v>50</v>
      </c>
      <c r="B19" s="573"/>
      <c r="C19" s="13">
        <f>C20+C158</f>
        <v>660997963.77</v>
      </c>
    </row>
    <row r="20" spans="1:3" ht="15.75" customHeight="1">
      <c r="A20" s="14" t="s">
        <v>51</v>
      </c>
      <c r="B20" s="15" t="s">
        <v>52</v>
      </c>
      <c r="C20" s="13">
        <f>C21+C37+C52+C60+C82+C90+C93+C113+C116+C155+C58+C27</f>
        <v>264411821</v>
      </c>
    </row>
    <row r="21" spans="1:3" ht="16.5" customHeight="1">
      <c r="A21" s="17" t="s">
        <v>53</v>
      </c>
      <c r="B21" s="18" t="s">
        <v>54</v>
      </c>
      <c r="C21" s="13">
        <f>C22</f>
        <v>132418673</v>
      </c>
    </row>
    <row r="22" spans="1:3" ht="16.5" customHeight="1">
      <c r="A22" s="17" t="s">
        <v>55</v>
      </c>
      <c r="B22" s="19" t="s">
        <v>56</v>
      </c>
      <c r="C22" s="13">
        <f>C23+C24+C25+C26</f>
        <v>132418673</v>
      </c>
    </row>
    <row r="23" spans="1:3" ht="52.5" customHeight="1">
      <c r="A23" s="20" t="s">
        <v>57</v>
      </c>
      <c r="B23" s="21" t="s">
        <v>58</v>
      </c>
      <c r="C23" s="22">
        <v>128289798</v>
      </c>
    </row>
    <row r="24" spans="1:3" ht="76.5" customHeight="1">
      <c r="A24" s="20" t="s">
        <v>59</v>
      </c>
      <c r="B24" s="21" t="s">
        <v>60</v>
      </c>
      <c r="C24" s="22">
        <v>2650408</v>
      </c>
    </row>
    <row r="25" spans="1:3" ht="39">
      <c r="A25" s="23" t="s">
        <v>61</v>
      </c>
      <c r="B25" s="21" t="s">
        <v>62</v>
      </c>
      <c r="C25" s="24">
        <v>1478467</v>
      </c>
    </row>
    <row r="26" spans="1:3" ht="66" hidden="1">
      <c r="A26" s="20" t="s">
        <v>63</v>
      </c>
      <c r="B26" s="21" t="s">
        <v>64</v>
      </c>
      <c r="C26" s="22"/>
    </row>
    <row r="27" spans="1:3" s="27" customFormat="1" ht="24" customHeight="1">
      <c r="A27" s="25" t="s">
        <v>65</v>
      </c>
      <c r="B27" s="117" t="s">
        <v>66</v>
      </c>
      <c r="C27" s="13">
        <f>C28</f>
        <v>4904469</v>
      </c>
    </row>
    <row r="28" spans="1:3" s="27" customFormat="1" ht="27" customHeight="1">
      <c r="A28" s="25" t="s">
        <v>67</v>
      </c>
      <c r="B28" s="21" t="s">
        <v>68</v>
      </c>
      <c r="C28" s="13">
        <f>C29+C31+C33+C35</f>
        <v>4904469</v>
      </c>
    </row>
    <row r="29" spans="1:3" ht="50.25" customHeight="1">
      <c r="A29" s="25" t="s">
        <v>69</v>
      </c>
      <c r="B29" s="117" t="s">
        <v>70</v>
      </c>
      <c r="C29" s="156">
        <f>C30</f>
        <v>1778489</v>
      </c>
    </row>
    <row r="30" spans="1:3" ht="78" customHeight="1">
      <c r="A30" s="28" t="s">
        <v>392</v>
      </c>
      <c r="B30" s="159" t="s">
        <v>393</v>
      </c>
      <c r="C30" s="22">
        <v>1778489</v>
      </c>
    </row>
    <row r="31" spans="1:3" ht="63" customHeight="1">
      <c r="A31" s="25" t="s">
        <v>71</v>
      </c>
      <c r="B31" s="117" t="s">
        <v>72</v>
      </c>
      <c r="C31" s="156">
        <f>C32</f>
        <v>12461</v>
      </c>
    </row>
    <row r="32" spans="1:3" ht="90" customHeight="1">
      <c r="A32" s="28" t="s">
        <v>394</v>
      </c>
      <c r="B32" s="134" t="s">
        <v>395</v>
      </c>
      <c r="C32" s="22">
        <v>12461</v>
      </c>
    </row>
    <row r="33" spans="1:3" ht="47.25" customHeight="1">
      <c r="A33" s="25" t="s">
        <v>73</v>
      </c>
      <c r="B33" s="117" t="s">
        <v>74</v>
      </c>
      <c r="C33" s="156">
        <f>C34</f>
        <v>3444233</v>
      </c>
    </row>
    <row r="34" spans="1:3" ht="77.25" customHeight="1">
      <c r="A34" s="28" t="s">
        <v>396</v>
      </c>
      <c r="B34" s="159" t="s">
        <v>397</v>
      </c>
      <c r="C34" s="22">
        <v>3444233</v>
      </c>
    </row>
    <row r="35" spans="1:3" ht="47.25" customHeight="1">
      <c r="A35" s="25" t="s">
        <v>75</v>
      </c>
      <c r="B35" s="117" t="s">
        <v>76</v>
      </c>
      <c r="C35" s="156">
        <f>C36</f>
        <v>-330714</v>
      </c>
    </row>
    <row r="36" spans="1:3" ht="77.25" customHeight="1">
      <c r="A36" s="28" t="s">
        <v>398</v>
      </c>
      <c r="B36" s="159" t="s">
        <v>399</v>
      </c>
      <c r="C36" s="22">
        <v>-330714</v>
      </c>
    </row>
    <row r="37" spans="1:3" ht="18" customHeight="1">
      <c r="A37" s="14" t="s">
        <v>77</v>
      </c>
      <c r="B37" s="15" t="s">
        <v>78</v>
      </c>
      <c r="C37" s="13">
        <f>C44+C47+C50+C38</f>
        <v>5019770</v>
      </c>
    </row>
    <row r="38" spans="1:3" ht="25.5" customHeight="1">
      <c r="A38" s="114" t="s">
        <v>343</v>
      </c>
      <c r="B38" s="158" t="s">
        <v>79</v>
      </c>
      <c r="C38" s="29">
        <f>C39+C41+C43</f>
        <v>249624</v>
      </c>
    </row>
    <row r="39" spans="1:3" ht="26.25" customHeight="1">
      <c r="A39" s="114" t="s">
        <v>344</v>
      </c>
      <c r="B39" s="115" t="s">
        <v>345</v>
      </c>
      <c r="C39" s="29">
        <f>C40</f>
        <v>181067</v>
      </c>
    </row>
    <row r="40" spans="1:3" ht="27" customHeight="1">
      <c r="A40" s="114" t="s">
        <v>346</v>
      </c>
      <c r="B40" s="115" t="s">
        <v>345</v>
      </c>
      <c r="C40" s="24">
        <f>150067+31000</f>
        <v>181067</v>
      </c>
    </row>
    <row r="41" spans="1:3" ht="27" customHeight="1">
      <c r="A41" s="114" t="s">
        <v>347</v>
      </c>
      <c r="B41" s="129" t="s">
        <v>80</v>
      </c>
      <c r="C41" s="29">
        <f>C42</f>
        <v>68557</v>
      </c>
    </row>
    <row r="42" spans="1:3" ht="38.25" customHeight="1">
      <c r="A42" s="130" t="s">
        <v>348</v>
      </c>
      <c r="B42" s="131" t="s">
        <v>321</v>
      </c>
      <c r="C42" s="22">
        <v>68557</v>
      </c>
    </row>
    <row r="43" spans="1:3" ht="21" hidden="1">
      <c r="A43" s="132" t="s">
        <v>351</v>
      </c>
      <c r="B43" s="133" t="s">
        <v>349</v>
      </c>
      <c r="C43" s="22"/>
    </row>
    <row r="44" spans="1:3" s="16" customFormat="1" ht="17.25" customHeight="1">
      <c r="A44" s="14" t="s">
        <v>81</v>
      </c>
      <c r="B44" s="15" t="s">
        <v>82</v>
      </c>
      <c r="C44" s="13">
        <f>C45+C46</f>
        <v>4636961</v>
      </c>
    </row>
    <row r="45" spans="1:3" ht="17.25" customHeight="1">
      <c r="A45" s="20" t="s">
        <v>83</v>
      </c>
      <c r="B45" s="30" t="s">
        <v>82</v>
      </c>
      <c r="C45" s="22">
        <f>4686961-50000</f>
        <v>4636961</v>
      </c>
    </row>
    <row r="46" spans="1:3" ht="27" customHeight="1" hidden="1">
      <c r="A46" s="20" t="s">
        <v>322</v>
      </c>
      <c r="B46" s="21" t="s">
        <v>84</v>
      </c>
      <c r="C46" s="22"/>
    </row>
    <row r="47" spans="1:3" s="16" customFormat="1" ht="15.75" customHeight="1">
      <c r="A47" s="14" t="s">
        <v>85</v>
      </c>
      <c r="B47" s="18" t="s">
        <v>86</v>
      </c>
      <c r="C47" s="13">
        <f>C48+C49</f>
        <v>131195</v>
      </c>
    </row>
    <row r="48" spans="1:3" ht="16.5" customHeight="1">
      <c r="A48" s="20" t="s">
        <v>323</v>
      </c>
      <c r="B48" s="108" t="s">
        <v>86</v>
      </c>
      <c r="C48" s="22">
        <f>22195+64000+45000</f>
        <v>131195</v>
      </c>
    </row>
    <row r="49" spans="1:3" ht="26.25" hidden="1">
      <c r="A49" s="20" t="s">
        <v>324</v>
      </c>
      <c r="B49" s="21" t="s">
        <v>87</v>
      </c>
      <c r="C49" s="22"/>
    </row>
    <row r="50" spans="1:3" s="16" customFormat="1" ht="26.25">
      <c r="A50" s="14" t="s">
        <v>88</v>
      </c>
      <c r="B50" s="31" t="s">
        <v>89</v>
      </c>
      <c r="C50" s="13">
        <f>C51</f>
        <v>1990</v>
      </c>
    </row>
    <row r="51" spans="1:3" ht="26.25">
      <c r="A51" s="20" t="s">
        <v>90</v>
      </c>
      <c r="B51" s="31" t="s">
        <v>91</v>
      </c>
      <c r="C51" s="22">
        <f>27990-26000</f>
        <v>1990</v>
      </c>
    </row>
    <row r="52" spans="1:3" ht="15.75" customHeight="1">
      <c r="A52" s="14" t="s">
        <v>92</v>
      </c>
      <c r="B52" s="15" t="s">
        <v>93</v>
      </c>
      <c r="C52" s="13">
        <f>C53+C55</f>
        <v>1159228</v>
      </c>
    </row>
    <row r="53" spans="1:3" ht="23.25" customHeight="1">
      <c r="A53" s="14" t="s">
        <v>94</v>
      </c>
      <c r="B53" s="117" t="s">
        <v>95</v>
      </c>
      <c r="C53" s="13">
        <f>C54</f>
        <v>1154228</v>
      </c>
    </row>
    <row r="54" spans="1:3" ht="39.75" customHeight="1">
      <c r="A54" s="20" t="s">
        <v>96</v>
      </c>
      <c r="B54" s="21" t="s">
        <v>97</v>
      </c>
      <c r="C54" s="22">
        <f>1159228-5000</f>
        <v>1154228</v>
      </c>
    </row>
    <row r="55" spans="1:3" s="3" customFormat="1" ht="24.75" customHeight="1">
      <c r="A55" s="90" t="s">
        <v>98</v>
      </c>
      <c r="B55" s="246" t="s">
        <v>99</v>
      </c>
      <c r="C55" s="29">
        <f>C56+C57</f>
        <v>5000</v>
      </c>
    </row>
    <row r="56" spans="1:3" ht="52.5" hidden="1">
      <c r="A56" s="20" t="s">
        <v>100</v>
      </c>
      <c r="B56" s="21" t="s">
        <v>101</v>
      </c>
      <c r="C56" s="24"/>
    </row>
    <row r="57" spans="1:3" ht="24.75" customHeight="1">
      <c r="A57" s="20" t="s">
        <v>3</v>
      </c>
      <c r="B57" s="21" t="s">
        <v>4</v>
      </c>
      <c r="C57" s="22">
        <v>5000</v>
      </c>
    </row>
    <row r="58" spans="1:3" ht="26.25" hidden="1">
      <c r="A58" s="35" t="s">
        <v>102</v>
      </c>
      <c r="B58" s="36" t="s">
        <v>103</v>
      </c>
      <c r="C58" s="13">
        <f>C59</f>
        <v>0</v>
      </c>
    </row>
    <row r="59" spans="1:3" s="7" customFormat="1" ht="52.5" hidden="1">
      <c r="A59" s="37" t="s">
        <v>104</v>
      </c>
      <c r="B59" s="38" t="s">
        <v>105</v>
      </c>
      <c r="C59" s="22"/>
    </row>
    <row r="60" spans="1:3" ht="26.25" customHeight="1">
      <c r="A60" s="14" t="s">
        <v>106</v>
      </c>
      <c r="B60" s="39" t="s">
        <v>107</v>
      </c>
      <c r="C60" s="13">
        <f>C61+C63+C65+C67+C75+C77+C79</f>
        <v>16933691</v>
      </c>
    </row>
    <row r="61" spans="1:3" ht="66" hidden="1">
      <c r="A61" s="40" t="s">
        <v>108</v>
      </c>
      <c r="B61" s="26" t="s">
        <v>109</v>
      </c>
      <c r="C61" s="13">
        <f>C62</f>
        <v>0</v>
      </c>
    </row>
    <row r="62" spans="1:3" ht="39" hidden="1">
      <c r="A62" s="2" t="s">
        <v>5</v>
      </c>
      <c r="B62" s="41" t="s">
        <v>6</v>
      </c>
      <c r="C62" s="22"/>
    </row>
    <row r="63" spans="1:3" ht="14.25" hidden="1">
      <c r="A63" s="40" t="s">
        <v>110</v>
      </c>
      <c r="B63" s="26" t="s">
        <v>111</v>
      </c>
      <c r="C63" s="13">
        <f>C64</f>
        <v>0</v>
      </c>
    </row>
    <row r="64" spans="1:3" ht="0.75" customHeight="1" hidden="1">
      <c r="A64" s="2" t="s">
        <v>112</v>
      </c>
      <c r="B64" s="21" t="s">
        <v>113</v>
      </c>
      <c r="C64" s="22"/>
    </row>
    <row r="65" spans="1:3" ht="26.25" hidden="1">
      <c r="A65" s="14" t="s">
        <v>114</v>
      </c>
      <c r="B65" s="26" t="s">
        <v>115</v>
      </c>
      <c r="C65" s="13">
        <f>C66</f>
        <v>0</v>
      </c>
    </row>
    <row r="66" spans="1:3" ht="26.25" hidden="1">
      <c r="A66" s="20" t="s">
        <v>116</v>
      </c>
      <c r="B66" s="21" t="s">
        <v>7</v>
      </c>
      <c r="C66" s="24"/>
    </row>
    <row r="67" spans="1:3" ht="58.5" customHeight="1">
      <c r="A67" s="14" t="s">
        <v>117</v>
      </c>
      <c r="B67" s="117" t="s">
        <v>118</v>
      </c>
      <c r="C67" s="13">
        <f>C68+C71+C73</f>
        <v>16933691</v>
      </c>
    </row>
    <row r="68" spans="1:3" ht="48.75" customHeight="1">
      <c r="A68" s="14" t="s">
        <v>119</v>
      </c>
      <c r="B68" s="117" t="s">
        <v>120</v>
      </c>
      <c r="C68" s="13">
        <f>C69+C70</f>
        <v>15512991</v>
      </c>
    </row>
    <row r="69" spans="1:3" ht="63.75" customHeight="1">
      <c r="A69" s="20" t="s">
        <v>39</v>
      </c>
      <c r="B69" s="134" t="s">
        <v>40</v>
      </c>
      <c r="C69" s="135">
        <f>4716009+2100000+1715000+1550000+5000000</f>
        <v>15081009</v>
      </c>
    </row>
    <row r="70" spans="1:3" ht="62.25" customHeight="1">
      <c r="A70" s="20" t="s">
        <v>121</v>
      </c>
      <c r="B70" s="21" t="s">
        <v>122</v>
      </c>
      <c r="C70" s="135">
        <f>446982-15000</f>
        <v>431982</v>
      </c>
    </row>
    <row r="71" spans="1:3" ht="15.75" customHeight="1" hidden="1">
      <c r="A71" s="42" t="s">
        <v>123</v>
      </c>
      <c r="B71" s="26" t="s">
        <v>124</v>
      </c>
      <c r="C71" s="22">
        <f>C72</f>
        <v>0</v>
      </c>
    </row>
    <row r="72" spans="1:3" ht="15.75" customHeight="1" hidden="1">
      <c r="A72" s="20" t="s">
        <v>8</v>
      </c>
      <c r="B72" s="21" t="s">
        <v>125</v>
      </c>
      <c r="C72" s="22"/>
    </row>
    <row r="73" spans="1:3" ht="63.75" customHeight="1">
      <c r="A73" s="14" t="s">
        <v>126</v>
      </c>
      <c r="B73" s="26" t="s">
        <v>127</v>
      </c>
      <c r="C73" s="13">
        <f>C74</f>
        <v>1420700</v>
      </c>
    </row>
    <row r="74" spans="1:3" ht="51" customHeight="1">
      <c r="A74" s="20" t="s">
        <v>128</v>
      </c>
      <c r="B74" s="21" t="s">
        <v>9</v>
      </c>
      <c r="C74" s="22">
        <f>1070700+350000</f>
        <v>1420700</v>
      </c>
    </row>
    <row r="75" spans="1:3" ht="26.25" hidden="1">
      <c r="A75" s="42" t="s">
        <v>129</v>
      </c>
      <c r="B75" s="26" t="s">
        <v>130</v>
      </c>
      <c r="C75" s="13">
        <f>C76</f>
        <v>0</v>
      </c>
    </row>
    <row r="76" spans="1:3" ht="39" hidden="1">
      <c r="A76" s="20" t="s">
        <v>10</v>
      </c>
      <c r="B76" s="21" t="s">
        <v>11</v>
      </c>
      <c r="C76" s="22"/>
    </row>
    <row r="77" spans="1:3" ht="78.75" hidden="1">
      <c r="A77" s="42" t="s">
        <v>131</v>
      </c>
      <c r="B77" s="26" t="s">
        <v>132</v>
      </c>
      <c r="C77" s="13">
        <f>C78</f>
        <v>0</v>
      </c>
    </row>
    <row r="78" spans="1:3" ht="66" hidden="1">
      <c r="A78" s="20" t="s">
        <v>12</v>
      </c>
      <c r="B78" s="21" t="s">
        <v>133</v>
      </c>
      <c r="C78" s="22"/>
    </row>
    <row r="79" spans="1:3" ht="3.75" customHeight="1" hidden="1">
      <c r="A79" s="42" t="s">
        <v>134</v>
      </c>
      <c r="B79" s="26" t="s">
        <v>135</v>
      </c>
      <c r="C79" s="13">
        <f>C80</f>
        <v>0</v>
      </c>
    </row>
    <row r="80" spans="1:3" ht="66" hidden="1">
      <c r="A80" s="20" t="s">
        <v>136</v>
      </c>
      <c r="B80" s="21" t="s">
        <v>137</v>
      </c>
      <c r="C80" s="22">
        <f>C81</f>
        <v>0</v>
      </c>
    </row>
    <row r="81" spans="1:3" ht="52.5" hidden="1">
      <c r="A81" s="20" t="s">
        <v>13</v>
      </c>
      <c r="B81" s="21" t="s">
        <v>138</v>
      </c>
      <c r="C81" s="22"/>
    </row>
    <row r="82" spans="1:3" ht="16.5" customHeight="1">
      <c r="A82" s="14" t="s">
        <v>139</v>
      </c>
      <c r="B82" s="15" t="s">
        <v>140</v>
      </c>
      <c r="C82" s="13">
        <f>C83</f>
        <v>143220</v>
      </c>
    </row>
    <row r="83" spans="1:3" ht="15.75" customHeight="1">
      <c r="A83" s="20" t="s">
        <v>141</v>
      </c>
      <c r="B83" s="30" t="s">
        <v>142</v>
      </c>
      <c r="C83" s="13">
        <f>SUM(C84:C87)</f>
        <v>143220</v>
      </c>
    </row>
    <row r="84" spans="1:3" ht="24.75" customHeight="1">
      <c r="A84" s="20" t="s">
        <v>143</v>
      </c>
      <c r="B84" s="115" t="s">
        <v>144</v>
      </c>
      <c r="C84" s="22">
        <f>133210+6000</f>
        <v>139210</v>
      </c>
    </row>
    <row r="85" spans="1:3" ht="26.25" hidden="1">
      <c r="A85" s="20" t="s">
        <v>145</v>
      </c>
      <c r="B85" s="115" t="s">
        <v>147</v>
      </c>
      <c r="C85" s="22"/>
    </row>
    <row r="86" spans="1:3" ht="15" customHeight="1">
      <c r="A86" s="20" t="s">
        <v>146</v>
      </c>
      <c r="B86" s="115" t="s">
        <v>147</v>
      </c>
      <c r="C86" s="22">
        <f>7260-6000</f>
        <v>1260</v>
      </c>
    </row>
    <row r="87" spans="1:3" s="106" customFormat="1" ht="14.25">
      <c r="A87" s="14" t="s">
        <v>148</v>
      </c>
      <c r="B87" s="116" t="s">
        <v>149</v>
      </c>
      <c r="C87" s="13">
        <f>C88+C89</f>
        <v>2750</v>
      </c>
    </row>
    <row r="88" spans="1:3" s="106" customFormat="1" ht="13.5" customHeight="1">
      <c r="A88" s="23" t="s">
        <v>337</v>
      </c>
      <c r="B88" s="136" t="s">
        <v>338</v>
      </c>
      <c r="C88" s="22">
        <v>2750</v>
      </c>
    </row>
    <row r="89" spans="1:3" s="3" customFormat="1" ht="15" customHeight="1" hidden="1">
      <c r="A89" s="23" t="s">
        <v>335</v>
      </c>
      <c r="B89" s="137" t="s">
        <v>336</v>
      </c>
      <c r="C89" s="24"/>
    </row>
    <row r="90" spans="1:3" ht="22.5" customHeight="1">
      <c r="A90" s="14" t="s">
        <v>150</v>
      </c>
      <c r="B90" s="162" t="s">
        <v>315</v>
      </c>
      <c r="C90" s="13">
        <f>C91</f>
        <v>8758843</v>
      </c>
    </row>
    <row r="91" spans="1:3" ht="15.75" customHeight="1">
      <c r="A91" s="14" t="s">
        <v>151</v>
      </c>
      <c r="B91" s="138" t="s">
        <v>350</v>
      </c>
      <c r="C91" s="13">
        <f>C92</f>
        <v>8758843</v>
      </c>
    </row>
    <row r="92" spans="1:3" ht="24.75" customHeight="1">
      <c r="A92" s="20" t="s">
        <v>152</v>
      </c>
      <c r="B92" s="158" t="s">
        <v>14</v>
      </c>
      <c r="C92" s="24">
        <f>14124184+712000-6327341+250000</f>
        <v>8758843</v>
      </c>
    </row>
    <row r="93" spans="1:3" ht="24" customHeight="1">
      <c r="A93" s="14" t="s">
        <v>153</v>
      </c>
      <c r="B93" s="117" t="s">
        <v>154</v>
      </c>
      <c r="C93" s="13">
        <f>C94+C96+C101+C102+C105+C107</f>
        <v>94229000</v>
      </c>
    </row>
    <row r="94" spans="1:3" ht="14.25" hidden="1">
      <c r="A94" s="40" t="s">
        <v>155</v>
      </c>
      <c r="B94" s="26" t="s">
        <v>156</v>
      </c>
      <c r="C94" s="13">
        <f>C95</f>
        <v>0</v>
      </c>
    </row>
    <row r="95" spans="1:3" ht="26.25" hidden="1">
      <c r="A95" s="2" t="s">
        <v>15</v>
      </c>
      <c r="B95" s="21" t="s">
        <v>16</v>
      </c>
      <c r="C95" s="22"/>
    </row>
    <row r="96" spans="1:3" ht="66" hidden="1">
      <c r="A96" s="40" t="s">
        <v>157</v>
      </c>
      <c r="B96" s="26" t="s">
        <v>158</v>
      </c>
      <c r="C96" s="13">
        <f>C97+C98+C99+C100</f>
        <v>0</v>
      </c>
    </row>
    <row r="97" spans="1:3" ht="66" hidden="1">
      <c r="A97" s="2" t="s">
        <v>159</v>
      </c>
      <c r="B97" s="21" t="s">
        <v>160</v>
      </c>
      <c r="C97" s="22"/>
    </row>
    <row r="98" spans="1:3" ht="66" hidden="1">
      <c r="A98" s="2" t="s">
        <v>161</v>
      </c>
      <c r="B98" s="21" t="s">
        <v>162</v>
      </c>
      <c r="C98" s="22"/>
    </row>
    <row r="99" spans="1:3" ht="66" hidden="1">
      <c r="A99" s="2" t="s">
        <v>163</v>
      </c>
      <c r="B99" s="21" t="s">
        <v>164</v>
      </c>
      <c r="C99" s="22"/>
    </row>
    <row r="100" spans="1:3" ht="66" hidden="1">
      <c r="A100" s="2" t="s">
        <v>165</v>
      </c>
      <c r="B100" s="21" t="s">
        <v>166</v>
      </c>
      <c r="C100" s="22"/>
    </row>
    <row r="101" spans="1:3" ht="39" hidden="1">
      <c r="A101" s="40" t="s">
        <v>167</v>
      </c>
      <c r="B101" s="26" t="s">
        <v>168</v>
      </c>
      <c r="C101" s="13">
        <f>C103</f>
        <v>0</v>
      </c>
    </row>
    <row r="102" spans="1:3" ht="39" hidden="1">
      <c r="A102" s="40" t="s">
        <v>169</v>
      </c>
      <c r="B102" s="26" t="s">
        <v>170</v>
      </c>
      <c r="C102" s="13">
        <f>C104</f>
        <v>0</v>
      </c>
    </row>
    <row r="103" spans="1:3" ht="0.75" customHeight="1" hidden="1">
      <c r="A103" s="2" t="s">
        <v>17</v>
      </c>
      <c r="B103" s="21" t="s">
        <v>18</v>
      </c>
      <c r="C103" s="22"/>
    </row>
    <row r="104" spans="1:3" ht="39" hidden="1">
      <c r="A104" s="2" t="s">
        <v>19</v>
      </c>
      <c r="B104" s="21" t="s">
        <v>20</v>
      </c>
      <c r="C104" s="22"/>
    </row>
    <row r="105" spans="1:3" ht="14.25" hidden="1">
      <c r="A105" s="40" t="s">
        <v>171</v>
      </c>
      <c r="B105" s="26" t="s">
        <v>172</v>
      </c>
      <c r="C105" s="22">
        <f>C106</f>
        <v>0</v>
      </c>
    </row>
    <row r="106" spans="1:3" ht="26.25" hidden="1">
      <c r="A106" s="2" t="s">
        <v>173</v>
      </c>
      <c r="B106" s="21" t="s">
        <v>174</v>
      </c>
      <c r="C106" s="22"/>
    </row>
    <row r="107" spans="1:3" ht="26.25" customHeight="1">
      <c r="A107" s="14" t="s">
        <v>175</v>
      </c>
      <c r="B107" s="26" t="s">
        <v>176</v>
      </c>
      <c r="C107" s="13">
        <f>C108+C111</f>
        <v>94229000</v>
      </c>
    </row>
    <row r="108" spans="1:3" ht="26.25" customHeight="1">
      <c r="A108" s="14" t="s">
        <v>177</v>
      </c>
      <c r="B108" s="26" t="s">
        <v>178</v>
      </c>
      <c r="C108" s="13">
        <f>C109+C110</f>
        <v>94229000</v>
      </c>
    </row>
    <row r="109" spans="1:3" ht="39" customHeight="1">
      <c r="A109" s="20" t="s">
        <v>38</v>
      </c>
      <c r="B109" s="134" t="s">
        <v>41</v>
      </c>
      <c r="C109" s="22">
        <f>2000+23475000+600000+22900000+2380000+4700000+40000000</f>
        <v>94057000</v>
      </c>
    </row>
    <row r="110" spans="1:3" ht="42" customHeight="1">
      <c r="A110" s="20" t="s">
        <v>179</v>
      </c>
      <c r="B110" s="21" t="s">
        <v>180</v>
      </c>
      <c r="C110" s="22">
        <f>2000+50000+20000+50000+50000</f>
        <v>172000</v>
      </c>
    </row>
    <row r="111" spans="1:3" ht="39" hidden="1">
      <c r="A111" s="44" t="s">
        <v>181</v>
      </c>
      <c r="B111" s="45" t="s">
        <v>182</v>
      </c>
      <c r="C111" s="22">
        <f>C112</f>
        <v>0</v>
      </c>
    </row>
    <row r="112" spans="1:3" ht="39" hidden="1">
      <c r="A112" s="46" t="s">
        <v>21</v>
      </c>
      <c r="B112" s="41" t="s">
        <v>183</v>
      </c>
      <c r="C112" s="22"/>
    </row>
    <row r="113" spans="1:3" ht="22.5" hidden="1">
      <c r="A113" s="14" t="s">
        <v>184</v>
      </c>
      <c r="B113" s="15" t="s">
        <v>185</v>
      </c>
      <c r="C113" s="13">
        <f>C114</f>
        <v>0</v>
      </c>
    </row>
    <row r="114" spans="1:3" ht="26.25" hidden="1">
      <c r="A114" s="14" t="s">
        <v>186</v>
      </c>
      <c r="B114" s="26" t="s">
        <v>187</v>
      </c>
      <c r="C114" s="13">
        <f>C115</f>
        <v>0</v>
      </c>
    </row>
    <row r="115" spans="1:3" ht="26.25" hidden="1">
      <c r="A115" s="20" t="s">
        <v>22</v>
      </c>
      <c r="B115" s="21" t="s">
        <v>188</v>
      </c>
      <c r="C115" s="22"/>
    </row>
    <row r="116" spans="1:3" ht="17.25" customHeight="1">
      <c r="A116" s="14" t="s">
        <v>189</v>
      </c>
      <c r="B116" s="15" t="s">
        <v>190</v>
      </c>
      <c r="C116" s="13">
        <f>C117+C120+C122+C124+C126+C128+C139+C143+C144+C148+C153+C152+C142+C150+C146</f>
        <v>817927</v>
      </c>
    </row>
    <row r="117" spans="1:3" ht="25.5" customHeight="1">
      <c r="A117" s="14" t="s">
        <v>191</v>
      </c>
      <c r="B117" s="26" t="s">
        <v>192</v>
      </c>
      <c r="C117" s="13">
        <f>C118+C119</f>
        <v>6000</v>
      </c>
    </row>
    <row r="118" spans="1:3" ht="0.75" customHeight="1" hidden="1">
      <c r="A118" s="20" t="s">
        <v>193</v>
      </c>
      <c r="B118" s="21" t="s">
        <v>194</v>
      </c>
      <c r="C118" s="22"/>
    </row>
    <row r="119" spans="1:3" ht="39">
      <c r="A119" s="20" t="s">
        <v>195</v>
      </c>
      <c r="B119" s="21" t="s">
        <v>196</v>
      </c>
      <c r="C119" s="22">
        <f>3000+3000</f>
        <v>6000</v>
      </c>
    </row>
    <row r="120" spans="1:3" ht="36" customHeight="1">
      <c r="A120" s="14" t="s">
        <v>197</v>
      </c>
      <c r="B120" s="117" t="s">
        <v>198</v>
      </c>
      <c r="C120" s="13">
        <f>C121</f>
        <v>45000</v>
      </c>
    </row>
    <row r="121" spans="1:3" ht="41.25" customHeight="1">
      <c r="A121" s="20" t="s">
        <v>199</v>
      </c>
      <c r="B121" s="21" t="s">
        <v>200</v>
      </c>
      <c r="C121" s="24">
        <v>45000</v>
      </c>
    </row>
    <row r="122" spans="1:3" ht="26.25" hidden="1">
      <c r="A122" s="14" t="s">
        <v>201</v>
      </c>
      <c r="B122" s="26" t="s">
        <v>202</v>
      </c>
      <c r="C122" s="13">
        <f>C123</f>
        <v>0</v>
      </c>
    </row>
    <row r="123" spans="1:3" ht="26.25" hidden="1">
      <c r="A123" s="20" t="s">
        <v>23</v>
      </c>
      <c r="B123" s="21" t="s">
        <v>24</v>
      </c>
      <c r="C123" s="22"/>
    </row>
    <row r="124" spans="1:3" ht="23.25" customHeight="1">
      <c r="A124" s="14" t="s">
        <v>203</v>
      </c>
      <c r="B124" s="117" t="s">
        <v>204</v>
      </c>
      <c r="C124" s="13">
        <f>C125</f>
        <v>67000</v>
      </c>
    </row>
    <row r="125" spans="1:3" ht="38.25" customHeight="1">
      <c r="A125" s="20" t="s">
        <v>205</v>
      </c>
      <c r="B125" s="21" t="s">
        <v>206</v>
      </c>
      <c r="C125" s="22">
        <f>41000+26000</f>
        <v>67000</v>
      </c>
    </row>
    <row r="126" spans="1:3" s="16" customFormat="1" ht="26.25" hidden="1">
      <c r="A126" s="14" t="s">
        <v>207</v>
      </c>
      <c r="B126" s="15" t="s">
        <v>208</v>
      </c>
      <c r="C126" s="13">
        <f>C127</f>
        <v>0</v>
      </c>
    </row>
    <row r="127" spans="1:3" ht="39" hidden="1">
      <c r="A127" s="20" t="s">
        <v>325</v>
      </c>
      <c r="B127" s="21" t="s">
        <v>209</v>
      </c>
      <c r="C127" s="22"/>
    </row>
    <row r="128" spans="1:3" ht="68.25" hidden="1">
      <c r="A128" s="14" t="s">
        <v>342</v>
      </c>
      <c r="B128" s="117" t="s">
        <v>210</v>
      </c>
      <c r="C128" s="29">
        <f>C129+C130+C131+C132+C133+C134+C135+C137</f>
        <v>0</v>
      </c>
    </row>
    <row r="129" spans="1:3" ht="26.25" hidden="1">
      <c r="A129" s="20" t="s">
        <v>211</v>
      </c>
      <c r="B129" s="21" t="s">
        <v>212</v>
      </c>
      <c r="C129" s="22"/>
    </row>
    <row r="130" spans="1:3" ht="26.25" hidden="1">
      <c r="A130" s="20" t="s">
        <v>213</v>
      </c>
      <c r="B130" s="21" t="s">
        <v>214</v>
      </c>
      <c r="C130" s="22"/>
    </row>
    <row r="131" spans="1:3" ht="26.25" hidden="1">
      <c r="A131" s="20" t="s">
        <v>215</v>
      </c>
      <c r="B131" s="21" t="s">
        <v>216</v>
      </c>
      <c r="C131" s="22"/>
    </row>
    <row r="132" spans="1:3" ht="26.25" hidden="1">
      <c r="A132" s="20" t="s">
        <v>217</v>
      </c>
      <c r="B132" s="21" t="s">
        <v>218</v>
      </c>
      <c r="C132" s="22"/>
    </row>
    <row r="133" spans="1:3" ht="26.25" hidden="1">
      <c r="A133" s="20" t="s">
        <v>219</v>
      </c>
      <c r="B133" s="21" t="s">
        <v>220</v>
      </c>
      <c r="C133" s="22"/>
    </row>
    <row r="134" spans="1:3" s="3" customFormat="1" ht="24" customHeight="1" hidden="1">
      <c r="A134" s="23" t="s">
        <v>221</v>
      </c>
      <c r="B134" s="47" t="s">
        <v>222</v>
      </c>
      <c r="C134" s="24"/>
    </row>
    <row r="135" spans="1:3" ht="26.25" hidden="1">
      <c r="A135" s="42" t="s">
        <v>223</v>
      </c>
      <c r="B135" s="26" t="s">
        <v>224</v>
      </c>
      <c r="C135" s="22">
        <f>C136</f>
        <v>0</v>
      </c>
    </row>
    <row r="136" spans="1:3" ht="39" hidden="1">
      <c r="A136" s="20" t="s">
        <v>225</v>
      </c>
      <c r="B136" s="21" t="s">
        <v>226</v>
      </c>
      <c r="C136" s="22"/>
    </row>
    <row r="137" spans="1:3" ht="26.25" hidden="1">
      <c r="A137" s="42" t="s">
        <v>227</v>
      </c>
      <c r="B137" s="26" t="s">
        <v>228</v>
      </c>
      <c r="C137" s="22">
        <f>C138</f>
        <v>0</v>
      </c>
    </row>
    <row r="138" spans="1:3" ht="39" hidden="1">
      <c r="A138" s="20" t="s">
        <v>229</v>
      </c>
      <c r="B138" s="21" t="s">
        <v>230</v>
      </c>
      <c r="C138" s="22"/>
    </row>
    <row r="139" spans="1:3" ht="39">
      <c r="A139" s="20" t="s">
        <v>231</v>
      </c>
      <c r="B139" s="21" t="s">
        <v>232</v>
      </c>
      <c r="C139" s="13">
        <f>2000+500</f>
        <v>2500</v>
      </c>
    </row>
    <row r="140" spans="1:3" ht="22.5">
      <c r="A140" s="118" t="s">
        <v>233</v>
      </c>
      <c r="B140" s="117" t="s">
        <v>234</v>
      </c>
      <c r="C140" s="29">
        <f>C141+C143</f>
        <v>42500</v>
      </c>
    </row>
    <row r="141" spans="1:3" ht="39" hidden="1">
      <c r="A141" s="25" t="s">
        <v>235</v>
      </c>
      <c r="B141" s="26" t="s">
        <v>236</v>
      </c>
      <c r="C141" s="29">
        <f>C142</f>
        <v>0</v>
      </c>
    </row>
    <row r="142" spans="1:3" ht="39" hidden="1">
      <c r="A142" s="48" t="s">
        <v>237</v>
      </c>
      <c r="B142" s="21" t="s">
        <v>238</v>
      </c>
      <c r="C142" s="22"/>
    </row>
    <row r="143" spans="1:3" ht="24" customHeight="1">
      <c r="A143" s="20" t="s">
        <v>239</v>
      </c>
      <c r="B143" s="21" t="s">
        <v>240</v>
      </c>
      <c r="C143" s="22">
        <f>25000+15000+2500</f>
        <v>42500</v>
      </c>
    </row>
    <row r="144" spans="1:3" ht="39" hidden="1">
      <c r="A144" s="42" t="s">
        <v>241</v>
      </c>
      <c r="B144" s="26" t="s">
        <v>242</v>
      </c>
      <c r="C144" s="13">
        <f>C145</f>
        <v>0</v>
      </c>
    </row>
    <row r="145" spans="1:3" ht="39" hidden="1">
      <c r="A145" s="20" t="s">
        <v>243</v>
      </c>
      <c r="B145" s="21" t="s">
        <v>244</v>
      </c>
      <c r="C145" s="22"/>
    </row>
    <row r="146" spans="1:3" ht="35.25" customHeight="1" hidden="1">
      <c r="A146" s="139" t="s">
        <v>326</v>
      </c>
      <c r="B146" s="140" t="s">
        <v>327</v>
      </c>
      <c r="C146" s="13">
        <f>C147</f>
        <v>0</v>
      </c>
    </row>
    <row r="147" spans="1:3" ht="52.5" hidden="1">
      <c r="A147" s="141" t="s">
        <v>328</v>
      </c>
      <c r="B147" s="134" t="s">
        <v>318</v>
      </c>
      <c r="C147" s="22"/>
    </row>
    <row r="148" spans="1:3" ht="16.5" customHeight="1">
      <c r="A148" s="142" t="s">
        <v>245</v>
      </c>
      <c r="B148" s="109" t="s">
        <v>246</v>
      </c>
      <c r="C148" s="163">
        <f>C149</f>
        <v>10842</v>
      </c>
    </row>
    <row r="149" spans="1:3" ht="25.5" customHeight="1">
      <c r="A149" s="49" t="s">
        <v>247</v>
      </c>
      <c r="B149" s="50" t="s">
        <v>248</v>
      </c>
      <c r="C149" s="22">
        <f>2842+8000</f>
        <v>10842</v>
      </c>
    </row>
    <row r="150" spans="1:3" s="4" customFormat="1" ht="26.25" hidden="1">
      <c r="A150" s="51" t="s">
        <v>249</v>
      </c>
      <c r="B150" s="52" t="s">
        <v>250</v>
      </c>
      <c r="C150" s="53">
        <f>C151</f>
        <v>0</v>
      </c>
    </row>
    <row r="151" spans="1:3" ht="39" hidden="1">
      <c r="A151" s="54" t="s">
        <v>251</v>
      </c>
      <c r="B151" s="43" t="s">
        <v>25</v>
      </c>
      <c r="C151" s="29"/>
    </row>
    <row r="152" spans="1:3" ht="51" customHeight="1">
      <c r="A152" s="28" t="s">
        <v>252</v>
      </c>
      <c r="B152" s="21" t="s">
        <v>253</v>
      </c>
      <c r="C152" s="22">
        <f>114676-50000</f>
        <v>64676</v>
      </c>
    </row>
    <row r="153" spans="1:3" s="16" customFormat="1" ht="24" customHeight="1">
      <c r="A153" s="14" t="s">
        <v>254</v>
      </c>
      <c r="B153" s="117" t="s">
        <v>255</v>
      </c>
      <c r="C153" s="13">
        <f>C154</f>
        <v>579409</v>
      </c>
    </row>
    <row r="154" spans="1:3" ht="26.25" customHeight="1">
      <c r="A154" s="20" t="s">
        <v>256</v>
      </c>
      <c r="B154" s="21" t="s">
        <v>26</v>
      </c>
      <c r="C154" s="22">
        <f>670409-14000-77000</f>
        <v>579409</v>
      </c>
    </row>
    <row r="155" spans="1:3" ht="15" hidden="1">
      <c r="A155" s="40" t="s">
        <v>257</v>
      </c>
      <c r="B155" s="15" t="s">
        <v>258</v>
      </c>
      <c r="C155" s="55">
        <f>C156</f>
        <v>27000</v>
      </c>
    </row>
    <row r="156" spans="1:3" ht="14.25">
      <c r="A156" s="40" t="s">
        <v>259</v>
      </c>
      <c r="B156" s="45" t="s">
        <v>260</v>
      </c>
      <c r="C156" s="56">
        <f>C157</f>
        <v>27000</v>
      </c>
    </row>
    <row r="157" spans="1:3" ht="26.25">
      <c r="A157" s="20" t="s">
        <v>27</v>
      </c>
      <c r="B157" s="21" t="s">
        <v>28</v>
      </c>
      <c r="C157" s="164">
        <v>27000</v>
      </c>
    </row>
    <row r="158" spans="1:3" ht="17.25" customHeight="1">
      <c r="A158" s="57" t="s">
        <v>261</v>
      </c>
      <c r="B158" s="58" t="s">
        <v>262</v>
      </c>
      <c r="C158" s="59">
        <f>C159+C250+C257+C254</f>
        <v>396586142.77</v>
      </c>
    </row>
    <row r="159" spans="1:3" ht="27" customHeight="1">
      <c r="A159" s="57" t="s">
        <v>263</v>
      </c>
      <c r="B159" s="60" t="s">
        <v>264</v>
      </c>
      <c r="C159" s="61">
        <f>C160+C165+C193+C243</f>
        <v>389226854</v>
      </c>
    </row>
    <row r="160" spans="1:3" ht="16.5" customHeight="1">
      <c r="A160" s="62" t="s">
        <v>370</v>
      </c>
      <c r="B160" s="119" t="s">
        <v>265</v>
      </c>
      <c r="C160" s="63">
        <f>C161+C163</f>
        <v>12846773</v>
      </c>
    </row>
    <row r="161" spans="1:3" ht="14.25">
      <c r="A161" s="62" t="s">
        <v>371</v>
      </c>
      <c r="B161" s="64" t="s">
        <v>266</v>
      </c>
      <c r="C161" s="63">
        <f>C162</f>
        <v>9341043</v>
      </c>
    </row>
    <row r="162" spans="1:3" s="3" customFormat="1" ht="26.25">
      <c r="A162" s="65" t="s">
        <v>372</v>
      </c>
      <c r="B162" s="73" t="s">
        <v>29</v>
      </c>
      <c r="C162" s="66">
        <v>9341043</v>
      </c>
    </row>
    <row r="163" spans="1:3" ht="26.25">
      <c r="A163" s="62" t="s">
        <v>400</v>
      </c>
      <c r="B163" s="67" t="s">
        <v>267</v>
      </c>
      <c r="C163" s="61">
        <f>C164</f>
        <v>3505730</v>
      </c>
    </row>
    <row r="164" spans="1:3" ht="26.25">
      <c r="A164" s="68" t="s">
        <v>401</v>
      </c>
      <c r="B164" s="69" t="s">
        <v>268</v>
      </c>
      <c r="C164" s="66">
        <f>1960843+321209+1223678</f>
        <v>3505730</v>
      </c>
    </row>
    <row r="165" spans="1:3" ht="25.5" customHeight="1">
      <c r="A165" s="14" t="s">
        <v>389</v>
      </c>
      <c r="B165" s="155" t="s">
        <v>269</v>
      </c>
      <c r="C165" s="61">
        <f>C180+C166+C168+C172+C170+C176+C174</f>
        <v>50738357</v>
      </c>
    </row>
    <row r="166" spans="1:3" s="16" customFormat="1" ht="0.75" customHeight="1" hidden="1">
      <c r="A166" s="143"/>
      <c r="B166" s="165"/>
      <c r="C166" s="61">
        <f>C167</f>
        <v>0</v>
      </c>
    </row>
    <row r="167" spans="1:3" ht="14.25" hidden="1">
      <c r="A167" s="144"/>
      <c r="B167" s="166"/>
      <c r="C167" s="66"/>
    </row>
    <row r="168" spans="1:3" s="16" customFormat="1" ht="22.5" hidden="1">
      <c r="A168" s="139" t="s">
        <v>402</v>
      </c>
      <c r="B168" s="167" t="s">
        <v>270</v>
      </c>
      <c r="C168" s="61">
        <f>C169</f>
        <v>0</v>
      </c>
    </row>
    <row r="169" spans="1:3" ht="33" customHeight="1" hidden="1">
      <c r="A169" s="128" t="s">
        <v>390</v>
      </c>
      <c r="B169" s="166" t="s">
        <v>36</v>
      </c>
      <c r="C169" s="66"/>
    </row>
    <row r="170" spans="1:3" ht="33.75" hidden="1">
      <c r="A170" s="145" t="s">
        <v>403</v>
      </c>
      <c r="B170" s="168" t="s">
        <v>339</v>
      </c>
      <c r="C170" s="61">
        <f>C171</f>
        <v>0</v>
      </c>
    </row>
    <row r="171" spans="1:3" ht="39" hidden="1">
      <c r="A171" s="146" t="s">
        <v>357</v>
      </c>
      <c r="B171" s="169" t="s">
        <v>340</v>
      </c>
      <c r="C171" s="66"/>
    </row>
    <row r="172" spans="1:3" ht="35.25" customHeight="1">
      <c r="A172" s="139" t="s">
        <v>404</v>
      </c>
      <c r="B172" s="167" t="s">
        <v>271</v>
      </c>
      <c r="C172" s="61">
        <f>C173</f>
        <v>1300000</v>
      </c>
    </row>
    <row r="173" spans="1:3" ht="41.25" customHeight="1">
      <c r="A173" s="128" t="s">
        <v>358</v>
      </c>
      <c r="B173" s="166" t="s">
        <v>37</v>
      </c>
      <c r="C173" s="66">
        <v>1300000</v>
      </c>
    </row>
    <row r="174" spans="1:3" ht="33.75">
      <c r="A174" s="139" t="s">
        <v>405</v>
      </c>
      <c r="B174" s="170" t="s">
        <v>406</v>
      </c>
      <c r="C174" s="61">
        <f>C175</f>
        <v>1302450</v>
      </c>
    </row>
    <row r="175" spans="1:3" ht="39">
      <c r="A175" s="128" t="s">
        <v>359</v>
      </c>
      <c r="B175" s="171" t="s">
        <v>360</v>
      </c>
      <c r="C175" s="66">
        <v>1302450</v>
      </c>
    </row>
    <row r="176" spans="1:3" s="106" customFormat="1" ht="36.75" customHeight="1">
      <c r="A176" s="139" t="s">
        <v>407</v>
      </c>
      <c r="B176" s="170" t="s">
        <v>408</v>
      </c>
      <c r="C176" s="61">
        <f>C177+C178+C179</f>
        <v>18215813</v>
      </c>
    </row>
    <row r="177" spans="1:3" ht="52.5" customHeight="1">
      <c r="A177" s="128" t="s">
        <v>391</v>
      </c>
      <c r="B177" s="171" t="s">
        <v>409</v>
      </c>
      <c r="C177" s="66">
        <v>4742062</v>
      </c>
    </row>
    <row r="178" spans="1:3" ht="51.75" customHeight="1">
      <c r="A178" s="128" t="s">
        <v>391</v>
      </c>
      <c r="B178" s="171" t="s">
        <v>410</v>
      </c>
      <c r="C178" s="66">
        <v>12172899</v>
      </c>
    </row>
    <row r="179" spans="1:3" ht="50.25" customHeight="1">
      <c r="A179" s="128" t="s">
        <v>391</v>
      </c>
      <c r="B179" s="76" t="s">
        <v>411</v>
      </c>
      <c r="C179" s="66">
        <v>1300852</v>
      </c>
    </row>
    <row r="180" spans="1:3" ht="18" customHeight="1">
      <c r="A180" s="147" t="s">
        <v>373</v>
      </c>
      <c r="B180" s="172" t="s">
        <v>272</v>
      </c>
      <c r="C180" s="61">
        <f>SUM(C181:C192)</f>
        <v>29920094</v>
      </c>
    </row>
    <row r="181" spans="1:3" ht="39" hidden="1">
      <c r="A181" s="71" t="s">
        <v>273</v>
      </c>
      <c r="B181" s="76" t="s">
        <v>412</v>
      </c>
      <c r="C181" s="66"/>
    </row>
    <row r="182" spans="1:3" ht="52.5" hidden="1">
      <c r="A182" s="71" t="s">
        <v>273</v>
      </c>
      <c r="B182" s="157" t="s">
        <v>413</v>
      </c>
      <c r="C182" s="66"/>
    </row>
    <row r="183" spans="1:3" ht="24.75" customHeight="1">
      <c r="A183" s="71" t="s">
        <v>374</v>
      </c>
      <c r="B183" s="173" t="s">
        <v>375</v>
      </c>
      <c r="C183" s="66">
        <v>1800000</v>
      </c>
    </row>
    <row r="184" spans="1:3" ht="0.75" customHeight="1" hidden="1">
      <c r="A184" s="71" t="s">
        <v>374</v>
      </c>
      <c r="B184" s="76"/>
      <c r="C184" s="66"/>
    </row>
    <row r="185" spans="1:3" ht="39">
      <c r="A185" s="71" t="s">
        <v>374</v>
      </c>
      <c r="B185" s="157" t="s">
        <v>414</v>
      </c>
      <c r="C185" s="66">
        <v>1017730</v>
      </c>
    </row>
    <row r="186" spans="1:3" ht="26.25">
      <c r="A186" s="71" t="s">
        <v>374</v>
      </c>
      <c r="B186" s="173" t="s">
        <v>415</v>
      </c>
      <c r="C186" s="72">
        <v>1607171</v>
      </c>
    </row>
    <row r="187" spans="1:3" ht="48.75" customHeight="1">
      <c r="A187" s="71" t="s">
        <v>374</v>
      </c>
      <c r="B187" s="174" t="s">
        <v>416</v>
      </c>
      <c r="C187" s="74">
        <v>48449</v>
      </c>
    </row>
    <row r="188" spans="1:3" ht="48.75" customHeight="1">
      <c r="A188" s="71" t="s">
        <v>374</v>
      </c>
      <c r="B188" s="174" t="s">
        <v>417</v>
      </c>
      <c r="C188" s="66">
        <v>889886</v>
      </c>
    </row>
    <row r="189" spans="1:3" ht="39" customHeight="1">
      <c r="A189" s="71" t="s">
        <v>374</v>
      </c>
      <c r="B189" s="157" t="s">
        <v>274</v>
      </c>
      <c r="C189" s="66">
        <v>615795</v>
      </c>
    </row>
    <row r="190" spans="1:3" ht="39" customHeight="1">
      <c r="A190" s="71" t="s">
        <v>374</v>
      </c>
      <c r="B190" s="157" t="s">
        <v>420</v>
      </c>
      <c r="C190" s="66">
        <v>1748640</v>
      </c>
    </row>
    <row r="191" spans="1:3" ht="39" customHeight="1">
      <c r="A191" s="71" t="s">
        <v>374</v>
      </c>
      <c r="B191" s="157" t="s">
        <v>421</v>
      </c>
      <c r="C191" s="66">
        <v>9060810</v>
      </c>
    </row>
    <row r="192" spans="1:3" ht="51" customHeight="1">
      <c r="A192" s="71" t="s">
        <v>374</v>
      </c>
      <c r="B192" s="157" t="s">
        <v>422</v>
      </c>
      <c r="C192" s="66">
        <v>13131613</v>
      </c>
    </row>
    <row r="193" spans="1:3" ht="14.25" customHeight="1">
      <c r="A193" s="14" t="s">
        <v>376</v>
      </c>
      <c r="B193" s="120" t="s">
        <v>275</v>
      </c>
      <c r="C193" s="61">
        <f>C196+C198+C200+C202+C204+C206+C208+C220+C210+C215+C217+C212+C194</f>
        <v>325191724</v>
      </c>
    </row>
    <row r="194" spans="1:3" ht="36" customHeight="1">
      <c r="A194" s="14" t="s">
        <v>377</v>
      </c>
      <c r="B194" s="124" t="s">
        <v>276</v>
      </c>
      <c r="C194" s="93">
        <f>C195</f>
        <v>63415</v>
      </c>
    </row>
    <row r="195" spans="1:3" ht="39">
      <c r="A195" s="23" t="s">
        <v>378</v>
      </c>
      <c r="B195" s="76" t="s">
        <v>30</v>
      </c>
      <c r="C195" s="148">
        <v>63415</v>
      </c>
    </row>
    <row r="196" spans="1:3" ht="25.5" customHeight="1">
      <c r="A196" s="14" t="s">
        <v>379</v>
      </c>
      <c r="B196" s="124" t="s">
        <v>277</v>
      </c>
      <c r="C196" s="61">
        <f>C197</f>
        <v>9054167</v>
      </c>
    </row>
    <row r="197" spans="1:3" ht="39" customHeight="1">
      <c r="A197" s="23" t="s">
        <v>380</v>
      </c>
      <c r="B197" s="76" t="s">
        <v>32</v>
      </c>
      <c r="C197" s="148">
        <v>9054167</v>
      </c>
    </row>
    <row r="198" spans="1:3" ht="33.75">
      <c r="A198" s="125" t="s">
        <v>423</v>
      </c>
      <c r="B198" s="140" t="s">
        <v>352</v>
      </c>
      <c r="C198" s="61">
        <f>C199</f>
        <v>16600</v>
      </c>
    </row>
    <row r="199" spans="1:3" s="3" customFormat="1" ht="51" customHeight="1">
      <c r="A199" s="77" t="s">
        <v>424</v>
      </c>
      <c r="B199" s="134" t="s">
        <v>353</v>
      </c>
      <c r="C199" s="66">
        <v>16600</v>
      </c>
    </row>
    <row r="200" spans="1:3" ht="14.25" hidden="1">
      <c r="A200" s="20"/>
      <c r="B200" s="78"/>
      <c r="C200" s="66">
        <f>C201</f>
        <v>0</v>
      </c>
    </row>
    <row r="201" spans="1:3" ht="14.25" hidden="1">
      <c r="A201" s="79"/>
      <c r="B201" s="80"/>
      <c r="C201" s="81"/>
    </row>
    <row r="202" spans="1:3" ht="17.25" customHeight="1">
      <c r="A202" s="14" t="s">
        <v>381</v>
      </c>
      <c r="B202" s="149" t="s">
        <v>382</v>
      </c>
      <c r="C202" s="61">
        <f>C203</f>
        <v>2746541</v>
      </c>
    </row>
    <row r="203" spans="1:3" ht="15" customHeight="1">
      <c r="A203" s="127" t="s">
        <v>383</v>
      </c>
      <c r="B203" s="150" t="s">
        <v>361</v>
      </c>
      <c r="C203" s="66">
        <v>2746541</v>
      </c>
    </row>
    <row r="204" spans="1:3" ht="39" hidden="1">
      <c r="A204" s="20" t="s">
        <v>278</v>
      </c>
      <c r="B204" s="78" t="s">
        <v>279</v>
      </c>
      <c r="C204" s="66">
        <f>C205</f>
        <v>0</v>
      </c>
    </row>
    <row r="205" spans="1:3" ht="39" hidden="1">
      <c r="A205" s="20" t="s">
        <v>280</v>
      </c>
      <c r="B205" s="78" t="s">
        <v>31</v>
      </c>
      <c r="C205" s="66"/>
    </row>
    <row r="206" spans="1:3" ht="26.25" customHeight="1" hidden="1">
      <c r="A206" s="20" t="s">
        <v>281</v>
      </c>
      <c r="B206" s="78" t="s">
        <v>282</v>
      </c>
      <c r="C206" s="66">
        <f>C207</f>
        <v>0</v>
      </c>
    </row>
    <row r="207" spans="1:3" ht="0.75" customHeight="1" hidden="1">
      <c r="A207" s="20" t="s">
        <v>283</v>
      </c>
      <c r="B207" s="82"/>
      <c r="C207" s="81"/>
    </row>
    <row r="208" spans="1:3" ht="38.25" customHeight="1" hidden="1">
      <c r="A208" s="12"/>
      <c r="B208" s="12"/>
      <c r="C208" s="66">
        <f>C209</f>
        <v>0</v>
      </c>
    </row>
    <row r="209" spans="1:3" ht="41.25" customHeight="1" hidden="1">
      <c r="A209" s="12"/>
      <c r="B209" s="12"/>
      <c r="C209" s="66"/>
    </row>
    <row r="210" spans="1:3" ht="26.25" hidden="1">
      <c r="A210" s="83" t="s">
        <v>284</v>
      </c>
      <c r="B210" s="21"/>
      <c r="C210" s="66">
        <f>C211</f>
        <v>0</v>
      </c>
    </row>
    <row r="211" spans="1:3" ht="26.25" hidden="1">
      <c r="A211" s="84" t="s">
        <v>285</v>
      </c>
      <c r="B211" s="85"/>
      <c r="C211" s="81"/>
    </row>
    <row r="212" spans="1:3" ht="132" customHeight="1" hidden="1">
      <c r="A212" s="86" t="s">
        <v>286</v>
      </c>
      <c r="B212" s="87" t="s">
        <v>287</v>
      </c>
      <c r="C212" s="66"/>
    </row>
    <row r="213" spans="1:3" ht="105" hidden="1">
      <c r="A213" s="86" t="s">
        <v>288</v>
      </c>
      <c r="B213" s="87" t="s">
        <v>289</v>
      </c>
      <c r="C213" s="66"/>
    </row>
    <row r="214" spans="1:3" ht="105" hidden="1">
      <c r="A214" s="86" t="s">
        <v>288</v>
      </c>
      <c r="B214" s="87" t="s">
        <v>290</v>
      </c>
      <c r="C214" s="66"/>
    </row>
    <row r="215" spans="1:3" ht="14.25" hidden="1">
      <c r="A215" s="86"/>
      <c r="B215" s="21"/>
      <c r="C215" s="66"/>
    </row>
    <row r="216" spans="1:3" ht="14.25" hidden="1">
      <c r="A216" s="86"/>
      <c r="B216" s="88"/>
      <c r="C216" s="66"/>
    </row>
    <row r="217" spans="1:3" ht="14.25" hidden="1">
      <c r="A217" s="86"/>
      <c r="B217" s="89"/>
      <c r="C217" s="66"/>
    </row>
    <row r="218" spans="1:3" ht="14.25" hidden="1">
      <c r="A218" s="86"/>
      <c r="B218" s="89"/>
      <c r="C218" s="66"/>
    </row>
    <row r="219" spans="1:3" s="92" customFormat="1" ht="15.75" customHeight="1">
      <c r="A219" s="90" t="s">
        <v>384</v>
      </c>
      <c r="B219" s="91" t="s">
        <v>291</v>
      </c>
      <c r="C219" s="61">
        <f>C220</f>
        <v>313311001</v>
      </c>
    </row>
    <row r="220" spans="1:3" ht="15.75" customHeight="1">
      <c r="A220" s="90" t="s">
        <v>385</v>
      </c>
      <c r="B220" s="91" t="s">
        <v>33</v>
      </c>
      <c r="C220" s="93">
        <f>SUM(C222:C242)</f>
        <v>313311001</v>
      </c>
    </row>
    <row r="221" spans="1:3" ht="13.5" customHeight="1">
      <c r="A221" s="68"/>
      <c r="B221" s="94" t="s">
        <v>293</v>
      </c>
      <c r="C221" s="66"/>
    </row>
    <row r="222" spans="1:3" ht="38.25" customHeight="1">
      <c r="A222" s="68" t="s">
        <v>385</v>
      </c>
      <c r="B222" s="47" t="s">
        <v>294</v>
      </c>
      <c r="C222" s="148">
        <v>888000</v>
      </c>
    </row>
    <row r="223" spans="1:3" ht="62.25" customHeight="1">
      <c r="A223" s="68" t="s">
        <v>385</v>
      </c>
      <c r="B223" s="76" t="s">
        <v>488</v>
      </c>
      <c r="C223" s="148">
        <v>216205718</v>
      </c>
    </row>
    <row r="224" spans="1:3" ht="63" customHeight="1">
      <c r="A224" s="68" t="s">
        <v>385</v>
      </c>
      <c r="B224" s="76" t="s">
        <v>296</v>
      </c>
      <c r="C224" s="148">
        <v>20466008</v>
      </c>
    </row>
    <row r="225" spans="1:3" ht="26.25" customHeight="1" hidden="1">
      <c r="A225" s="68" t="s">
        <v>292</v>
      </c>
      <c r="B225" s="78" t="s">
        <v>297</v>
      </c>
      <c r="C225" s="148"/>
    </row>
    <row r="226" spans="1:3" ht="62.25" customHeight="1">
      <c r="A226" s="68" t="s">
        <v>385</v>
      </c>
      <c r="B226" s="76" t="s">
        <v>298</v>
      </c>
      <c r="C226" s="151">
        <v>48715678</v>
      </c>
    </row>
    <row r="227" spans="1:3" ht="53.25" customHeight="1">
      <c r="A227" s="68" t="s">
        <v>385</v>
      </c>
      <c r="B227" s="96" t="s">
        <v>299</v>
      </c>
      <c r="C227" s="148">
        <v>2080810</v>
      </c>
    </row>
    <row r="228" spans="1:3" ht="64.5" customHeight="1">
      <c r="A228" s="68" t="s">
        <v>385</v>
      </c>
      <c r="B228" s="76" t="s">
        <v>354</v>
      </c>
      <c r="C228" s="148">
        <v>223052</v>
      </c>
    </row>
    <row r="229" spans="1:3" ht="38.25" customHeight="1">
      <c r="A229" s="68" t="s">
        <v>385</v>
      </c>
      <c r="B229" s="76" t="s">
        <v>300</v>
      </c>
      <c r="C229" s="148">
        <v>1575907</v>
      </c>
    </row>
    <row r="230" spans="1:3" ht="51" customHeight="1">
      <c r="A230" s="68" t="s">
        <v>385</v>
      </c>
      <c r="B230" s="76" t="s">
        <v>355</v>
      </c>
      <c r="C230" s="148">
        <v>52872</v>
      </c>
    </row>
    <row r="231" spans="1:3" ht="25.5" customHeight="1">
      <c r="A231" s="68" t="s">
        <v>385</v>
      </c>
      <c r="B231" s="76" t="s">
        <v>301</v>
      </c>
      <c r="C231" s="148">
        <v>329014</v>
      </c>
    </row>
    <row r="232" spans="1:3" ht="39.75" customHeight="1">
      <c r="A232" s="68" t="s">
        <v>385</v>
      </c>
      <c r="B232" s="76" t="s">
        <v>302</v>
      </c>
      <c r="C232" s="148">
        <v>296000</v>
      </c>
    </row>
    <row r="233" spans="1:3" ht="38.25" customHeight="1">
      <c r="A233" s="68" t="s">
        <v>385</v>
      </c>
      <c r="B233" s="76" t="s">
        <v>303</v>
      </c>
      <c r="C233" s="148">
        <v>296000</v>
      </c>
    </row>
    <row r="234" spans="1:3" ht="25.5" customHeight="1">
      <c r="A234" s="68" t="s">
        <v>385</v>
      </c>
      <c r="B234" s="76" t="s">
        <v>304</v>
      </c>
      <c r="C234" s="148">
        <v>296000</v>
      </c>
    </row>
    <row r="235" spans="1:3" ht="38.25" customHeight="1">
      <c r="A235" s="68" t="s">
        <v>385</v>
      </c>
      <c r="B235" s="76" t="s">
        <v>305</v>
      </c>
      <c r="C235" s="148">
        <v>124300</v>
      </c>
    </row>
    <row r="236" spans="1:3" ht="26.25" customHeight="1">
      <c r="A236" s="68" t="s">
        <v>385</v>
      </c>
      <c r="B236" s="75" t="s">
        <v>306</v>
      </c>
      <c r="C236" s="151">
        <v>9944982</v>
      </c>
    </row>
    <row r="237" spans="1:3" ht="26.25" customHeight="1">
      <c r="A237" s="68" t="s">
        <v>385</v>
      </c>
      <c r="B237" s="47" t="s">
        <v>316</v>
      </c>
      <c r="C237" s="151">
        <v>1404078</v>
      </c>
    </row>
    <row r="238" spans="1:3" ht="64.5" customHeight="1">
      <c r="A238" s="68" t="s">
        <v>385</v>
      </c>
      <c r="B238" s="76" t="s">
        <v>317</v>
      </c>
      <c r="C238" s="148">
        <v>261767</v>
      </c>
    </row>
    <row r="239" spans="1:3" ht="38.25" customHeight="1">
      <c r="A239" s="68" t="s">
        <v>385</v>
      </c>
      <c r="B239" s="76" t="s">
        <v>307</v>
      </c>
      <c r="C239" s="148">
        <v>2072000</v>
      </c>
    </row>
    <row r="240" spans="1:3" ht="38.25" customHeight="1">
      <c r="A240" s="68" t="s">
        <v>385</v>
      </c>
      <c r="B240" s="47" t="s">
        <v>418</v>
      </c>
      <c r="C240" s="148">
        <v>280884</v>
      </c>
    </row>
    <row r="241" spans="1:3" ht="40.5" customHeight="1">
      <c r="A241" s="68" t="s">
        <v>385</v>
      </c>
      <c r="B241" s="47" t="s">
        <v>489</v>
      </c>
      <c r="C241" s="148">
        <v>29600</v>
      </c>
    </row>
    <row r="242" spans="1:3" ht="51" customHeight="1">
      <c r="A242" s="68" t="s">
        <v>385</v>
      </c>
      <c r="B242" s="76" t="s">
        <v>309</v>
      </c>
      <c r="C242" s="148">
        <v>7768331</v>
      </c>
    </row>
    <row r="243" spans="1:3" s="16" customFormat="1" ht="15" customHeight="1">
      <c r="A243" s="107" t="s">
        <v>425</v>
      </c>
      <c r="B243" s="175" t="s">
        <v>310</v>
      </c>
      <c r="C243" s="61">
        <f>C246+C248+C244</f>
        <v>450000</v>
      </c>
    </row>
    <row r="244" spans="1:3" s="16" customFormat="1" ht="35.25" customHeight="1">
      <c r="A244" s="176" t="s">
        <v>426</v>
      </c>
      <c r="B244" s="177" t="s">
        <v>427</v>
      </c>
      <c r="C244" s="61">
        <f>C245</f>
        <v>290000</v>
      </c>
    </row>
    <row r="245" spans="1:3" s="16" customFormat="1" ht="51" customHeight="1">
      <c r="A245" s="178" t="s">
        <v>362</v>
      </c>
      <c r="B245" s="160" t="s">
        <v>363</v>
      </c>
      <c r="C245" s="66">
        <v>290000</v>
      </c>
    </row>
    <row r="246" spans="1:3" ht="36" customHeight="1">
      <c r="A246" s="139" t="s">
        <v>428</v>
      </c>
      <c r="B246" s="140" t="s">
        <v>341</v>
      </c>
      <c r="C246" s="110">
        <f>C247</f>
        <v>60000</v>
      </c>
    </row>
    <row r="247" spans="1:3" ht="39" customHeight="1">
      <c r="A247" s="128" t="s">
        <v>429</v>
      </c>
      <c r="B247" s="134" t="s">
        <v>34</v>
      </c>
      <c r="C247" s="95">
        <f>30000+30000</f>
        <v>60000</v>
      </c>
    </row>
    <row r="248" spans="1:3" s="106" customFormat="1" ht="24.75" customHeight="1">
      <c r="A248" s="139" t="s">
        <v>430</v>
      </c>
      <c r="B248" s="177" t="s">
        <v>431</v>
      </c>
      <c r="C248" s="110">
        <f>C249</f>
        <v>100000</v>
      </c>
    </row>
    <row r="249" spans="1:3" ht="25.5" customHeight="1">
      <c r="A249" s="128" t="s">
        <v>432</v>
      </c>
      <c r="B249" s="160" t="s">
        <v>433</v>
      </c>
      <c r="C249" s="66">
        <v>100000</v>
      </c>
    </row>
    <row r="250" spans="1:3" ht="15" customHeight="1">
      <c r="A250" s="121" t="s">
        <v>311</v>
      </c>
      <c r="B250" s="122" t="s">
        <v>312</v>
      </c>
      <c r="C250" s="102">
        <f>C251</f>
        <v>8037472</v>
      </c>
    </row>
    <row r="251" spans="1:3" ht="16.5" customHeight="1">
      <c r="A251" s="25" t="s">
        <v>386</v>
      </c>
      <c r="B251" s="39" t="s">
        <v>35</v>
      </c>
      <c r="C251" s="103">
        <f>C253+C252</f>
        <v>8037472</v>
      </c>
    </row>
    <row r="252" spans="1:3" ht="38.25" customHeight="1">
      <c r="A252" s="123" t="s">
        <v>419</v>
      </c>
      <c r="B252" s="247" t="s">
        <v>364</v>
      </c>
      <c r="C252" s="161">
        <f>6327341</f>
        <v>6327341</v>
      </c>
    </row>
    <row r="253" spans="1:3" s="16" customFormat="1" ht="18" customHeight="1">
      <c r="A253" s="123" t="s">
        <v>387</v>
      </c>
      <c r="B253" s="30" t="s">
        <v>35</v>
      </c>
      <c r="C253" s="104">
        <f>1710131</f>
        <v>1710131</v>
      </c>
    </row>
    <row r="254" spans="1:3" s="16" customFormat="1" ht="1.5" customHeight="1" hidden="1">
      <c r="A254" s="152" t="s">
        <v>329</v>
      </c>
      <c r="B254" s="153" t="s">
        <v>330</v>
      </c>
      <c r="C254" s="154">
        <f>C255</f>
        <v>0</v>
      </c>
    </row>
    <row r="255" spans="1:3" s="16" customFormat="1" ht="48" hidden="1">
      <c r="A255" s="70" t="s">
        <v>331</v>
      </c>
      <c r="B255" s="101" t="s">
        <v>332</v>
      </c>
      <c r="C255" s="66">
        <f>C256</f>
        <v>0</v>
      </c>
    </row>
    <row r="256" spans="1:3" s="16" customFormat="1" ht="36" hidden="1">
      <c r="A256" s="70" t="s">
        <v>333</v>
      </c>
      <c r="B256" s="101" t="s">
        <v>334</v>
      </c>
      <c r="C256" s="66"/>
    </row>
    <row r="257" spans="1:3" s="16" customFormat="1" ht="35.25" customHeight="1">
      <c r="A257" s="97" t="s">
        <v>313</v>
      </c>
      <c r="B257" s="179" t="s">
        <v>314</v>
      </c>
      <c r="C257" s="98">
        <f>C258</f>
        <v>-678183.23</v>
      </c>
    </row>
    <row r="258" spans="1:3" s="16" customFormat="1" ht="24.75" customHeight="1">
      <c r="A258" s="100" t="s">
        <v>365</v>
      </c>
      <c r="B258" s="126" t="s">
        <v>319</v>
      </c>
      <c r="C258" s="105">
        <f>C259</f>
        <v>-678183.23</v>
      </c>
    </row>
    <row r="259" spans="1:3" s="16" customFormat="1" ht="38.25" customHeight="1">
      <c r="A259" s="100" t="s">
        <v>366</v>
      </c>
      <c r="B259" s="126" t="s">
        <v>320</v>
      </c>
      <c r="C259" s="105">
        <v>-678183.23</v>
      </c>
    </row>
  </sheetData>
  <sheetProtection/>
  <mergeCells count="14">
    <mergeCell ref="B1:C1"/>
    <mergeCell ref="B2:C2"/>
    <mergeCell ref="B3:C3"/>
    <mergeCell ref="B4:C4"/>
    <mergeCell ref="B5:C5"/>
    <mergeCell ref="B6:C6"/>
    <mergeCell ref="A14:C14"/>
    <mergeCell ref="A19:B19"/>
    <mergeCell ref="B7:C7"/>
    <mergeCell ref="B8:C8"/>
    <mergeCell ref="B9:C9"/>
    <mergeCell ref="A10:C10"/>
    <mergeCell ref="A12:C12"/>
    <mergeCell ref="A13:C13"/>
  </mergeCells>
  <printOptions/>
  <pageMargins left="0.9055118110236221" right="0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18.421875" style="0" customWidth="1"/>
    <col min="2" max="2" width="52.421875" style="0" customWidth="1"/>
    <col min="3" max="3" width="12.57421875" style="190" customWidth="1"/>
    <col min="4" max="4" width="12.00390625" style="190" customWidth="1"/>
  </cols>
  <sheetData>
    <row r="1" spans="1:4" ht="12.75" customHeight="1">
      <c r="A1" s="5"/>
      <c r="B1" s="580" t="s">
        <v>434</v>
      </c>
      <c r="C1" s="580"/>
      <c r="D1" s="580"/>
    </row>
    <row r="2" spans="1:4" ht="11.25" customHeight="1">
      <c r="A2" s="5"/>
      <c r="B2" s="574" t="s">
        <v>43</v>
      </c>
      <c r="C2" s="574"/>
      <c r="D2" s="574"/>
    </row>
    <row r="3" spans="1:4" ht="12.75" customHeight="1">
      <c r="A3" s="5"/>
      <c r="B3" s="574" t="s">
        <v>44</v>
      </c>
      <c r="C3" s="574"/>
      <c r="D3" s="574"/>
    </row>
    <row r="4" spans="1:4" ht="12.75" customHeight="1">
      <c r="A4" s="5"/>
      <c r="B4" s="574" t="s">
        <v>435</v>
      </c>
      <c r="C4" s="574"/>
      <c r="D4" s="574"/>
    </row>
    <row r="5" spans="1:4" ht="12.75" customHeight="1">
      <c r="A5" s="5"/>
      <c r="B5" s="574" t="s">
        <v>45</v>
      </c>
      <c r="C5" s="574"/>
      <c r="D5" s="574"/>
    </row>
    <row r="6" spans="1:4" ht="13.5" customHeight="1">
      <c r="A6" s="5"/>
      <c r="B6" s="577" t="s">
        <v>367</v>
      </c>
      <c r="C6" s="577"/>
      <c r="D6" s="577"/>
    </row>
    <row r="7" spans="1:4" ht="14.25">
      <c r="A7" s="5"/>
      <c r="B7" s="574" t="s">
        <v>0</v>
      </c>
      <c r="C7" s="574"/>
      <c r="D7" s="574"/>
    </row>
    <row r="8" spans="1:4" ht="14.25">
      <c r="A8" s="5"/>
      <c r="B8" s="574" t="s">
        <v>1</v>
      </c>
      <c r="C8" s="574"/>
      <c r="D8" s="574"/>
    </row>
    <row r="9" spans="1:4" ht="14.25">
      <c r="A9" s="5"/>
      <c r="B9" s="574" t="s">
        <v>1326</v>
      </c>
      <c r="C9" s="574"/>
      <c r="D9" s="574"/>
    </row>
    <row r="10" spans="1:4" ht="13.5" customHeight="1">
      <c r="A10" s="575"/>
      <c r="B10" s="575"/>
      <c r="C10" s="181"/>
      <c r="D10" s="181"/>
    </row>
    <row r="11" spans="2:4" ht="14.25" hidden="1">
      <c r="B11" s="1"/>
      <c r="C11" s="180"/>
      <c r="D11" s="180"/>
    </row>
    <row r="12" spans="1:4" ht="15.75" customHeight="1">
      <c r="A12" s="576" t="s">
        <v>436</v>
      </c>
      <c r="B12" s="576"/>
      <c r="C12" s="182"/>
      <c r="D12" s="182"/>
    </row>
    <row r="13" spans="1:4" ht="14.25" customHeight="1">
      <c r="A13" s="576" t="s">
        <v>47</v>
      </c>
      <c r="B13" s="576"/>
      <c r="C13" s="182"/>
      <c r="D13" s="182"/>
    </row>
    <row r="14" spans="1:4" ht="16.5" customHeight="1">
      <c r="A14" s="572" t="s">
        <v>437</v>
      </c>
      <c r="B14" s="572"/>
      <c r="C14" s="182"/>
      <c r="D14" s="182"/>
    </row>
    <row r="15" spans="1:4" ht="14.25" hidden="1">
      <c r="A15" s="6"/>
      <c r="B15" s="7"/>
      <c r="C15" s="183"/>
      <c r="D15" s="183"/>
    </row>
    <row r="16" spans="1:4" ht="13.5" customHeight="1">
      <c r="A16" s="6"/>
      <c r="B16" s="7"/>
      <c r="C16" s="184"/>
      <c r="D16" s="9" t="s">
        <v>48</v>
      </c>
    </row>
    <row r="17" spans="1:4" ht="40.5" customHeight="1">
      <c r="A17" s="111" t="s">
        <v>2</v>
      </c>
      <c r="B17" s="112" t="s">
        <v>49</v>
      </c>
      <c r="C17" s="113" t="s">
        <v>438</v>
      </c>
      <c r="D17" s="113" t="s">
        <v>439</v>
      </c>
    </row>
    <row r="18" spans="1:4" ht="14.25">
      <c r="A18" s="191">
        <v>1</v>
      </c>
      <c r="B18" s="191">
        <v>2</v>
      </c>
      <c r="C18" s="191">
        <v>3</v>
      </c>
      <c r="D18" s="191">
        <v>4</v>
      </c>
    </row>
    <row r="19" spans="1:4" ht="14.25">
      <c r="A19" s="578" t="s">
        <v>50</v>
      </c>
      <c r="B19" s="579"/>
      <c r="C19" s="192">
        <f>C20+C160</f>
        <v>465236434</v>
      </c>
      <c r="D19" s="156">
        <f>D20+D160</f>
        <v>443791859</v>
      </c>
    </row>
    <row r="20" spans="1:4" ht="14.25">
      <c r="A20" s="14" t="s">
        <v>51</v>
      </c>
      <c r="B20" s="15" t="s">
        <v>52</v>
      </c>
      <c r="C20" s="156">
        <f>C23+C39+C54+C63+C85+C92+C95+C115+C118+C157+C60+C29</f>
        <v>180933870</v>
      </c>
      <c r="D20" s="156">
        <f>D23+D39+D54+D63+D85+D92+D95+D115+D118+D157+D60+D29</f>
        <v>168522544</v>
      </c>
    </row>
    <row r="21" spans="1:4" s="196" customFormat="1" ht="14.25" hidden="1">
      <c r="A21" s="193"/>
      <c r="B21" s="194" t="s">
        <v>440</v>
      </c>
      <c r="C21" s="195">
        <f>C22+C62+C160</f>
        <v>465236434</v>
      </c>
      <c r="D21" s="195">
        <f>D22+D62+D160</f>
        <v>443791859</v>
      </c>
    </row>
    <row r="22" spans="1:4" s="200" customFormat="1" ht="14.25" hidden="1">
      <c r="A22" s="197"/>
      <c r="B22" s="198" t="s">
        <v>441</v>
      </c>
      <c r="C22" s="199">
        <f>C23+C29+C39+C54</f>
        <v>150880320</v>
      </c>
      <c r="D22" s="199">
        <f>D23+D29+D39+D54</f>
        <v>153526863</v>
      </c>
    </row>
    <row r="23" spans="1:4" s="3" customFormat="1" ht="17.25" customHeight="1">
      <c r="A23" s="201" t="s">
        <v>53</v>
      </c>
      <c r="B23" s="202" t="s">
        <v>54</v>
      </c>
      <c r="C23" s="102">
        <f>C24</f>
        <v>139607551</v>
      </c>
      <c r="D23" s="102">
        <f>D24</f>
        <v>145405631</v>
      </c>
    </row>
    <row r="24" spans="1:4" ht="17.25" customHeight="1">
      <c r="A24" s="17" t="s">
        <v>55</v>
      </c>
      <c r="B24" s="19" t="s">
        <v>56</v>
      </c>
      <c r="C24" s="156">
        <f>C25+C26+C27+C28</f>
        <v>139607551</v>
      </c>
      <c r="D24" s="156">
        <f>D25+D26+D27+D28</f>
        <v>145405631</v>
      </c>
    </row>
    <row r="25" spans="1:4" ht="63.75" customHeight="1">
      <c r="A25" s="20" t="s">
        <v>57</v>
      </c>
      <c r="B25" s="21" t="s">
        <v>58</v>
      </c>
      <c r="C25" s="22">
        <v>135339009</v>
      </c>
      <c r="D25" s="22">
        <v>141032288</v>
      </c>
    </row>
    <row r="26" spans="1:4" ht="92.25">
      <c r="A26" s="20" t="s">
        <v>59</v>
      </c>
      <c r="B26" s="21" t="s">
        <v>60</v>
      </c>
      <c r="C26" s="22">
        <v>2787530</v>
      </c>
      <c r="D26" s="22">
        <v>2913115</v>
      </c>
    </row>
    <row r="27" spans="1:4" ht="39">
      <c r="A27" s="23" t="s">
        <v>61</v>
      </c>
      <c r="B27" s="21" t="s">
        <v>62</v>
      </c>
      <c r="C27" s="24">
        <v>1481012</v>
      </c>
      <c r="D27" s="24">
        <v>1460228</v>
      </c>
    </row>
    <row r="28" spans="1:4" ht="78.75" hidden="1">
      <c r="A28" s="20" t="s">
        <v>63</v>
      </c>
      <c r="B28" s="21" t="s">
        <v>64</v>
      </c>
      <c r="C28" s="22"/>
      <c r="D28" s="22"/>
    </row>
    <row r="29" spans="1:4" s="27" customFormat="1" ht="27" customHeight="1">
      <c r="A29" s="25" t="s">
        <v>65</v>
      </c>
      <c r="B29" s="124" t="s">
        <v>66</v>
      </c>
      <c r="C29" s="185">
        <f>C30</f>
        <v>5148267</v>
      </c>
      <c r="D29" s="185">
        <f>D30</f>
        <v>5506162</v>
      </c>
    </row>
    <row r="30" spans="1:4" s="27" customFormat="1" ht="27" customHeight="1">
      <c r="A30" s="25" t="s">
        <v>67</v>
      </c>
      <c r="B30" s="21" t="s">
        <v>68</v>
      </c>
      <c r="C30" s="185">
        <f>C31+C33+C35+C37</f>
        <v>5148267</v>
      </c>
      <c r="D30" s="185">
        <f>D31+D33+D35+D37</f>
        <v>5506162</v>
      </c>
    </row>
    <row r="31" spans="1:4" ht="60" customHeight="1">
      <c r="A31" s="25" t="s">
        <v>69</v>
      </c>
      <c r="B31" s="117" t="s">
        <v>70</v>
      </c>
      <c r="C31" s="156">
        <f>C32</f>
        <v>1865589</v>
      </c>
      <c r="D31" s="156">
        <f>D32</f>
        <v>1991348</v>
      </c>
    </row>
    <row r="32" spans="1:4" ht="92.25" customHeight="1">
      <c r="A32" s="28" t="s">
        <v>392</v>
      </c>
      <c r="B32" s="159" t="s">
        <v>393</v>
      </c>
      <c r="C32" s="22">
        <v>1865589</v>
      </c>
      <c r="D32" s="22">
        <v>1991348</v>
      </c>
    </row>
    <row r="33" spans="1:4" ht="72" customHeight="1">
      <c r="A33" s="25" t="s">
        <v>71</v>
      </c>
      <c r="B33" s="117" t="s">
        <v>72</v>
      </c>
      <c r="C33" s="156">
        <f>C34</f>
        <v>12318</v>
      </c>
      <c r="D33" s="156">
        <f>D34</f>
        <v>12748</v>
      </c>
    </row>
    <row r="34" spans="1:4" ht="103.5" customHeight="1">
      <c r="A34" s="28" t="s">
        <v>394</v>
      </c>
      <c r="B34" s="134" t="s">
        <v>395</v>
      </c>
      <c r="C34" s="203">
        <v>12318</v>
      </c>
      <c r="D34" s="203">
        <v>12748</v>
      </c>
    </row>
    <row r="35" spans="1:4" ht="60" customHeight="1">
      <c r="A35" s="25" t="s">
        <v>73</v>
      </c>
      <c r="B35" s="117" t="s">
        <v>74</v>
      </c>
      <c r="C35" s="156">
        <f>C36</f>
        <v>3617400</v>
      </c>
      <c r="D35" s="156">
        <f>D36</f>
        <v>3862671</v>
      </c>
    </row>
    <row r="36" spans="1:4" ht="105" customHeight="1">
      <c r="A36" s="28" t="s">
        <v>396</v>
      </c>
      <c r="B36" s="159" t="s">
        <v>397</v>
      </c>
      <c r="C36" s="22">
        <v>3617400</v>
      </c>
      <c r="D36" s="22">
        <v>3862671</v>
      </c>
    </row>
    <row r="37" spans="1:4" ht="60" customHeight="1">
      <c r="A37" s="25" t="s">
        <v>75</v>
      </c>
      <c r="B37" s="117" t="s">
        <v>76</v>
      </c>
      <c r="C37" s="156">
        <f>C38</f>
        <v>-347040</v>
      </c>
      <c r="D37" s="156">
        <f>D38</f>
        <v>-360605</v>
      </c>
    </row>
    <row r="38" spans="1:4" ht="101.25" customHeight="1">
      <c r="A38" s="28" t="s">
        <v>398</v>
      </c>
      <c r="B38" s="159" t="s">
        <v>399</v>
      </c>
      <c r="C38" s="22">
        <v>-347040</v>
      </c>
      <c r="D38" s="22">
        <v>-360605</v>
      </c>
    </row>
    <row r="39" spans="1:4" ht="16.5" customHeight="1">
      <c r="A39" s="14" t="s">
        <v>77</v>
      </c>
      <c r="B39" s="15" t="s">
        <v>78</v>
      </c>
      <c r="C39" s="13">
        <f>C46+C49+C52+C40</f>
        <v>4965274</v>
      </c>
      <c r="D39" s="13">
        <f>D46+D49+D52+D40</f>
        <v>1455842</v>
      </c>
    </row>
    <row r="40" spans="1:4" ht="24" customHeight="1">
      <c r="A40" s="57" t="s">
        <v>442</v>
      </c>
      <c r="B40" s="202" t="s">
        <v>79</v>
      </c>
      <c r="C40" s="29">
        <f>C41+C43+C45</f>
        <v>227151</v>
      </c>
      <c r="D40" s="29">
        <f>D41+D43+D45</f>
        <v>231920</v>
      </c>
    </row>
    <row r="41" spans="1:4" ht="26.25" customHeight="1">
      <c r="A41" s="57" t="s">
        <v>443</v>
      </c>
      <c r="B41" s="202" t="s">
        <v>444</v>
      </c>
      <c r="C41" s="29">
        <f>C42</f>
        <v>155920</v>
      </c>
      <c r="D41" s="29">
        <f>D42</f>
        <v>159194</v>
      </c>
    </row>
    <row r="42" spans="1:4" ht="27" customHeight="1">
      <c r="A42" s="204" t="s">
        <v>445</v>
      </c>
      <c r="B42" s="205" t="s">
        <v>444</v>
      </c>
      <c r="C42" s="24">
        <v>155920</v>
      </c>
      <c r="D42" s="24">
        <v>159194</v>
      </c>
    </row>
    <row r="43" spans="1:4" ht="37.5" customHeight="1">
      <c r="A43" s="204" t="s">
        <v>446</v>
      </c>
      <c r="B43" s="205" t="s">
        <v>80</v>
      </c>
      <c r="C43" s="29">
        <f>C44</f>
        <v>71231</v>
      </c>
      <c r="D43" s="29">
        <f>D44</f>
        <v>72726</v>
      </c>
    </row>
    <row r="44" spans="1:4" ht="53.25" customHeight="1">
      <c r="A44" s="206" t="s">
        <v>447</v>
      </c>
      <c r="B44" s="47" t="s">
        <v>321</v>
      </c>
      <c r="C44" s="22">
        <v>71231</v>
      </c>
      <c r="D44" s="22">
        <v>72726</v>
      </c>
    </row>
    <row r="45" spans="1:4" ht="27" customHeight="1" hidden="1">
      <c r="A45" s="207" t="s">
        <v>351</v>
      </c>
      <c r="B45" s="208" t="s">
        <v>448</v>
      </c>
      <c r="C45" s="22"/>
      <c r="D45" s="22"/>
    </row>
    <row r="46" spans="1:4" s="16" customFormat="1" ht="25.5" customHeight="1">
      <c r="A46" s="14" t="s">
        <v>81</v>
      </c>
      <c r="B46" s="26" t="s">
        <v>82</v>
      </c>
      <c r="C46" s="13">
        <f>C47+C48</f>
        <v>4686961</v>
      </c>
      <c r="D46" s="13">
        <f>D47+D48</f>
        <v>1171740</v>
      </c>
    </row>
    <row r="47" spans="1:4" ht="26.25" customHeight="1">
      <c r="A47" s="20" t="s">
        <v>83</v>
      </c>
      <c r="B47" s="21" t="s">
        <v>82</v>
      </c>
      <c r="C47" s="209">
        <v>4686961</v>
      </c>
      <c r="D47" s="209">
        <v>1171740</v>
      </c>
    </row>
    <row r="48" spans="1:4" ht="39" hidden="1">
      <c r="A48" s="20" t="s">
        <v>322</v>
      </c>
      <c r="B48" s="21" t="s">
        <v>84</v>
      </c>
      <c r="C48" s="22"/>
      <c r="D48" s="22"/>
    </row>
    <row r="49" spans="1:4" s="16" customFormat="1" ht="16.5" customHeight="1">
      <c r="A49" s="14" t="s">
        <v>85</v>
      </c>
      <c r="B49" s="15" t="s">
        <v>86</v>
      </c>
      <c r="C49" s="13">
        <f>C50+C51</f>
        <v>23172</v>
      </c>
      <c r="D49" s="13">
        <f>D50+D51</f>
        <v>24192</v>
      </c>
    </row>
    <row r="50" spans="1:4" ht="16.5" customHeight="1">
      <c r="A50" s="20" t="s">
        <v>323</v>
      </c>
      <c r="B50" s="108" t="s">
        <v>86</v>
      </c>
      <c r="C50" s="210">
        <v>23172</v>
      </c>
      <c r="D50" s="211">
        <v>24192</v>
      </c>
    </row>
    <row r="51" spans="1:4" ht="13.5" customHeight="1" hidden="1">
      <c r="A51" s="20" t="s">
        <v>324</v>
      </c>
      <c r="B51" s="21" t="s">
        <v>87</v>
      </c>
      <c r="C51" s="22"/>
      <c r="D51" s="22"/>
    </row>
    <row r="52" spans="1:4" s="16" customFormat="1" ht="26.25">
      <c r="A52" s="14" t="s">
        <v>88</v>
      </c>
      <c r="B52" s="31" t="s">
        <v>89</v>
      </c>
      <c r="C52" s="13">
        <f>C53</f>
        <v>27990</v>
      </c>
      <c r="D52" s="13">
        <f>D53</f>
        <v>27990</v>
      </c>
    </row>
    <row r="53" spans="1:4" ht="39">
      <c r="A53" s="20" t="s">
        <v>90</v>
      </c>
      <c r="B53" s="31" t="s">
        <v>91</v>
      </c>
      <c r="C53" s="22">
        <v>27990</v>
      </c>
      <c r="D53" s="22">
        <v>27990</v>
      </c>
    </row>
    <row r="54" spans="1:4" ht="18.75" customHeight="1">
      <c r="A54" s="14" t="s">
        <v>92</v>
      </c>
      <c r="B54" s="15" t="s">
        <v>93</v>
      </c>
      <c r="C54" s="156">
        <f>C55+C57</f>
        <v>1159228</v>
      </c>
      <c r="D54" s="156">
        <f>D55+D57</f>
        <v>1159228</v>
      </c>
    </row>
    <row r="55" spans="1:4" ht="26.25" customHeight="1">
      <c r="A55" s="14" t="s">
        <v>94</v>
      </c>
      <c r="B55" s="26" t="s">
        <v>95</v>
      </c>
      <c r="C55" s="156">
        <f>C56</f>
        <v>1159228</v>
      </c>
      <c r="D55" s="156">
        <f>D56</f>
        <v>1159228</v>
      </c>
    </row>
    <row r="56" spans="1:4" ht="39" customHeight="1">
      <c r="A56" s="20" t="s">
        <v>96</v>
      </c>
      <c r="B56" s="21" t="s">
        <v>97</v>
      </c>
      <c r="C56" s="22">
        <v>1159228</v>
      </c>
      <c r="D56" s="22">
        <v>1159228</v>
      </c>
    </row>
    <row r="57" spans="1:4" ht="25.5" customHeight="1" hidden="1">
      <c r="A57" s="32" t="s">
        <v>98</v>
      </c>
      <c r="B57" s="33" t="s">
        <v>99</v>
      </c>
      <c r="C57" s="34"/>
      <c r="D57" s="34"/>
    </row>
    <row r="58" spans="1:4" ht="52.5" hidden="1">
      <c r="A58" s="20" t="s">
        <v>100</v>
      </c>
      <c r="B58" s="21" t="s">
        <v>101</v>
      </c>
      <c r="C58" s="22"/>
      <c r="D58" s="22"/>
    </row>
    <row r="59" spans="1:4" ht="26.25" hidden="1">
      <c r="A59" s="20" t="s">
        <v>3</v>
      </c>
      <c r="B59" s="21" t="s">
        <v>4</v>
      </c>
      <c r="C59" s="22"/>
      <c r="D59" s="22"/>
    </row>
    <row r="60" spans="1:4" ht="0.75" customHeight="1" hidden="1">
      <c r="A60" s="35" t="s">
        <v>102</v>
      </c>
      <c r="B60" s="36" t="s">
        <v>103</v>
      </c>
      <c r="C60" s="13"/>
      <c r="D60" s="13"/>
    </row>
    <row r="61" spans="1:4" s="7" customFormat="1" ht="52.5" hidden="1">
      <c r="A61" s="37" t="s">
        <v>104</v>
      </c>
      <c r="B61" s="38" t="s">
        <v>105</v>
      </c>
      <c r="C61" s="22"/>
      <c r="D61" s="22"/>
    </row>
    <row r="62" spans="1:4" s="214" customFormat="1" ht="12.75" hidden="1">
      <c r="A62" s="212"/>
      <c r="B62" s="198" t="s">
        <v>449</v>
      </c>
      <c r="C62" s="213">
        <f>C63+C85+C92+C95+C118</f>
        <v>30053550</v>
      </c>
      <c r="D62" s="213">
        <f>D63+D85+D92+D95+D118</f>
        <v>14995681</v>
      </c>
    </row>
    <row r="63" spans="1:4" ht="39" customHeight="1">
      <c r="A63" s="14" t="s">
        <v>106</v>
      </c>
      <c r="B63" s="39" t="s">
        <v>107</v>
      </c>
      <c r="C63" s="13">
        <f>C64+C66+C68+C70+C78+C80+C82</f>
        <v>21291560</v>
      </c>
      <c r="D63" s="13">
        <f>D64+D66+D68+D70+D78+D80+D82</f>
        <v>6233691</v>
      </c>
    </row>
    <row r="64" spans="1:4" ht="78.75" hidden="1">
      <c r="A64" s="40" t="s">
        <v>108</v>
      </c>
      <c r="B64" s="26" t="s">
        <v>109</v>
      </c>
      <c r="C64" s="13"/>
      <c r="D64" s="13"/>
    </row>
    <row r="65" spans="1:4" ht="52.5" hidden="1">
      <c r="A65" s="2" t="s">
        <v>5</v>
      </c>
      <c r="B65" s="41" t="s">
        <v>6</v>
      </c>
      <c r="C65" s="22"/>
      <c r="D65" s="22"/>
    </row>
    <row r="66" spans="1:4" ht="14.25" hidden="1">
      <c r="A66" s="40" t="s">
        <v>110</v>
      </c>
      <c r="B66" s="26" t="s">
        <v>111</v>
      </c>
      <c r="C66" s="13"/>
      <c r="D66" s="13"/>
    </row>
    <row r="67" spans="1:4" ht="26.25" hidden="1">
      <c r="A67" s="2" t="s">
        <v>112</v>
      </c>
      <c r="B67" s="21" t="s">
        <v>113</v>
      </c>
      <c r="C67" s="22"/>
      <c r="D67" s="22"/>
    </row>
    <row r="68" spans="1:4" ht="26.25" customHeight="1" hidden="1">
      <c r="A68" s="14" t="s">
        <v>114</v>
      </c>
      <c r="B68" s="26" t="s">
        <v>115</v>
      </c>
      <c r="C68" s="13">
        <f>C69</f>
        <v>0</v>
      </c>
      <c r="D68" s="13">
        <f>D69</f>
        <v>0</v>
      </c>
    </row>
    <row r="69" spans="1:4" ht="26.25" customHeight="1" hidden="1">
      <c r="A69" s="20" t="s">
        <v>116</v>
      </c>
      <c r="B69" s="21" t="s">
        <v>7</v>
      </c>
      <c r="C69" s="22"/>
      <c r="D69" s="22"/>
    </row>
    <row r="70" spans="1:4" ht="71.25" customHeight="1">
      <c r="A70" s="14" t="s">
        <v>117</v>
      </c>
      <c r="B70" s="117" t="s">
        <v>118</v>
      </c>
      <c r="C70" s="13">
        <f>C71+C74+C76</f>
        <v>21291560</v>
      </c>
      <c r="D70" s="13">
        <f>D71+D74+D76</f>
        <v>6233691</v>
      </c>
    </row>
    <row r="71" spans="1:4" ht="47.25" customHeight="1">
      <c r="A71" s="14" t="s">
        <v>119</v>
      </c>
      <c r="B71" s="117" t="s">
        <v>120</v>
      </c>
      <c r="C71" s="13">
        <f>C72+C73</f>
        <v>20220860</v>
      </c>
      <c r="D71" s="13">
        <f>D72+D73</f>
        <v>5162991</v>
      </c>
    </row>
    <row r="72" spans="1:4" ht="64.5" customHeight="1">
      <c r="A72" s="20" t="s">
        <v>39</v>
      </c>
      <c r="B72" s="134" t="s">
        <v>40</v>
      </c>
      <c r="C72" s="215">
        <f>4716009+15057869</f>
        <v>19773878</v>
      </c>
      <c r="D72" s="215">
        <v>4716009</v>
      </c>
    </row>
    <row r="73" spans="1:4" ht="63.75" customHeight="1">
      <c r="A73" s="20" t="s">
        <v>121</v>
      </c>
      <c r="B73" s="21" t="s">
        <v>122</v>
      </c>
      <c r="C73" s="215">
        <v>446982</v>
      </c>
      <c r="D73" s="215">
        <v>446982</v>
      </c>
    </row>
    <row r="74" spans="1:4" ht="15.75" customHeight="1" hidden="1">
      <c r="A74" s="42" t="s">
        <v>123</v>
      </c>
      <c r="B74" s="26" t="s">
        <v>124</v>
      </c>
      <c r="C74" s="22"/>
      <c r="D74" s="22"/>
    </row>
    <row r="75" spans="1:4" ht="15.75" customHeight="1" hidden="1">
      <c r="A75" s="20" t="s">
        <v>8</v>
      </c>
      <c r="B75" s="21" t="s">
        <v>125</v>
      </c>
      <c r="C75" s="22"/>
      <c r="D75" s="22"/>
    </row>
    <row r="76" spans="1:4" ht="60.75" customHeight="1">
      <c r="A76" s="14" t="s">
        <v>126</v>
      </c>
      <c r="B76" s="117" t="s">
        <v>127</v>
      </c>
      <c r="C76" s="13">
        <f>C77</f>
        <v>1070700</v>
      </c>
      <c r="D76" s="13">
        <f>D77</f>
        <v>1070700</v>
      </c>
    </row>
    <row r="77" spans="1:4" ht="64.5" customHeight="1">
      <c r="A77" s="20" t="s">
        <v>128</v>
      </c>
      <c r="B77" s="21" t="s">
        <v>9</v>
      </c>
      <c r="C77" s="22">
        <v>1070700</v>
      </c>
      <c r="D77" s="22">
        <v>1070700</v>
      </c>
    </row>
    <row r="78" spans="1:4" ht="26.25" hidden="1">
      <c r="A78" s="42" t="s">
        <v>129</v>
      </c>
      <c r="B78" s="26" t="s">
        <v>130</v>
      </c>
      <c r="C78" s="13"/>
      <c r="D78" s="13"/>
    </row>
    <row r="79" spans="1:4" ht="39" hidden="1">
      <c r="A79" s="20" t="s">
        <v>10</v>
      </c>
      <c r="B79" s="21" t="s">
        <v>11</v>
      </c>
      <c r="C79" s="22"/>
      <c r="D79" s="22"/>
    </row>
    <row r="80" spans="1:4" ht="78.75" hidden="1">
      <c r="A80" s="42" t="s">
        <v>131</v>
      </c>
      <c r="B80" s="26" t="s">
        <v>132</v>
      </c>
      <c r="C80" s="13"/>
      <c r="D80" s="13"/>
    </row>
    <row r="81" spans="1:4" ht="66" hidden="1">
      <c r="A81" s="20" t="s">
        <v>12</v>
      </c>
      <c r="B81" s="21" t="s">
        <v>133</v>
      </c>
      <c r="C81" s="22"/>
      <c r="D81" s="22"/>
    </row>
    <row r="82" spans="1:4" ht="3.75" customHeight="1" hidden="1">
      <c r="A82" s="42" t="s">
        <v>134</v>
      </c>
      <c r="B82" s="26" t="s">
        <v>135</v>
      </c>
      <c r="C82" s="13"/>
      <c r="D82" s="13"/>
    </row>
    <row r="83" spans="1:4" ht="66" hidden="1">
      <c r="A83" s="20" t="s">
        <v>136</v>
      </c>
      <c r="B83" s="21" t="s">
        <v>137</v>
      </c>
      <c r="C83" s="22"/>
      <c r="D83" s="22"/>
    </row>
    <row r="84" spans="1:4" ht="66" hidden="1">
      <c r="A84" s="20" t="s">
        <v>13</v>
      </c>
      <c r="B84" s="21" t="s">
        <v>138</v>
      </c>
      <c r="C84" s="22"/>
      <c r="D84" s="22"/>
    </row>
    <row r="85" spans="1:4" ht="28.5" customHeight="1">
      <c r="A85" s="14" t="s">
        <v>139</v>
      </c>
      <c r="B85" s="15" t="s">
        <v>140</v>
      </c>
      <c r="C85" s="13">
        <f>C86</f>
        <v>143220</v>
      </c>
      <c r="D85" s="13">
        <f>D86</f>
        <v>143220</v>
      </c>
    </row>
    <row r="86" spans="1:4" ht="15.75" customHeight="1">
      <c r="A86" s="20" t="s">
        <v>141</v>
      </c>
      <c r="B86" s="30" t="s">
        <v>142</v>
      </c>
      <c r="C86" s="13">
        <f>SUM(C87:C90)</f>
        <v>143220</v>
      </c>
      <c r="D86" s="13">
        <f>SUM(D87:D90)</f>
        <v>143220</v>
      </c>
    </row>
    <row r="87" spans="1:4" ht="26.25">
      <c r="A87" s="20" t="s">
        <v>143</v>
      </c>
      <c r="B87" s="216" t="s">
        <v>144</v>
      </c>
      <c r="C87" s="22">
        <v>133210</v>
      </c>
      <c r="D87" s="22">
        <v>133210</v>
      </c>
    </row>
    <row r="88" spans="1:4" ht="15" customHeight="1" hidden="1">
      <c r="A88" s="20" t="s">
        <v>145</v>
      </c>
      <c r="B88" s="216" t="s">
        <v>450</v>
      </c>
      <c r="C88" s="22"/>
      <c r="D88" s="22"/>
    </row>
    <row r="89" spans="1:4" ht="26.25">
      <c r="A89" s="20" t="s">
        <v>146</v>
      </c>
      <c r="B89" s="216" t="s">
        <v>147</v>
      </c>
      <c r="C89" s="22">
        <v>7260</v>
      </c>
      <c r="D89" s="22">
        <v>7260</v>
      </c>
    </row>
    <row r="90" spans="1:4" ht="17.25" customHeight="1">
      <c r="A90" s="14" t="s">
        <v>148</v>
      </c>
      <c r="B90" s="116" t="s">
        <v>149</v>
      </c>
      <c r="C90" s="22">
        <f>C91</f>
        <v>2750</v>
      </c>
      <c r="D90" s="22">
        <f>D91</f>
        <v>2750</v>
      </c>
    </row>
    <row r="91" spans="1:4" ht="17.25" customHeight="1">
      <c r="A91" s="23" t="s">
        <v>337</v>
      </c>
      <c r="B91" s="136" t="s">
        <v>338</v>
      </c>
      <c r="C91" s="22">
        <v>2750</v>
      </c>
      <c r="D91" s="22">
        <v>2750</v>
      </c>
    </row>
    <row r="92" spans="1:4" ht="27.75" customHeight="1">
      <c r="A92" s="14" t="s">
        <v>150</v>
      </c>
      <c r="B92" s="26" t="s">
        <v>315</v>
      </c>
      <c r="C92" s="156">
        <f>C93</f>
        <v>7796843</v>
      </c>
      <c r="D92" s="156">
        <f>D93</f>
        <v>7796843</v>
      </c>
    </row>
    <row r="93" spans="1:4" ht="15.75" customHeight="1">
      <c r="A93" s="14" t="s">
        <v>151</v>
      </c>
      <c r="B93" s="217" t="s">
        <v>451</v>
      </c>
      <c r="C93" s="156">
        <f>C94</f>
        <v>7796843</v>
      </c>
      <c r="D93" s="156">
        <f>D94</f>
        <v>7796843</v>
      </c>
    </row>
    <row r="94" spans="1:4" ht="24.75" customHeight="1">
      <c r="A94" s="20" t="s">
        <v>152</v>
      </c>
      <c r="B94" s="108" t="s">
        <v>14</v>
      </c>
      <c r="C94" s="24">
        <f>14124184-6327341</f>
        <v>7796843</v>
      </c>
      <c r="D94" s="24">
        <f>14124184-6327341</f>
        <v>7796843</v>
      </c>
    </row>
    <row r="95" spans="1:4" ht="26.25" customHeight="1">
      <c r="A95" s="14" t="s">
        <v>153</v>
      </c>
      <c r="B95" s="26" t="s">
        <v>154</v>
      </c>
      <c r="C95" s="13">
        <f>C96+C98+C103+C104+C107+C109</f>
        <v>4000</v>
      </c>
      <c r="D95" s="13">
        <f>D96+D98+D103+D104+D107+D109</f>
        <v>4000</v>
      </c>
    </row>
    <row r="96" spans="1:4" ht="14.25" hidden="1">
      <c r="A96" s="40" t="s">
        <v>155</v>
      </c>
      <c r="B96" s="26" t="s">
        <v>156</v>
      </c>
      <c r="C96" s="13"/>
      <c r="D96" s="13"/>
    </row>
    <row r="97" spans="1:4" ht="26.25" hidden="1">
      <c r="A97" s="2" t="s">
        <v>15</v>
      </c>
      <c r="B97" s="21" t="s">
        <v>16</v>
      </c>
      <c r="C97" s="22"/>
      <c r="D97" s="22"/>
    </row>
    <row r="98" spans="1:4" ht="66" hidden="1">
      <c r="A98" s="40" t="s">
        <v>157</v>
      </c>
      <c r="B98" s="26" t="s">
        <v>158</v>
      </c>
      <c r="C98" s="13"/>
      <c r="D98" s="13"/>
    </row>
    <row r="99" spans="1:4" ht="66" hidden="1">
      <c r="A99" s="2" t="s">
        <v>159</v>
      </c>
      <c r="B99" s="21" t="s">
        <v>160</v>
      </c>
      <c r="C99" s="22"/>
      <c r="D99" s="22"/>
    </row>
    <row r="100" spans="1:4" ht="66" hidden="1">
      <c r="A100" s="2" t="s">
        <v>161</v>
      </c>
      <c r="B100" s="21" t="s">
        <v>162</v>
      </c>
      <c r="C100" s="22"/>
      <c r="D100" s="22"/>
    </row>
    <row r="101" spans="1:4" ht="78.75" hidden="1">
      <c r="A101" s="2" t="s">
        <v>163</v>
      </c>
      <c r="B101" s="21" t="s">
        <v>164</v>
      </c>
      <c r="C101" s="22"/>
      <c r="D101" s="22"/>
    </row>
    <row r="102" spans="1:4" ht="78.75" hidden="1">
      <c r="A102" s="2" t="s">
        <v>165</v>
      </c>
      <c r="B102" s="21" t="s">
        <v>166</v>
      </c>
      <c r="C102" s="22"/>
      <c r="D102" s="22"/>
    </row>
    <row r="103" spans="1:4" ht="52.5" hidden="1">
      <c r="A103" s="40" t="s">
        <v>167</v>
      </c>
      <c r="B103" s="26" t="s">
        <v>168</v>
      </c>
      <c r="C103" s="13"/>
      <c r="D103" s="13"/>
    </row>
    <row r="104" spans="1:4" ht="52.5" hidden="1">
      <c r="A104" s="40" t="s">
        <v>169</v>
      </c>
      <c r="B104" s="26" t="s">
        <v>170</v>
      </c>
      <c r="C104" s="13"/>
      <c r="D104" s="13"/>
    </row>
    <row r="105" spans="1:4" ht="0.75" customHeight="1" hidden="1">
      <c r="A105" s="2" t="s">
        <v>17</v>
      </c>
      <c r="B105" s="21" t="s">
        <v>18</v>
      </c>
      <c r="C105" s="22"/>
      <c r="D105" s="22"/>
    </row>
    <row r="106" spans="1:4" ht="52.5" hidden="1">
      <c r="A106" s="2" t="s">
        <v>19</v>
      </c>
      <c r="B106" s="21" t="s">
        <v>20</v>
      </c>
      <c r="C106" s="22"/>
      <c r="D106" s="22"/>
    </row>
    <row r="107" spans="1:4" ht="14.25" hidden="1">
      <c r="A107" s="40" t="s">
        <v>171</v>
      </c>
      <c r="B107" s="26" t="s">
        <v>172</v>
      </c>
      <c r="C107" s="22"/>
      <c r="D107" s="22"/>
    </row>
    <row r="108" spans="1:4" ht="26.25" hidden="1">
      <c r="A108" s="2" t="s">
        <v>173</v>
      </c>
      <c r="B108" s="21" t="s">
        <v>174</v>
      </c>
      <c r="C108" s="22"/>
      <c r="D108" s="22"/>
    </row>
    <row r="109" spans="1:4" ht="29.25" customHeight="1">
      <c r="A109" s="40" t="s">
        <v>175</v>
      </c>
      <c r="B109" s="26" t="s">
        <v>176</v>
      </c>
      <c r="C109" s="13">
        <f>C110+C113</f>
        <v>4000</v>
      </c>
      <c r="D109" s="13">
        <f>D110+D113</f>
        <v>4000</v>
      </c>
    </row>
    <row r="110" spans="1:4" ht="24.75" customHeight="1">
      <c r="A110" s="14" t="s">
        <v>177</v>
      </c>
      <c r="B110" s="26" t="s">
        <v>178</v>
      </c>
      <c r="C110" s="13">
        <f>C111+C112</f>
        <v>4000</v>
      </c>
      <c r="D110" s="13">
        <f>D111+D112</f>
        <v>4000</v>
      </c>
    </row>
    <row r="111" spans="1:4" ht="52.5">
      <c r="A111" s="20" t="s">
        <v>38</v>
      </c>
      <c r="B111" s="134" t="s">
        <v>41</v>
      </c>
      <c r="C111" s="22">
        <v>2000</v>
      </c>
      <c r="D111" s="22">
        <v>2000</v>
      </c>
    </row>
    <row r="112" spans="1:4" ht="39" customHeight="1">
      <c r="A112" s="20" t="s">
        <v>179</v>
      </c>
      <c r="B112" s="21" t="s">
        <v>180</v>
      </c>
      <c r="C112" s="22">
        <v>2000</v>
      </c>
      <c r="D112" s="22">
        <v>2000</v>
      </c>
    </row>
    <row r="113" spans="1:4" ht="52.5" hidden="1">
      <c r="A113" s="44" t="s">
        <v>181</v>
      </c>
      <c r="B113" s="45" t="s">
        <v>182</v>
      </c>
      <c r="C113" s="22"/>
      <c r="D113" s="22"/>
    </row>
    <row r="114" spans="1:4" ht="39" hidden="1">
      <c r="A114" s="46" t="s">
        <v>21</v>
      </c>
      <c r="B114" s="41" t="s">
        <v>183</v>
      </c>
      <c r="C114" s="22"/>
      <c r="D114" s="22"/>
    </row>
    <row r="115" spans="1:4" ht="22.5" hidden="1">
      <c r="A115" s="14" t="s">
        <v>184</v>
      </c>
      <c r="B115" s="15" t="s">
        <v>185</v>
      </c>
      <c r="C115" s="13">
        <f>C116</f>
        <v>0</v>
      </c>
      <c r="D115" s="13">
        <f>D116</f>
        <v>0</v>
      </c>
    </row>
    <row r="116" spans="1:4" ht="39" hidden="1">
      <c r="A116" s="14" t="s">
        <v>186</v>
      </c>
      <c r="B116" s="26" t="s">
        <v>187</v>
      </c>
      <c r="C116" s="13">
        <f>C117</f>
        <v>0</v>
      </c>
      <c r="D116" s="13">
        <f>D117</f>
        <v>0</v>
      </c>
    </row>
    <row r="117" spans="1:4" ht="26.25" hidden="1">
      <c r="A117" s="20" t="s">
        <v>22</v>
      </c>
      <c r="B117" s="21" t="s">
        <v>188</v>
      </c>
      <c r="C117" s="22"/>
      <c r="D117" s="22"/>
    </row>
    <row r="118" spans="1:4" ht="16.5" customHeight="1">
      <c r="A118" s="14" t="s">
        <v>189</v>
      </c>
      <c r="B118" s="15" t="s">
        <v>190</v>
      </c>
      <c r="C118" s="13">
        <f>C119+C122+C124+C126+C128+C130+C141+C145+C146+C150+C155+C154+C144+C152+C148</f>
        <v>817927</v>
      </c>
      <c r="D118" s="13">
        <f>D119+D122+D124+D126+D128+D130+D141+D145+D146+D150+D155+D154+D144+D152+D148</f>
        <v>817927</v>
      </c>
    </row>
    <row r="119" spans="1:4" ht="26.25" hidden="1">
      <c r="A119" s="14" t="s">
        <v>191</v>
      </c>
      <c r="B119" s="26" t="s">
        <v>192</v>
      </c>
      <c r="C119" s="13">
        <f>C120+C121</f>
        <v>0</v>
      </c>
      <c r="D119" s="13">
        <f>D120+D121</f>
        <v>0</v>
      </c>
    </row>
    <row r="120" spans="1:4" ht="0.75" customHeight="1" hidden="1">
      <c r="A120" s="20" t="s">
        <v>193</v>
      </c>
      <c r="B120" s="21" t="s">
        <v>194</v>
      </c>
      <c r="C120" s="22"/>
      <c r="D120" s="22"/>
    </row>
    <row r="121" spans="1:4" ht="52.5" hidden="1">
      <c r="A121" s="20" t="s">
        <v>195</v>
      </c>
      <c r="B121" s="21" t="s">
        <v>196</v>
      </c>
      <c r="C121" s="22"/>
      <c r="D121" s="22"/>
    </row>
    <row r="122" spans="1:4" ht="50.25" customHeight="1" hidden="1">
      <c r="A122" s="14" t="s">
        <v>197</v>
      </c>
      <c r="B122" s="218" t="s">
        <v>198</v>
      </c>
      <c r="C122" s="13">
        <f>C123</f>
        <v>0</v>
      </c>
      <c r="D122" s="13">
        <f>D123</f>
        <v>0</v>
      </c>
    </row>
    <row r="123" spans="1:4" ht="54.75" customHeight="1" hidden="1">
      <c r="A123" s="20" t="s">
        <v>199</v>
      </c>
      <c r="B123" s="208" t="s">
        <v>200</v>
      </c>
      <c r="C123" s="24"/>
      <c r="D123" s="24"/>
    </row>
    <row r="124" spans="1:4" ht="0.75" customHeight="1" hidden="1">
      <c r="A124" s="42" t="s">
        <v>201</v>
      </c>
      <c r="B124" s="26" t="s">
        <v>202</v>
      </c>
      <c r="C124" s="13"/>
      <c r="D124" s="13"/>
    </row>
    <row r="125" spans="1:4" ht="26.25" hidden="1">
      <c r="A125" s="20" t="s">
        <v>23</v>
      </c>
      <c r="B125" s="21" t="s">
        <v>24</v>
      </c>
      <c r="C125" s="22"/>
      <c r="D125" s="22"/>
    </row>
    <row r="126" spans="1:4" ht="14.25" customHeight="1" hidden="1">
      <c r="A126" s="42" t="s">
        <v>203</v>
      </c>
      <c r="B126" s="26" t="s">
        <v>204</v>
      </c>
      <c r="C126" s="13"/>
      <c r="D126" s="13"/>
    </row>
    <row r="127" spans="1:4" ht="17.25" customHeight="1" hidden="1">
      <c r="A127" s="20" t="s">
        <v>205</v>
      </c>
      <c r="B127" s="21" t="s">
        <v>206</v>
      </c>
      <c r="C127" s="22"/>
      <c r="D127" s="22"/>
    </row>
    <row r="128" spans="1:4" s="16" customFormat="1" ht="26.25" hidden="1">
      <c r="A128" s="42" t="s">
        <v>207</v>
      </c>
      <c r="B128" s="26" t="s">
        <v>208</v>
      </c>
      <c r="C128" s="13"/>
      <c r="D128" s="13"/>
    </row>
    <row r="129" spans="1:4" ht="52.5" hidden="1">
      <c r="A129" s="20" t="s">
        <v>325</v>
      </c>
      <c r="B129" s="21" t="s">
        <v>209</v>
      </c>
      <c r="C129" s="22"/>
      <c r="D129" s="22"/>
    </row>
    <row r="130" spans="1:4" ht="84" customHeight="1">
      <c r="A130" s="14" t="s">
        <v>342</v>
      </c>
      <c r="B130" s="124" t="s">
        <v>210</v>
      </c>
      <c r="C130" s="156">
        <f>C131+C132+C133+C134+C135+C136+C137+C139</f>
        <v>5000</v>
      </c>
      <c r="D130" s="156">
        <f>D131+D132+D133+D134+D135+D136+D137+D139</f>
        <v>5000</v>
      </c>
    </row>
    <row r="131" spans="1:4" ht="26.25" hidden="1">
      <c r="A131" s="20" t="s">
        <v>211</v>
      </c>
      <c r="B131" s="21" t="s">
        <v>212</v>
      </c>
      <c r="C131" s="22"/>
      <c r="D131" s="22"/>
    </row>
    <row r="132" spans="1:4" ht="39" hidden="1">
      <c r="A132" s="20" t="s">
        <v>213</v>
      </c>
      <c r="B132" s="21" t="s">
        <v>214</v>
      </c>
      <c r="C132" s="22"/>
      <c r="D132" s="22"/>
    </row>
    <row r="133" spans="1:4" ht="24.75" customHeight="1" hidden="1">
      <c r="A133" s="20" t="s">
        <v>215</v>
      </c>
      <c r="B133" s="21" t="s">
        <v>216</v>
      </c>
      <c r="C133" s="22"/>
      <c r="D133" s="22"/>
    </row>
    <row r="134" spans="1:4" ht="26.25" hidden="1">
      <c r="A134" s="20" t="s">
        <v>217</v>
      </c>
      <c r="B134" s="21" t="s">
        <v>218</v>
      </c>
      <c r="C134" s="22"/>
      <c r="D134" s="22"/>
    </row>
    <row r="135" spans="1:4" ht="26.25" hidden="1">
      <c r="A135" s="20" t="s">
        <v>219</v>
      </c>
      <c r="B135" s="21" t="s">
        <v>220</v>
      </c>
      <c r="C135" s="22"/>
      <c r="D135" s="22"/>
    </row>
    <row r="136" spans="1:4" s="3" customFormat="1" ht="24.75" customHeight="1">
      <c r="A136" s="23" t="s">
        <v>221</v>
      </c>
      <c r="B136" s="47" t="s">
        <v>222</v>
      </c>
      <c r="C136" s="24">
        <v>5000</v>
      </c>
      <c r="D136" s="24">
        <v>5000</v>
      </c>
    </row>
    <row r="137" spans="1:4" ht="0.75" customHeight="1" hidden="1">
      <c r="A137" s="42" t="s">
        <v>223</v>
      </c>
      <c r="B137" s="26" t="s">
        <v>224</v>
      </c>
      <c r="C137" s="22">
        <f>C138</f>
        <v>0</v>
      </c>
      <c r="D137" s="22">
        <f>D138</f>
        <v>0</v>
      </c>
    </row>
    <row r="138" spans="1:4" ht="39" hidden="1">
      <c r="A138" s="20" t="s">
        <v>225</v>
      </c>
      <c r="B138" s="21" t="s">
        <v>226</v>
      </c>
      <c r="C138" s="22"/>
      <c r="D138" s="22"/>
    </row>
    <row r="139" spans="1:4" ht="26.25" hidden="1">
      <c r="A139" s="42" t="s">
        <v>227</v>
      </c>
      <c r="B139" s="26" t="s">
        <v>228</v>
      </c>
      <c r="C139" s="22">
        <f>C140</f>
        <v>0</v>
      </c>
      <c r="D139" s="22">
        <f>D140</f>
        <v>0</v>
      </c>
    </row>
    <row r="140" spans="1:4" ht="39" hidden="1">
      <c r="A140" s="20" t="s">
        <v>229</v>
      </c>
      <c r="B140" s="21" t="s">
        <v>230</v>
      </c>
      <c r="C140" s="22"/>
      <c r="D140" s="22"/>
    </row>
    <row r="141" spans="1:4" ht="51.75" customHeight="1" hidden="1">
      <c r="A141" s="20" t="s">
        <v>231</v>
      </c>
      <c r="B141" s="21" t="s">
        <v>232</v>
      </c>
      <c r="C141" s="13"/>
      <c r="D141" s="13"/>
    </row>
    <row r="142" spans="1:4" ht="27.75" customHeight="1">
      <c r="A142" s="118" t="s">
        <v>233</v>
      </c>
      <c r="B142" s="26" t="s">
        <v>234</v>
      </c>
      <c r="C142" s="29">
        <f>C143+C145</f>
        <v>25000</v>
      </c>
      <c r="D142" s="29">
        <f>D143+D145</f>
        <v>25000</v>
      </c>
    </row>
    <row r="143" spans="1:4" ht="39" customHeight="1" hidden="1">
      <c r="A143" s="25" t="s">
        <v>235</v>
      </c>
      <c r="B143" s="26" t="s">
        <v>236</v>
      </c>
      <c r="C143" s="29">
        <f>C144</f>
        <v>0</v>
      </c>
      <c r="D143" s="29">
        <f>D144</f>
        <v>0</v>
      </c>
    </row>
    <row r="144" spans="1:4" ht="51.75" customHeight="1" hidden="1">
      <c r="A144" s="48" t="s">
        <v>237</v>
      </c>
      <c r="B144" s="21" t="s">
        <v>238</v>
      </c>
      <c r="C144" s="22"/>
      <c r="D144" s="22"/>
    </row>
    <row r="145" spans="1:4" ht="24.75" customHeight="1">
      <c r="A145" s="20" t="s">
        <v>239</v>
      </c>
      <c r="B145" s="21" t="s">
        <v>240</v>
      </c>
      <c r="C145" s="22">
        <v>25000</v>
      </c>
      <c r="D145" s="22">
        <v>25000</v>
      </c>
    </row>
    <row r="146" spans="1:4" ht="39" hidden="1">
      <c r="A146" s="42" t="s">
        <v>241</v>
      </c>
      <c r="B146" s="26" t="s">
        <v>242</v>
      </c>
      <c r="C146" s="13"/>
      <c r="D146" s="13"/>
    </row>
    <row r="147" spans="1:4" ht="39" hidden="1">
      <c r="A147" s="20" t="s">
        <v>243</v>
      </c>
      <c r="B147" s="21" t="s">
        <v>244</v>
      </c>
      <c r="C147" s="22"/>
      <c r="D147" s="22"/>
    </row>
    <row r="148" spans="1:4" ht="52.5" hidden="1">
      <c r="A148" s="139" t="s">
        <v>326</v>
      </c>
      <c r="B148" s="219" t="s">
        <v>327</v>
      </c>
      <c r="C148" s="13">
        <f>C149</f>
        <v>0</v>
      </c>
      <c r="D148" s="13">
        <f>D149</f>
        <v>0</v>
      </c>
    </row>
    <row r="149" spans="1:4" ht="54.75" customHeight="1" hidden="1">
      <c r="A149" s="141" t="s">
        <v>328</v>
      </c>
      <c r="B149" s="134" t="s">
        <v>318</v>
      </c>
      <c r="C149" s="22"/>
      <c r="D149" s="22"/>
    </row>
    <row r="150" spans="1:4" ht="26.25">
      <c r="A150" s="220" t="s">
        <v>245</v>
      </c>
      <c r="B150" s="221" t="s">
        <v>246</v>
      </c>
      <c r="C150" s="13">
        <f>C151</f>
        <v>2842</v>
      </c>
      <c r="D150" s="13">
        <f>D151</f>
        <v>2842</v>
      </c>
    </row>
    <row r="151" spans="1:4" ht="39" customHeight="1">
      <c r="A151" s="49" t="s">
        <v>247</v>
      </c>
      <c r="B151" s="50" t="s">
        <v>248</v>
      </c>
      <c r="C151" s="22">
        <v>2842</v>
      </c>
      <c r="D151" s="22">
        <v>2842</v>
      </c>
    </row>
    <row r="152" spans="1:4" s="4" customFormat="1" ht="39" hidden="1">
      <c r="A152" s="51" t="s">
        <v>249</v>
      </c>
      <c r="B152" s="52" t="s">
        <v>250</v>
      </c>
      <c r="C152" s="53"/>
      <c r="D152" s="53"/>
    </row>
    <row r="153" spans="1:4" ht="39" hidden="1">
      <c r="A153" s="54" t="s">
        <v>251</v>
      </c>
      <c r="B153" s="43" t="s">
        <v>25</v>
      </c>
      <c r="C153" s="13"/>
      <c r="D153" s="13"/>
    </row>
    <row r="154" spans="1:4" ht="51.75" customHeight="1">
      <c r="A154" s="28" t="s">
        <v>252</v>
      </c>
      <c r="B154" s="21" t="s">
        <v>253</v>
      </c>
      <c r="C154" s="22">
        <v>114676</v>
      </c>
      <c r="D154" s="22">
        <v>114676</v>
      </c>
    </row>
    <row r="155" spans="1:4" s="16" customFormat="1" ht="27" customHeight="1">
      <c r="A155" s="14" t="s">
        <v>254</v>
      </c>
      <c r="B155" s="26" t="s">
        <v>255</v>
      </c>
      <c r="C155" s="13">
        <f>C156</f>
        <v>670409</v>
      </c>
      <c r="D155" s="13">
        <f>D156</f>
        <v>670409</v>
      </c>
    </row>
    <row r="156" spans="1:4" ht="39" customHeight="1">
      <c r="A156" s="20" t="s">
        <v>256</v>
      </c>
      <c r="B156" s="21" t="s">
        <v>26</v>
      </c>
      <c r="C156" s="22">
        <v>670409</v>
      </c>
      <c r="D156" s="22">
        <v>670409</v>
      </c>
    </row>
    <row r="157" spans="1:4" ht="26.25" hidden="1">
      <c r="A157" s="42" t="s">
        <v>257</v>
      </c>
      <c r="B157" s="15" t="s">
        <v>258</v>
      </c>
      <c r="C157" s="55"/>
      <c r="D157" s="55"/>
    </row>
    <row r="158" spans="1:4" ht="26.25" hidden="1">
      <c r="A158" s="42" t="s">
        <v>259</v>
      </c>
      <c r="B158" s="45" t="s">
        <v>260</v>
      </c>
      <c r="C158" s="56"/>
      <c r="D158" s="56"/>
    </row>
    <row r="159" spans="1:4" ht="26.25" hidden="1">
      <c r="A159" s="20" t="s">
        <v>27</v>
      </c>
      <c r="B159" s="21" t="s">
        <v>28</v>
      </c>
      <c r="C159" s="56"/>
      <c r="D159" s="56"/>
    </row>
    <row r="160" spans="1:4" ht="17.25" customHeight="1">
      <c r="A160" s="57" t="s">
        <v>261</v>
      </c>
      <c r="B160" s="58" t="s">
        <v>262</v>
      </c>
      <c r="C160" s="186">
        <f>C161+C238</f>
        <v>284302564</v>
      </c>
      <c r="D160" s="186">
        <f>D161+D238</f>
        <v>275269315</v>
      </c>
    </row>
    <row r="161" spans="1:4" ht="26.25" customHeight="1">
      <c r="A161" s="57" t="s">
        <v>263</v>
      </c>
      <c r="B161" s="60" t="s">
        <v>264</v>
      </c>
      <c r="C161" s="187">
        <f>C162+C167+C183+C235</f>
        <v>268842555</v>
      </c>
      <c r="D161" s="187">
        <f>D162+D167+D183+D235</f>
        <v>267381843</v>
      </c>
    </row>
    <row r="162" spans="1:4" ht="27" customHeight="1">
      <c r="A162" s="62" t="s">
        <v>370</v>
      </c>
      <c r="B162" s="119" t="s">
        <v>265</v>
      </c>
      <c r="C162" s="189">
        <f>C163+C165</f>
        <v>424534</v>
      </c>
      <c r="D162" s="189">
        <f>D163+D165</f>
        <v>275726</v>
      </c>
    </row>
    <row r="163" spans="1:4" ht="18.75" customHeight="1">
      <c r="A163" s="62" t="s">
        <v>371</v>
      </c>
      <c r="B163" s="222" t="s">
        <v>266</v>
      </c>
      <c r="C163" s="189">
        <f>C164</f>
        <v>424534</v>
      </c>
      <c r="D163" s="189">
        <f>D164</f>
        <v>275726</v>
      </c>
    </row>
    <row r="164" spans="1:4" ht="27" customHeight="1">
      <c r="A164" s="65" t="s">
        <v>372</v>
      </c>
      <c r="B164" s="223" t="s">
        <v>29</v>
      </c>
      <c r="C164" s="66">
        <v>424534</v>
      </c>
      <c r="D164" s="66">
        <v>275726</v>
      </c>
    </row>
    <row r="165" spans="1:4" ht="26.25" hidden="1">
      <c r="A165" s="68" t="s">
        <v>452</v>
      </c>
      <c r="B165" s="224" t="s">
        <v>267</v>
      </c>
      <c r="C165" s="66"/>
      <c r="D165" s="66"/>
    </row>
    <row r="166" spans="1:4" ht="26.25" hidden="1">
      <c r="A166" s="68" t="s">
        <v>453</v>
      </c>
      <c r="B166" s="69" t="s">
        <v>268</v>
      </c>
      <c r="C166" s="66"/>
      <c r="D166" s="66"/>
    </row>
    <row r="167" spans="1:4" ht="38.25" customHeight="1" hidden="1">
      <c r="A167" s="14" t="s">
        <v>454</v>
      </c>
      <c r="B167" s="225" t="s">
        <v>455</v>
      </c>
      <c r="C167" s="61"/>
      <c r="D167" s="61"/>
    </row>
    <row r="168" spans="1:4" s="16" customFormat="1" ht="66" hidden="1">
      <c r="A168" s="226" t="s">
        <v>456</v>
      </c>
      <c r="B168" s="227" t="s">
        <v>457</v>
      </c>
      <c r="C168" s="61"/>
      <c r="D168" s="61"/>
    </row>
    <row r="169" spans="1:4" ht="39" hidden="1">
      <c r="A169" s="71" t="s">
        <v>458</v>
      </c>
      <c r="B169" s="228" t="s">
        <v>459</v>
      </c>
      <c r="C169" s="66"/>
      <c r="D169" s="66"/>
    </row>
    <row r="170" spans="1:4" s="16" customFormat="1" ht="26.25" hidden="1">
      <c r="A170" s="229" t="s">
        <v>460</v>
      </c>
      <c r="B170" s="230" t="s">
        <v>461</v>
      </c>
      <c r="C170" s="61"/>
      <c r="D170" s="61"/>
    </row>
    <row r="171" spans="1:4" ht="26.25" hidden="1">
      <c r="A171" s="231" t="s">
        <v>462</v>
      </c>
      <c r="B171" s="230" t="s">
        <v>463</v>
      </c>
      <c r="C171" s="66"/>
      <c r="D171" s="66"/>
    </row>
    <row r="172" spans="1:4" ht="14.25" hidden="1">
      <c r="A172" s="232" t="s">
        <v>464</v>
      </c>
      <c r="B172" s="233" t="s">
        <v>272</v>
      </c>
      <c r="C172" s="61"/>
      <c r="D172" s="61"/>
    </row>
    <row r="173" spans="1:4" ht="25.5" customHeight="1" hidden="1">
      <c r="A173" s="71" t="s">
        <v>465</v>
      </c>
      <c r="B173" s="47" t="s">
        <v>466</v>
      </c>
      <c r="C173" s="66"/>
      <c r="D173" s="66"/>
    </row>
    <row r="174" spans="1:4" ht="29.25" customHeight="1" hidden="1">
      <c r="A174" s="71" t="s">
        <v>465</v>
      </c>
      <c r="B174" s="21" t="s">
        <v>467</v>
      </c>
      <c r="C174" s="66"/>
      <c r="D174" s="66"/>
    </row>
    <row r="175" spans="1:4" ht="24.75" customHeight="1" hidden="1">
      <c r="A175" s="68" t="s">
        <v>465</v>
      </c>
      <c r="B175" s="21" t="s">
        <v>468</v>
      </c>
      <c r="C175" s="66"/>
      <c r="D175" s="66"/>
    </row>
    <row r="176" spans="1:4" ht="14.25" hidden="1">
      <c r="A176" s="68" t="s">
        <v>465</v>
      </c>
      <c r="B176" s="223"/>
      <c r="C176" s="66"/>
      <c r="D176" s="66"/>
    </row>
    <row r="177" spans="1:4" ht="63" customHeight="1" hidden="1">
      <c r="A177" s="68" t="s">
        <v>465</v>
      </c>
      <c r="B177" s="21" t="s">
        <v>469</v>
      </c>
      <c r="C177" s="66"/>
      <c r="D177" s="66"/>
    </row>
    <row r="178" spans="1:4" ht="39" hidden="1">
      <c r="A178" s="68" t="s">
        <v>465</v>
      </c>
      <c r="B178" s="234" t="s">
        <v>470</v>
      </c>
      <c r="C178" s="72"/>
      <c r="D178" s="72"/>
    </row>
    <row r="179" spans="1:4" ht="52.5" hidden="1">
      <c r="A179" s="68" t="s">
        <v>465</v>
      </c>
      <c r="B179" s="73" t="s">
        <v>471</v>
      </c>
      <c r="C179" s="66"/>
      <c r="D179" s="66"/>
    </row>
    <row r="180" spans="1:4" ht="0.75" customHeight="1" hidden="1">
      <c r="A180" s="68" t="s">
        <v>465</v>
      </c>
      <c r="B180" s="73" t="s">
        <v>472</v>
      </c>
      <c r="C180" s="66"/>
      <c r="D180" s="66"/>
    </row>
    <row r="181" spans="1:4" ht="52.5" hidden="1">
      <c r="A181" s="68" t="s">
        <v>465</v>
      </c>
      <c r="B181" s="21" t="s">
        <v>473</v>
      </c>
      <c r="C181" s="66"/>
      <c r="D181" s="66"/>
    </row>
    <row r="182" spans="1:4" ht="92.25" hidden="1">
      <c r="A182" s="68" t="s">
        <v>465</v>
      </c>
      <c r="B182" s="21" t="s">
        <v>474</v>
      </c>
      <c r="C182" s="66"/>
      <c r="D182" s="66"/>
    </row>
    <row r="183" spans="1:4" ht="26.25">
      <c r="A183" s="14" t="s">
        <v>376</v>
      </c>
      <c r="B183" s="235" t="s">
        <v>475</v>
      </c>
      <c r="C183" s="188">
        <f>C186+C188+C190+C192+C194+C196+C198+C210+C200+C205+C207+C202+C184</f>
        <v>268418021</v>
      </c>
      <c r="D183" s="188">
        <f>D186+D188+D190+D192+D194+D196+D198+D210+D200+D205+D207+D202+D184</f>
        <v>267106117</v>
      </c>
    </row>
    <row r="184" spans="1:4" ht="37.5" customHeight="1">
      <c r="A184" s="14" t="s">
        <v>377</v>
      </c>
      <c r="B184" s="124" t="s">
        <v>276</v>
      </c>
      <c r="C184" s="61">
        <f>C185</f>
        <v>63415</v>
      </c>
      <c r="D184" s="61">
        <f>D185</f>
        <v>63415</v>
      </c>
    </row>
    <row r="185" spans="1:4" ht="39" customHeight="1">
      <c r="A185" s="23" t="s">
        <v>378</v>
      </c>
      <c r="B185" s="75" t="s">
        <v>30</v>
      </c>
      <c r="C185" s="66">
        <v>63415</v>
      </c>
      <c r="D185" s="66">
        <v>63415</v>
      </c>
    </row>
    <row r="186" spans="1:4" ht="36" customHeight="1">
      <c r="A186" s="14" t="s">
        <v>379</v>
      </c>
      <c r="B186" s="124" t="s">
        <v>277</v>
      </c>
      <c r="C186" s="61">
        <f>C187</f>
        <v>9054167</v>
      </c>
      <c r="D186" s="61">
        <f>D187</f>
        <v>9054167</v>
      </c>
    </row>
    <row r="187" spans="1:4" ht="39" customHeight="1">
      <c r="A187" s="23" t="s">
        <v>380</v>
      </c>
      <c r="B187" s="76" t="s">
        <v>32</v>
      </c>
      <c r="C187" s="66">
        <v>9054167</v>
      </c>
      <c r="D187" s="66">
        <v>9054167</v>
      </c>
    </row>
    <row r="188" spans="1:4" ht="25.5" customHeight="1" hidden="1">
      <c r="A188" s="77" t="s">
        <v>476</v>
      </c>
      <c r="B188" s="236" t="s">
        <v>477</v>
      </c>
      <c r="C188" s="61"/>
      <c r="D188" s="61"/>
    </row>
    <row r="189" spans="1:4" s="3" customFormat="1" ht="12.75" customHeight="1" hidden="1">
      <c r="A189" s="77" t="s">
        <v>478</v>
      </c>
      <c r="B189" s="237" t="s">
        <v>479</v>
      </c>
      <c r="C189" s="66"/>
      <c r="D189" s="66"/>
    </row>
    <row r="190" spans="1:4" ht="12" customHeight="1" hidden="1">
      <c r="A190" s="20"/>
      <c r="B190" s="78"/>
      <c r="C190" s="66"/>
      <c r="D190" s="66"/>
    </row>
    <row r="191" spans="1:4" ht="14.25" hidden="1">
      <c r="A191" s="79"/>
      <c r="B191" s="80"/>
      <c r="C191" s="81"/>
      <c r="D191" s="81"/>
    </row>
    <row r="192" spans="1:4" ht="18.75" customHeight="1">
      <c r="A192" s="14" t="s">
        <v>381</v>
      </c>
      <c r="B192" s="149" t="s">
        <v>382</v>
      </c>
      <c r="C192" s="61">
        <f>C193</f>
        <v>1867940</v>
      </c>
      <c r="D192" s="61">
        <f>D193</f>
        <v>1022136</v>
      </c>
    </row>
    <row r="193" spans="1:4" ht="18.75" customHeight="1">
      <c r="A193" s="127" t="s">
        <v>383</v>
      </c>
      <c r="B193" s="150" t="s">
        <v>361</v>
      </c>
      <c r="C193" s="66">
        <v>1867940</v>
      </c>
      <c r="D193" s="66">
        <v>1022136</v>
      </c>
    </row>
    <row r="194" spans="1:4" ht="39" hidden="1">
      <c r="A194" s="20" t="s">
        <v>280</v>
      </c>
      <c r="B194" s="78" t="s">
        <v>279</v>
      </c>
      <c r="C194" s="66"/>
      <c r="D194" s="66"/>
    </row>
    <row r="195" spans="1:4" ht="39" hidden="1">
      <c r="A195" s="20" t="s">
        <v>281</v>
      </c>
      <c r="B195" s="78" t="s">
        <v>31</v>
      </c>
      <c r="C195" s="66"/>
      <c r="D195" s="66"/>
    </row>
    <row r="196" spans="1:4" ht="26.25" customHeight="1" hidden="1">
      <c r="A196" s="20" t="s">
        <v>283</v>
      </c>
      <c r="B196" s="78" t="s">
        <v>282</v>
      </c>
      <c r="C196" s="66"/>
      <c r="D196" s="66"/>
    </row>
    <row r="197" spans="1:4" ht="0.75" customHeight="1" hidden="1">
      <c r="A197" s="12"/>
      <c r="B197" s="82"/>
      <c r="C197" s="66"/>
      <c r="D197" s="66"/>
    </row>
    <row r="198" spans="1:4" ht="21" customHeight="1" hidden="1">
      <c r="A198" s="12"/>
      <c r="B198" s="78"/>
      <c r="C198" s="66">
        <f>C199</f>
        <v>0</v>
      </c>
      <c r="D198" s="66">
        <f>D199</f>
        <v>0</v>
      </c>
    </row>
    <row r="199" spans="1:4" ht="39.75" customHeight="1" hidden="1">
      <c r="A199" s="83" t="s">
        <v>284</v>
      </c>
      <c r="B199" s="75"/>
      <c r="C199" s="66"/>
      <c r="D199" s="66"/>
    </row>
    <row r="200" spans="1:4" ht="26.25" hidden="1">
      <c r="A200" s="84" t="s">
        <v>285</v>
      </c>
      <c r="B200" s="21"/>
      <c r="C200" s="66"/>
      <c r="D200" s="66"/>
    </row>
    <row r="201" spans="1:4" ht="14.25" hidden="1">
      <c r="A201" s="86" t="s">
        <v>286</v>
      </c>
      <c r="B201" s="85"/>
      <c r="C201" s="81"/>
      <c r="D201" s="81"/>
    </row>
    <row r="202" spans="1:4" ht="132" customHeight="1" hidden="1">
      <c r="A202" s="86" t="s">
        <v>288</v>
      </c>
      <c r="B202" s="87" t="s">
        <v>287</v>
      </c>
      <c r="C202" s="66"/>
      <c r="D202" s="66"/>
    </row>
    <row r="203" spans="1:4" ht="105" hidden="1">
      <c r="A203" s="86" t="s">
        <v>288</v>
      </c>
      <c r="B203" s="87" t="s">
        <v>289</v>
      </c>
      <c r="C203" s="66"/>
      <c r="D203" s="66"/>
    </row>
    <row r="204" spans="1:4" ht="105" hidden="1">
      <c r="A204" s="86"/>
      <c r="B204" s="87" t="s">
        <v>290</v>
      </c>
      <c r="C204" s="66"/>
      <c r="D204" s="66"/>
    </row>
    <row r="205" spans="1:4" ht="14.25" hidden="1">
      <c r="A205" s="86"/>
      <c r="B205" s="21"/>
      <c r="C205" s="66"/>
      <c r="D205" s="66"/>
    </row>
    <row r="206" spans="1:4" ht="14.25" hidden="1">
      <c r="A206" s="86"/>
      <c r="B206" s="88"/>
      <c r="C206" s="66"/>
      <c r="D206" s="66"/>
    </row>
    <row r="207" spans="1:4" ht="14.25" hidden="1">
      <c r="A207" s="86"/>
      <c r="B207" s="89"/>
      <c r="C207" s="66"/>
      <c r="D207" s="66"/>
    </row>
    <row r="208" spans="1:4" ht="14.25" hidden="1">
      <c r="A208" s="90" t="s">
        <v>480</v>
      </c>
      <c r="B208" s="89"/>
      <c r="C208" s="66"/>
      <c r="D208" s="66"/>
    </row>
    <row r="209" spans="1:4" s="16" customFormat="1" ht="12.75">
      <c r="A209" s="90" t="s">
        <v>384</v>
      </c>
      <c r="B209" s="91" t="s">
        <v>291</v>
      </c>
      <c r="C209" s="188">
        <f>C210</f>
        <v>257432499</v>
      </c>
      <c r="D209" s="188">
        <f>D210</f>
        <v>256966399</v>
      </c>
    </row>
    <row r="210" spans="1:4" ht="18.75" customHeight="1">
      <c r="A210" s="90" t="s">
        <v>385</v>
      </c>
      <c r="B210" s="91" t="s">
        <v>33</v>
      </c>
      <c r="C210" s="188">
        <f>SUM(C212:C234)</f>
        <v>257432499</v>
      </c>
      <c r="D210" s="188">
        <f>SUM(D212:D234)</f>
        <v>256966399</v>
      </c>
    </row>
    <row r="211" spans="1:4" ht="13.5" customHeight="1">
      <c r="A211" s="68"/>
      <c r="B211" s="94" t="s">
        <v>293</v>
      </c>
      <c r="C211" s="66"/>
      <c r="D211" s="66"/>
    </row>
    <row r="212" spans="1:4" ht="52.5" customHeight="1">
      <c r="A212" s="68" t="s">
        <v>385</v>
      </c>
      <c r="B212" s="47" t="s">
        <v>294</v>
      </c>
      <c r="C212" s="66">
        <v>888000</v>
      </c>
      <c r="D212" s="66">
        <v>888000</v>
      </c>
    </row>
    <row r="213" spans="1:4" ht="63" customHeight="1">
      <c r="A213" s="68" t="s">
        <v>385</v>
      </c>
      <c r="B213" s="76" t="s">
        <v>295</v>
      </c>
      <c r="C213" s="66">
        <v>169901716</v>
      </c>
      <c r="D213" s="66">
        <v>169901716</v>
      </c>
    </row>
    <row r="214" spans="1:4" ht="66.75" customHeight="1">
      <c r="A214" s="68" t="s">
        <v>385</v>
      </c>
      <c r="B214" s="76" t="s">
        <v>296</v>
      </c>
      <c r="C214" s="66">
        <v>20466008</v>
      </c>
      <c r="D214" s="66">
        <v>20466008</v>
      </c>
    </row>
    <row r="215" spans="1:4" ht="37.5" customHeight="1" hidden="1">
      <c r="A215" s="68" t="s">
        <v>385</v>
      </c>
      <c r="B215" s="157" t="s">
        <v>297</v>
      </c>
      <c r="C215" s="66"/>
      <c r="D215" s="66"/>
    </row>
    <row r="216" spans="1:4" ht="64.5" customHeight="1">
      <c r="A216" s="68" t="s">
        <v>385</v>
      </c>
      <c r="B216" s="76" t="s">
        <v>298</v>
      </c>
      <c r="C216" s="95">
        <v>39608388</v>
      </c>
      <c r="D216" s="95">
        <v>39608388</v>
      </c>
    </row>
    <row r="217" spans="1:4" ht="63.75" customHeight="1">
      <c r="A217" s="68" t="s">
        <v>385</v>
      </c>
      <c r="B217" s="238" t="s">
        <v>299</v>
      </c>
      <c r="C217" s="66">
        <v>2080810</v>
      </c>
      <c r="D217" s="66">
        <v>2080810</v>
      </c>
    </row>
    <row r="218" spans="1:4" ht="77.25" customHeight="1">
      <c r="A218" s="68" t="s">
        <v>385</v>
      </c>
      <c r="B218" s="76" t="s">
        <v>481</v>
      </c>
      <c r="C218" s="66">
        <v>223052</v>
      </c>
      <c r="D218" s="66">
        <v>223052</v>
      </c>
    </row>
    <row r="219" spans="1:4" ht="51.75" customHeight="1">
      <c r="A219" s="68" t="s">
        <v>385</v>
      </c>
      <c r="B219" s="76" t="s">
        <v>300</v>
      </c>
      <c r="C219" s="66">
        <v>1416480</v>
      </c>
      <c r="D219" s="66">
        <v>1416480</v>
      </c>
    </row>
    <row r="220" spans="1:4" ht="51.75" customHeight="1">
      <c r="A220" s="68" t="s">
        <v>385</v>
      </c>
      <c r="B220" s="76" t="s">
        <v>482</v>
      </c>
      <c r="C220" s="66">
        <v>52872</v>
      </c>
      <c r="D220" s="66">
        <v>52872</v>
      </c>
    </row>
    <row r="221" spans="1:4" ht="27" customHeight="1">
      <c r="A221" s="68" t="s">
        <v>385</v>
      </c>
      <c r="B221" s="76" t="s">
        <v>301</v>
      </c>
      <c r="C221" s="66">
        <v>329014</v>
      </c>
      <c r="D221" s="66">
        <v>329014</v>
      </c>
    </row>
    <row r="222" spans="1:4" ht="39" customHeight="1">
      <c r="A222" s="68" t="s">
        <v>385</v>
      </c>
      <c r="B222" s="76" t="s">
        <v>302</v>
      </c>
      <c r="C222" s="66">
        <v>296000</v>
      </c>
      <c r="D222" s="66">
        <v>296000</v>
      </c>
    </row>
    <row r="223" spans="1:4" ht="39" customHeight="1">
      <c r="A223" s="68" t="s">
        <v>385</v>
      </c>
      <c r="B223" s="76" t="s">
        <v>303</v>
      </c>
      <c r="C223" s="66">
        <v>296000</v>
      </c>
      <c r="D223" s="66">
        <v>296000</v>
      </c>
    </row>
    <row r="224" spans="1:4" ht="27" customHeight="1">
      <c r="A224" s="68" t="s">
        <v>385</v>
      </c>
      <c r="B224" s="76" t="s">
        <v>304</v>
      </c>
      <c r="C224" s="66">
        <v>296000</v>
      </c>
      <c r="D224" s="66">
        <v>296000</v>
      </c>
    </row>
    <row r="225" spans="1:4" ht="40.5" customHeight="1">
      <c r="A225" s="68" t="s">
        <v>385</v>
      </c>
      <c r="B225" s="76" t="s">
        <v>305</v>
      </c>
      <c r="C225" s="66">
        <v>124300</v>
      </c>
      <c r="D225" s="66">
        <v>124300</v>
      </c>
    </row>
    <row r="226" spans="1:4" ht="26.25" customHeight="1">
      <c r="A226" s="68" t="s">
        <v>385</v>
      </c>
      <c r="B226" s="75" t="s">
        <v>306</v>
      </c>
      <c r="C226" s="95">
        <v>10537877</v>
      </c>
      <c r="D226" s="95">
        <v>10537877</v>
      </c>
    </row>
    <row r="227" spans="1:4" ht="27.75" customHeight="1">
      <c r="A227" s="68" t="s">
        <v>385</v>
      </c>
      <c r="B227" s="47" t="s">
        <v>316</v>
      </c>
      <c r="C227" s="95">
        <v>1556884</v>
      </c>
      <c r="D227" s="95">
        <v>1556884</v>
      </c>
    </row>
    <row r="228" spans="1:4" ht="64.5" customHeight="1">
      <c r="A228" s="68" t="s">
        <v>385</v>
      </c>
      <c r="B228" s="76" t="s">
        <v>317</v>
      </c>
      <c r="C228" s="66">
        <v>295849</v>
      </c>
      <c r="D228" s="66">
        <v>295849</v>
      </c>
    </row>
    <row r="229" spans="1:4" ht="38.25" customHeight="1">
      <c r="A229" s="68" t="s">
        <v>385</v>
      </c>
      <c r="B229" s="76" t="s">
        <v>307</v>
      </c>
      <c r="C229" s="66">
        <v>2072000</v>
      </c>
      <c r="D229" s="66">
        <v>2072000</v>
      </c>
    </row>
    <row r="230" spans="1:4" ht="14.25" hidden="1">
      <c r="A230" s="68" t="s">
        <v>292</v>
      </c>
      <c r="B230" s="78"/>
      <c r="C230" s="66"/>
      <c r="D230" s="66"/>
    </row>
    <row r="231" spans="1:4" ht="38.25" customHeight="1">
      <c r="A231" s="68" t="s">
        <v>385</v>
      </c>
      <c r="B231" s="47" t="s">
        <v>483</v>
      </c>
      <c r="C231" s="66">
        <f>5758+275126</f>
        <v>280884</v>
      </c>
      <c r="D231" s="66">
        <f>5758+275126</f>
        <v>280884</v>
      </c>
    </row>
    <row r="232" spans="1:4" ht="51.75" customHeight="1">
      <c r="A232" s="68" t="s">
        <v>385</v>
      </c>
      <c r="B232" s="47" t="s">
        <v>308</v>
      </c>
      <c r="C232" s="66">
        <v>29600</v>
      </c>
      <c r="D232" s="66">
        <v>29600</v>
      </c>
    </row>
    <row r="233" spans="1:4" ht="52.5" hidden="1">
      <c r="A233" s="68" t="s">
        <v>292</v>
      </c>
      <c r="B233" s="76" t="s">
        <v>484</v>
      </c>
      <c r="C233" s="66"/>
      <c r="D233" s="66"/>
    </row>
    <row r="234" spans="1:4" ht="48.75" customHeight="1">
      <c r="A234" s="68" t="s">
        <v>385</v>
      </c>
      <c r="B234" s="239" t="s">
        <v>309</v>
      </c>
      <c r="C234" s="66">
        <v>6680765</v>
      </c>
      <c r="D234" s="66">
        <v>6214665</v>
      </c>
    </row>
    <row r="235" spans="1:4" s="16" customFormat="1" ht="12.75" hidden="1">
      <c r="A235" s="240" t="s">
        <v>485</v>
      </c>
      <c r="B235" s="241" t="s">
        <v>310</v>
      </c>
      <c r="C235" s="61">
        <f>C236+C237</f>
        <v>0</v>
      </c>
      <c r="D235" s="61">
        <f>D236+D237</f>
        <v>0</v>
      </c>
    </row>
    <row r="236" spans="1:4" ht="52.5" hidden="1">
      <c r="A236" s="242" t="s">
        <v>486</v>
      </c>
      <c r="B236" s="243" t="s">
        <v>34</v>
      </c>
      <c r="C236" s="95"/>
      <c r="D236" s="95"/>
    </row>
    <row r="237" spans="1:4" ht="26.25" hidden="1">
      <c r="A237" s="242" t="s">
        <v>487</v>
      </c>
      <c r="B237" s="244" t="s">
        <v>356</v>
      </c>
      <c r="C237" s="95"/>
      <c r="D237" s="95"/>
    </row>
    <row r="238" spans="1:4" ht="26.25" customHeight="1">
      <c r="A238" s="121" t="s">
        <v>311</v>
      </c>
      <c r="B238" s="119" t="s">
        <v>312</v>
      </c>
      <c r="C238" s="29">
        <f>C239</f>
        <v>15460009</v>
      </c>
      <c r="D238" s="29">
        <f>D239</f>
        <v>7887472</v>
      </c>
    </row>
    <row r="239" spans="1:4" ht="24.75" customHeight="1">
      <c r="A239" s="28" t="s">
        <v>386</v>
      </c>
      <c r="B239" s="21" t="s">
        <v>35</v>
      </c>
      <c r="C239" s="61">
        <f>C240+C241</f>
        <v>15460009</v>
      </c>
      <c r="D239" s="61">
        <f>D240+D241</f>
        <v>7887472</v>
      </c>
    </row>
    <row r="240" spans="1:4" ht="34.5" customHeight="1">
      <c r="A240" s="123" t="s">
        <v>419</v>
      </c>
      <c r="B240" s="126" t="s">
        <v>364</v>
      </c>
      <c r="C240" s="161">
        <f>6327341</f>
        <v>6327341</v>
      </c>
      <c r="D240" s="161">
        <f>6327341</f>
        <v>6327341</v>
      </c>
    </row>
    <row r="241" spans="1:4" s="16" customFormat="1" ht="23.25" customHeight="1">
      <c r="A241" s="28" t="s">
        <v>387</v>
      </c>
      <c r="B241" s="245" t="s">
        <v>35</v>
      </c>
      <c r="C241" s="66">
        <f>1710131-150000+27000000-4537000+167406-15057869</f>
        <v>9132668</v>
      </c>
      <c r="D241" s="66">
        <f>1710131-150000</f>
        <v>1560131</v>
      </c>
    </row>
  </sheetData>
  <sheetProtection/>
  <mergeCells count="14">
    <mergeCell ref="B1:D1"/>
    <mergeCell ref="B2:D2"/>
    <mergeCell ref="B3:D3"/>
    <mergeCell ref="B4:D4"/>
    <mergeCell ref="B5:D5"/>
    <mergeCell ref="B6:D6"/>
    <mergeCell ref="A14:B14"/>
    <mergeCell ref="A19:B19"/>
    <mergeCell ref="B7:D7"/>
    <mergeCell ref="B8:D8"/>
    <mergeCell ref="B9:D9"/>
    <mergeCell ref="A10:B10"/>
    <mergeCell ref="A12:B12"/>
    <mergeCell ref="A13:B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1"/>
  <sheetViews>
    <sheetView view="pageBreakPreview" zoomScale="60" zoomScalePageLayoutView="0" workbookViewId="0" topLeftCell="A139">
      <selection activeCell="F147" sqref="F147:F148"/>
    </sheetView>
  </sheetViews>
  <sheetFormatPr defaultColWidth="9.140625" defaultRowHeight="15"/>
  <cols>
    <col min="1" max="1" width="64.8515625" style="248" customWidth="1"/>
    <col min="2" max="2" width="4.8515625" style="360" customWidth="1"/>
    <col min="3" max="3" width="5.00390625" style="360" customWidth="1"/>
    <col min="4" max="4" width="15.421875" style="360" customWidth="1"/>
    <col min="5" max="5" width="8.8515625" style="354" customWidth="1"/>
    <col min="6" max="6" width="19.140625" style="427" customWidth="1"/>
    <col min="7" max="7" width="9.140625" style="252" customWidth="1"/>
    <col min="8" max="8" width="22.8515625" style="252" customWidth="1"/>
    <col min="9" max="9" width="16.140625" style="252" customWidth="1"/>
    <col min="10" max="10" width="13.140625" style="252" bestFit="1" customWidth="1"/>
    <col min="11" max="11" width="20.00390625" style="252" customWidth="1"/>
    <col min="12" max="16384" width="9.140625" style="252" customWidth="1"/>
  </cols>
  <sheetData>
    <row r="1" spans="1:6" ht="12.75">
      <c r="A1" s="252"/>
      <c r="B1" s="250" t="s">
        <v>1221</v>
      </c>
      <c r="C1" s="250"/>
      <c r="D1" s="250"/>
      <c r="E1" s="352"/>
      <c r="F1" s="355"/>
    </row>
    <row r="2" spans="2:6" ht="15">
      <c r="B2" s="356" t="s">
        <v>491</v>
      </c>
      <c r="C2" s="250"/>
      <c r="D2" s="250"/>
      <c r="E2" s="352"/>
      <c r="F2" s="357"/>
    </row>
    <row r="3" spans="2:6" ht="15">
      <c r="B3" s="255" t="s">
        <v>492</v>
      </c>
      <c r="C3" s="255"/>
      <c r="D3" s="255"/>
      <c r="E3" s="431"/>
      <c r="F3" s="357"/>
    </row>
    <row r="4" spans="2:6" ht="12.75">
      <c r="B4" s="581" t="s">
        <v>1222</v>
      </c>
      <c r="C4" s="581"/>
      <c r="D4" s="581"/>
      <c r="E4" s="581"/>
      <c r="F4" s="581"/>
    </row>
    <row r="5" spans="2:6" ht="12.75">
      <c r="B5" s="582" t="s">
        <v>494</v>
      </c>
      <c r="C5" s="582"/>
      <c r="D5" s="582"/>
      <c r="E5" s="582"/>
      <c r="F5" s="582"/>
    </row>
    <row r="6" spans="2:6" ht="23.25" customHeight="1">
      <c r="B6" s="583" t="s">
        <v>1223</v>
      </c>
      <c r="C6" s="583"/>
      <c r="D6" s="583"/>
      <c r="E6" s="583"/>
      <c r="F6" s="583"/>
    </row>
    <row r="7" spans="2:6" ht="23.25" customHeight="1">
      <c r="B7" s="260"/>
      <c r="C7" s="260"/>
      <c r="D7" s="260"/>
      <c r="E7" s="260"/>
      <c r="F7" s="260"/>
    </row>
    <row r="8" spans="1:6" ht="51.75" customHeight="1">
      <c r="A8" s="584" t="s">
        <v>1224</v>
      </c>
      <c r="B8" s="584"/>
      <c r="C8" s="584"/>
      <c r="D8" s="584"/>
      <c r="E8" s="584"/>
      <c r="F8" s="584"/>
    </row>
    <row r="9" spans="5:6" ht="15.75" thickBot="1">
      <c r="E9" s="361"/>
      <c r="F9" s="265" t="s">
        <v>497</v>
      </c>
    </row>
    <row r="10" spans="1:11" ht="15">
      <c r="A10" s="585" t="s">
        <v>498</v>
      </c>
      <c r="B10" s="587" t="s">
        <v>1043</v>
      </c>
      <c r="C10" s="587" t="s">
        <v>1044</v>
      </c>
      <c r="D10" s="589" t="s">
        <v>499</v>
      </c>
      <c r="E10" s="589" t="s">
        <v>500</v>
      </c>
      <c r="F10" s="591" t="s">
        <v>1182</v>
      </c>
      <c r="K10" s="253"/>
    </row>
    <row r="11" spans="1:6" ht="13.5" thickBot="1">
      <c r="A11" s="586"/>
      <c r="B11" s="588"/>
      <c r="C11" s="588"/>
      <c r="D11" s="590"/>
      <c r="E11" s="590"/>
      <c r="F11" s="592"/>
    </row>
    <row r="12" spans="1:6" s="273" customFormat="1" ht="12.75">
      <c r="A12" s="491">
        <v>1</v>
      </c>
      <c r="B12" s="463" t="s">
        <v>503</v>
      </c>
      <c r="C12" s="463" t="s">
        <v>504</v>
      </c>
      <c r="D12" s="464" t="s">
        <v>505</v>
      </c>
      <c r="E12" s="464" t="s">
        <v>1045</v>
      </c>
      <c r="F12" s="492">
        <v>6</v>
      </c>
    </row>
    <row r="13" spans="1:11" s="280" customFormat="1" ht="21">
      <c r="A13" s="367" t="s">
        <v>506</v>
      </c>
      <c r="B13" s="275"/>
      <c r="C13" s="275"/>
      <c r="D13" s="275"/>
      <c r="E13" s="284"/>
      <c r="F13" s="371">
        <f>F14+F190+F262+F306+F425+F469+F524+F536+F543+F463+F174+F300</f>
        <v>662542768.36</v>
      </c>
      <c r="H13" s="368"/>
      <c r="J13" s="368"/>
      <c r="K13" s="369"/>
    </row>
    <row r="14" spans="1:6" ht="13.5">
      <c r="A14" s="370" t="s">
        <v>1046</v>
      </c>
      <c r="B14" s="275" t="s">
        <v>1047</v>
      </c>
      <c r="C14" s="275"/>
      <c r="D14" s="275"/>
      <c r="E14" s="284"/>
      <c r="F14" s="371">
        <f>F15+F20+F29+F87+F92+F75+F70+F82</f>
        <v>92693477.2</v>
      </c>
    </row>
    <row r="15" spans="1:8" ht="26.25">
      <c r="A15" s="372" t="s">
        <v>1048</v>
      </c>
      <c r="B15" s="275" t="s">
        <v>1047</v>
      </c>
      <c r="C15" s="275" t="s">
        <v>1049</v>
      </c>
      <c r="D15" s="275"/>
      <c r="E15" s="284"/>
      <c r="F15" s="371">
        <f>F17</f>
        <v>1552000</v>
      </c>
      <c r="H15" s="306"/>
    </row>
    <row r="16" spans="1:6" ht="13.5">
      <c r="A16" s="343" t="s">
        <v>966</v>
      </c>
      <c r="B16" s="275" t="s">
        <v>1047</v>
      </c>
      <c r="C16" s="275" t="s">
        <v>1049</v>
      </c>
      <c r="D16" s="302" t="s">
        <v>967</v>
      </c>
      <c r="E16" s="284"/>
      <c r="F16" s="371">
        <f>F17</f>
        <v>1552000</v>
      </c>
    </row>
    <row r="17" spans="1:6" ht="13.5">
      <c r="A17" s="370" t="s">
        <v>968</v>
      </c>
      <c r="B17" s="275" t="s">
        <v>1047</v>
      </c>
      <c r="C17" s="275" t="s">
        <v>1049</v>
      </c>
      <c r="D17" s="302" t="s">
        <v>969</v>
      </c>
      <c r="E17" s="284"/>
      <c r="F17" s="371">
        <f>F19</f>
        <v>1552000</v>
      </c>
    </row>
    <row r="18" spans="1:6" ht="26.25">
      <c r="A18" s="372" t="s">
        <v>970</v>
      </c>
      <c r="B18" s="275" t="s">
        <v>1047</v>
      </c>
      <c r="C18" s="275" t="s">
        <v>1049</v>
      </c>
      <c r="D18" s="302" t="s">
        <v>971</v>
      </c>
      <c r="E18" s="284"/>
      <c r="F18" s="371">
        <f>F19</f>
        <v>1552000</v>
      </c>
    </row>
    <row r="19" spans="1:6" ht="39">
      <c r="A19" s="343" t="s">
        <v>522</v>
      </c>
      <c r="B19" s="275" t="s">
        <v>1047</v>
      </c>
      <c r="C19" s="275" t="s">
        <v>1049</v>
      </c>
      <c r="D19" s="302" t="s">
        <v>971</v>
      </c>
      <c r="E19" s="303" t="s">
        <v>523</v>
      </c>
      <c r="F19" s="371">
        <f>1537000+15000</f>
        <v>1552000</v>
      </c>
    </row>
    <row r="20" spans="1:6" ht="39">
      <c r="A20" s="372" t="s">
        <v>1050</v>
      </c>
      <c r="B20" s="275" t="s">
        <v>1047</v>
      </c>
      <c r="C20" s="275" t="s">
        <v>1051</v>
      </c>
      <c r="D20" s="275"/>
      <c r="E20" s="284"/>
      <c r="F20" s="371">
        <f>F21</f>
        <v>2011315</v>
      </c>
    </row>
    <row r="21" spans="1:6" ht="26.25">
      <c r="A21" s="343" t="s">
        <v>982</v>
      </c>
      <c r="B21" s="275" t="s">
        <v>1047</v>
      </c>
      <c r="C21" s="275" t="s">
        <v>1051</v>
      </c>
      <c r="D21" s="302" t="s">
        <v>983</v>
      </c>
      <c r="E21" s="284"/>
      <c r="F21" s="371">
        <f>F22+F25</f>
        <v>2011315</v>
      </c>
    </row>
    <row r="22" spans="1:6" ht="13.5">
      <c r="A22" s="370" t="s">
        <v>984</v>
      </c>
      <c r="B22" s="275" t="s">
        <v>1047</v>
      </c>
      <c r="C22" s="275" t="s">
        <v>1051</v>
      </c>
      <c r="D22" s="302" t="s">
        <v>985</v>
      </c>
      <c r="E22" s="284"/>
      <c r="F22" s="371">
        <f>F23</f>
        <v>890000</v>
      </c>
    </row>
    <row r="23" spans="1:6" ht="26.25">
      <c r="A23" s="372" t="s">
        <v>970</v>
      </c>
      <c r="B23" s="275" t="s">
        <v>1047</v>
      </c>
      <c r="C23" s="275" t="s">
        <v>1051</v>
      </c>
      <c r="D23" s="302" t="s">
        <v>986</v>
      </c>
      <c r="E23" s="303"/>
      <c r="F23" s="371">
        <f>F24</f>
        <v>890000</v>
      </c>
    </row>
    <row r="24" spans="1:6" ht="39">
      <c r="A24" s="343" t="s">
        <v>522</v>
      </c>
      <c r="B24" s="275" t="s">
        <v>1047</v>
      </c>
      <c r="C24" s="275" t="s">
        <v>1051</v>
      </c>
      <c r="D24" s="302" t="s">
        <v>986</v>
      </c>
      <c r="E24" s="303" t="s">
        <v>523</v>
      </c>
      <c r="F24" s="371">
        <f>880000+10000</f>
        <v>890000</v>
      </c>
    </row>
    <row r="25" spans="1:6" ht="13.5">
      <c r="A25" s="370" t="s">
        <v>987</v>
      </c>
      <c r="B25" s="275" t="s">
        <v>1047</v>
      </c>
      <c r="C25" s="275" t="s">
        <v>1051</v>
      </c>
      <c r="D25" s="302" t="s">
        <v>988</v>
      </c>
      <c r="E25" s="303"/>
      <c r="F25" s="371">
        <f>F26</f>
        <v>1121315</v>
      </c>
    </row>
    <row r="26" spans="1:6" ht="26.25">
      <c r="A26" s="372" t="s">
        <v>970</v>
      </c>
      <c r="B26" s="275" t="s">
        <v>1047</v>
      </c>
      <c r="C26" s="275" t="s">
        <v>1051</v>
      </c>
      <c r="D26" s="302" t="s">
        <v>989</v>
      </c>
      <c r="E26" s="303"/>
      <c r="F26" s="371">
        <f>F27+F28</f>
        <v>1121315</v>
      </c>
    </row>
    <row r="27" spans="1:6" ht="39">
      <c r="A27" s="343" t="s">
        <v>522</v>
      </c>
      <c r="B27" s="275" t="s">
        <v>1047</v>
      </c>
      <c r="C27" s="275" t="s">
        <v>1051</v>
      </c>
      <c r="D27" s="302" t="s">
        <v>989</v>
      </c>
      <c r="E27" s="303" t="s">
        <v>523</v>
      </c>
      <c r="F27" s="371">
        <f>1062800+22915+10600</f>
        <v>1096315</v>
      </c>
    </row>
    <row r="28" spans="1:6" ht="26.25">
      <c r="A28" s="343" t="s">
        <v>516</v>
      </c>
      <c r="B28" s="275" t="s">
        <v>1047</v>
      </c>
      <c r="C28" s="275" t="s">
        <v>1051</v>
      </c>
      <c r="D28" s="302" t="s">
        <v>989</v>
      </c>
      <c r="E28" s="303" t="s">
        <v>517</v>
      </c>
      <c r="F28" s="371">
        <f>10000+15000</f>
        <v>25000</v>
      </c>
    </row>
    <row r="29" spans="1:6" ht="39">
      <c r="A29" s="372" t="s">
        <v>1052</v>
      </c>
      <c r="B29" s="275" t="s">
        <v>1053</v>
      </c>
      <c r="C29" s="275" t="s">
        <v>1054</v>
      </c>
      <c r="D29" s="275"/>
      <c r="E29" s="284"/>
      <c r="F29" s="371">
        <f>F30+F47+F62+F56+F41</f>
        <v>20680699</v>
      </c>
    </row>
    <row r="30" spans="1:6" ht="26.25">
      <c r="A30" s="370" t="s">
        <v>1055</v>
      </c>
      <c r="B30" s="275" t="s">
        <v>1053</v>
      </c>
      <c r="C30" s="275" t="s">
        <v>1054</v>
      </c>
      <c r="D30" s="302" t="s">
        <v>556</v>
      </c>
      <c r="E30" s="303"/>
      <c r="F30" s="371">
        <f>F36+F31</f>
        <v>2960000</v>
      </c>
    </row>
    <row r="31" spans="1:6" s="308" customFormat="1" ht="52.5">
      <c r="A31" s="343" t="s">
        <v>1056</v>
      </c>
      <c r="B31" s="443" t="s">
        <v>1047</v>
      </c>
      <c r="C31" s="443" t="s">
        <v>1054</v>
      </c>
      <c r="D31" s="444" t="s">
        <v>580</v>
      </c>
      <c r="E31" s="445"/>
      <c r="F31" s="468">
        <f>F33</f>
        <v>888000</v>
      </c>
    </row>
    <row r="32" spans="1:6" ht="39">
      <c r="A32" s="374" t="s">
        <v>585</v>
      </c>
      <c r="B32" s="275" t="s">
        <v>1047</v>
      </c>
      <c r="C32" s="275" t="s">
        <v>1054</v>
      </c>
      <c r="D32" s="302" t="s">
        <v>586</v>
      </c>
      <c r="E32" s="303"/>
      <c r="F32" s="371">
        <f>F33</f>
        <v>888000</v>
      </c>
    </row>
    <row r="33" spans="1:6" ht="39">
      <c r="A33" s="493" t="s">
        <v>587</v>
      </c>
      <c r="B33" s="275" t="s">
        <v>1047</v>
      </c>
      <c r="C33" s="275" t="s">
        <v>1054</v>
      </c>
      <c r="D33" s="302" t="s">
        <v>588</v>
      </c>
      <c r="E33" s="303"/>
      <c r="F33" s="371">
        <f>F34+F35</f>
        <v>888000</v>
      </c>
    </row>
    <row r="34" spans="1:6" ht="39">
      <c r="A34" s="343" t="s">
        <v>522</v>
      </c>
      <c r="B34" s="275" t="s">
        <v>1047</v>
      </c>
      <c r="C34" s="275" t="s">
        <v>1054</v>
      </c>
      <c r="D34" s="302" t="s">
        <v>588</v>
      </c>
      <c r="E34" s="303" t="s">
        <v>523</v>
      </c>
      <c r="F34" s="371">
        <f>864600-60700</f>
        <v>803900</v>
      </c>
    </row>
    <row r="35" spans="1:6" ht="26.25">
      <c r="A35" s="343" t="s">
        <v>516</v>
      </c>
      <c r="B35" s="275" t="s">
        <v>1047</v>
      </c>
      <c r="C35" s="275" t="s">
        <v>1054</v>
      </c>
      <c r="D35" s="302" t="s">
        <v>588</v>
      </c>
      <c r="E35" s="303" t="s">
        <v>517</v>
      </c>
      <c r="F35" s="371">
        <f>12000+11400+60700</f>
        <v>84100</v>
      </c>
    </row>
    <row r="36" spans="1:6" s="308" customFormat="1" ht="52.5">
      <c r="A36" s="372" t="s">
        <v>1057</v>
      </c>
      <c r="B36" s="443" t="s">
        <v>1047</v>
      </c>
      <c r="C36" s="443" t="s">
        <v>1054</v>
      </c>
      <c r="D36" s="444" t="s">
        <v>596</v>
      </c>
      <c r="E36" s="448"/>
      <c r="F36" s="468">
        <f>F37</f>
        <v>2072000</v>
      </c>
    </row>
    <row r="37" spans="1:6" ht="26.25">
      <c r="A37" s="376" t="s">
        <v>605</v>
      </c>
      <c r="B37" s="275" t="s">
        <v>1047</v>
      </c>
      <c r="C37" s="275" t="s">
        <v>1054</v>
      </c>
      <c r="D37" s="302" t="s">
        <v>606</v>
      </c>
      <c r="E37" s="284"/>
      <c r="F37" s="371">
        <f>F38</f>
        <v>2072000</v>
      </c>
    </row>
    <row r="38" spans="1:6" ht="26.25">
      <c r="A38" s="372" t="s">
        <v>607</v>
      </c>
      <c r="B38" s="275" t="s">
        <v>1047</v>
      </c>
      <c r="C38" s="275" t="s">
        <v>1054</v>
      </c>
      <c r="D38" s="302" t="s">
        <v>608</v>
      </c>
      <c r="E38" s="284"/>
      <c r="F38" s="371">
        <f>F39+F40</f>
        <v>2072000</v>
      </c>
    </row>
    <row r="39" spans="1:6" ht="39">
      <c r="A39" s="343" t="s">
        <v>522</v>
      </c>
      <c r="B39" s="275" t="s">
        <v>1047</v>
      </c>
      <c r="C39" s="275" t="s">
        <v>1054</v>
      </c>
      <c r="D39" s="302" t="s">
        <v>608</v>
      </c>
      <c r="E39" s="303" t="s">
        <v>523</v>
      </c>
      <c r="F39" s="371">
        <f>1524168+460299+300+46799+14134-300+26600</f>
        <v>2072000</v>
      </c>
    </row>
    <row r="40" spans="1:6" ht="26.25" hidden="1">
      <c r="A40" s="343" t="s">
        <v>516</v>
      </c>
      <c r="B40" s="275" t="s">
        <v>1047</v>
      </c>
      <c r="C40" s="275" t="s">
        <v>1054</v>
      </c>
      <c r="D40" s="302" t="s">
        <v>608</v>
      </c>
      <c r="E40" s="303" t="s">
        <v>517</v>
      </c>
      <c r="F40" s="371">
        <f>60633-60633</f>
        <v>0</v>
      </c>
    </row>
    <row r="41" spans="1:6" ht="39">
      <c r="A41" s="367" t="s">
        <v>812</v>
      </c>
      <c r="B41" s="275" t="s">
        <v>1047</v>
      </c>
      <c r="C41" s="275" t="s">
        <v>1054</v>
      </c>
      <c r="D41" s="302" t="s">
        <v>813</v>
      </c>
      <c r="E41" s="284"/>
      <c r="F41" s="371">
        <f>F42</f>
        <v>329014</v>
      </c>
    </row>
    <row r="42" spans="1:6" s="308" customFormat="1" ht="70.5" customHeight="1">
      <c r="A42" s="376" t="s">
        <v>814</v>
      </c>
      <c r="B42" s="443" t="s">
        <v>1047</v>
      </c>
      <c r="C42" s="443" t="s">
        <v>1054</v>
      </c>
      <c r="D42" s="444" t="s">
        <v>815</v>
      </c>
      <c r="E42" s="448"/>
      <c r="F42" s="468">
        <f>F44</f>
        <v>329014</v>
      </c>
    </row>
    <row r="43" spans="1:6" ht="26.25">
      <c r="A43" s="373" t="s">
        <v>816</v>
      </c>
      <c r="B43" s="275" t="s">
        <v>1047</v>
      </c>
      <c r="C43" s="275" t="s">
        <v>1054</v>
      </c>
      <c r="D43" s="302" t="s">
        <v>817</v>
      </c>
      <c r="E43" s="284"/>
      <c r="F43" s="371">
        <f>F44</f>
        <v>329014</v>
      </c>
    </row>
    <row r="44" spans="1:6" ht="26.25">
      <c r="A44" s="493" t="s">
        <v>818</v>
      </c>
      <c r="B44" s="275" t="s">
        <v>1047</v>
      </c>
      <c r="C44" s="275" t="s">
        <v>1054</v>
      </c>
      <c r="D44" s="302" t="s">
        <v>819</v>
      </c>
      <c r="E44" s="284"/>
      <c r="F44" s="371">
        <f>F45+F46</f>
        <v>329014</v>
      </c>
    </row>
    <row r="45" spans="1:6" ht="39">
      <c r="A45" s="343" t="s">
        <v>522</v>
      </c>
      <c r="B45" s="275" t="s">
        <v>1047</v>
      </c>
      <c r="C45" s="275" t="s">
        <v>1054</v>
      </c>
      <c r="D45" s="302" t="s">
        <v>819</v>
      </c>
      <c r="E45" s="303" t="s">
        <v>523</v>
      </c>
      <c r="F45" s="371">
        <v>295773</v>
      </c>
    </row>
    <row r="46" spans="1:6" ht="26.25">
      <c r="A46" s="343" t="s">
        <v>516</v>
      </c>
      <c r="B46" s="275" t="s">
        <v>1047</v>
      </c>
      <c r="C46" s="275" t="s">
        <v>1054</v>
      </c>
      <c r="D46" s="302" t="s">
        <v>819</v>
      </c>
      <c r="E46" s="303" t="s">
        <v>517</v>
      </c>
      <c r="F46" s="371">
        <v>33241</v>
      </c>
    </row>
    <row r="47" spans="1:6" ht="39">
      <c r="A47" s="370" t="s">
        <v>852</v>
      </c>
      <c r="B47" s="275" t="s">
        <v>1047</v>
      </c>
      <c r="C47" s="275" t="s">
        <v>1054</v>
      </c>
      <c r="D47" s="302" t="s">
        <v>853</v>
      </c>
      <c r="E47" s="303"/>
      <c r="F47" s="371">
        <f>F48</f>
        <v>592000</v>
      </c>
    </row>
    <row r="48" spans="1:6" s="308" customFormat="1" ht="66">
      <c r="A48" s="370" t="s">
        <v>862</v>
      </c>
      <c r="B48" s="443" t="s">
        <v>1047</v>
      </c>
      <c r="C48" s="443" t="s">
        <v>1054</v>
      </c>
      <c r="D48" s="444" t="s">
        <v>863</v>
      </c>
      <c r="E48" s="445"/>
      <c r="F48" s="468">
        <f>F50+F53</f>
        <v>592000</v>
      </c>
    </row>
    <row r="49" spans="1:6" ht="39">
      <c r="A49" s="376" t="s">
        <v>864</v>
      </c>
      <c r="B49" s="275" t="s">
        <v>1047</v>
      </c>
      <c r="C49" s="275" t="s">
        <v>1054</v>
      </c>
      <c r="D49" s="302" t="s">
        <v>865</v>
      </c>
      <c r="E49" s="303"/>
      <c r="F49" s="371">
        <f>F50+F53</f>
        <v>592000</v>
      </c>
    </row>
    <row r="50" spans="1:6" ht="39">
      <c r="A50" s="493" t="s">
        <v>866</v>
      </c>
      <c r="B50" s="275" t="s">
        <v>1047</v>
      </c>
      <c r="C50" s="275" t="s">
        <v>1054</v>
      </c>
      <c r="D50" s="275" t="s">
        <v>867</v>
      </c>
      <c r="E50" s="284"/>
      <c r="F50" s="371">
        <f>F51+F52</f>
        <v>296000</v>
      </c>
    </row>
    <row r="51" spans="1:6" ht="39">
      <c r="A51" s="343" t="s">
        <v>522</v>
      </c>
      <c r="B51" s="275" t="s">
        <v>1047</v>
      </c>
      <c r="C51" s="275" t="s">
        <v>1054</v>
      </c>
      <c r="D51" s="275" t="s">
        <v>867</v>
      </c>
      <c r="E51" s="303" t="s">
        <v>523</v>
      </c>
      <c r="F51" s="371">
        <v>270240</v>
      </c>
    </row>
    <row r="52" spans="1:6" ht="26.25">
      <c r="A52" s="343" t="s">
        <v>516</v>
      </c>
      <c r="B52" s="275" t="s">
        <v>1047</v>
      </c>
      <c r="C52" s="275" t="s">
        <v>1054</v>
      </c>
      <c r="D52" s="275" t="s">
        <v>867</v>
      </c>
      <c r="E52" s="303" t="s">
        <v>517</v>
      </c>
      <c r="F52" s="371">
        <v>25760</v>
      </c>
    </row>
    <row r="53" spans="1:6" ht="26.25">
      <c r="A53" s="493" t="s">
        <v>868</v>
      </c>
      <c r="B53" s="275" t="s">
        <v>1047</v>
      </c>
      <c r="C53" s="275" t="s">
        <v>1054</v>
      </c>
      <c r="D53" s="275" t="s">
        <v>869</v>
      </c>
      <c r="E53" s="284"/>
      <c r="F53" s="371">
        <f>F54+F55</f>
        <v>296000</v>
      </c>
    </row>
    <row r="54" spans="1:6" ht="38.25" customHeight="1">
      <c r="A54" s="343" t="s">
        <v>522</v>
      </c>
      <c r="B54" s="275" t="s">
        <v>1047</v>
      </c>
      <c r="C54" s="275" t="s">
        <v>1054</v>
      </c>
      <c r="D54" s="275" t="s">
        <v>869</v>
      </c>
      <c r="E54" s="303" t="s">
        <v>523</v>
      </c>
      <c r="F54" s="371">
        <f>193920+58564+30503+9213+3800</f>
        <v>296000</v>
      </c>
    </row>
    <row r="55" spans="1:6" ht="26.25" hidden="1">
      <c r="A55" s="343" t="s">
        <v>516</v>
      </c>
      <c r="B55" s="275" t="s">
        <v>1047</v>
      </c>
      <c r="C55" s="275" t="s">
        <v>1054</v>
      </c>
      <c r="D55" s="275" t="s">
        <v>869</v>
      </c>
      <c r="E55" s="303" t="s">
        <v>517</v>
      </c>
      <c r="F55" s="371">
        <f>39716-39716</f>
        <v>0</v>
      </c>
    </row>
    <row r="56" spans="1:6" ht="13.5">
      <c r="A56" s="343" t="s">
        <v>972</v>
      </c>
      <c r="B56" s="275" t="s">
        <v>1047</v>
      </c>
      <c r="C56" s="275" t="s">
        <v>1054</v>
      </c>
      <c r="D56" s="275" t="s">
        <v>973</v>
      </c>
      <c r="E56" s="284"/>
      <c r="F56" s="371">
        <f>F57</f>
        <v>16474085</v>
      </c>
    </row>
    <row r="57" spans="1:6" ht="13.5">
      <c r="A57" s="372" t="s">
        <v>974</v>
      </c>
      <c r="B57" s="275" t="s">
        <v>1047</v>
      </c>
      <c r="C57" s="275" t="s">
        <v>1054</v>
      </c>
      <c r="D57" s="275" t="s">
        <v>975</v>
      </c>
      <c r="E57" s="284"/>
      <c r="F57" s="371">
        <f>F58</f>
        <v>16474085</v>
      </c>
    </row>
    <row r="58" spans="1:6" ht="26.25">
      <c r="A58" s="372" t="s">
        <v>970</v>
      </c>
      <c r="B58" s="275" t="s">
        <v>1047</v>
      </c>
      <c r="C58" s="275" t="s">
        <v>1054</v>
      </c>
      <c r="D58" s="275" t="s">
        <v>976</v>
      </c>
      <c r="E58" s="284"/>
      <c r="F58" s="371">
        <f>F59+F60+F61</f>
        <v>16474085</v>
      </c>
    </row>
    <row r="59" spans="1:6" ht="39">
      <c r="A59" s="343" t="s">
        <v>522</v>
      </c>
      <c r="B59" s="275" t="s">
        <v>1047</v>
      </c>
      <c r="C59" s="275" t="s">
        <v>1054</v>
      </c>
      <c r="D59" s="275" t="s">
        <v>976</v>
      </c>
      <c r="E59" s="303" t="s">
        <v>523</v>
      </c>
      <c r="F59" s="371">
        <f>15918200+187388+172097</f>
        <v>16277685</v>
      </c>
    </row>
    <row r="60" spans="1:6" ht="26.25">
      <c r="A60" s="343" t="s">
        <v>516</v>
      </c>
      <c r="B60" s="275" t="s">
        <v>1047</v>
      </c>
      <c r="C60" s="275" t="s">
        <v>1054</v>
      </c>
      <c r="D60" s="275" t="s">
        <v>976</v>
      </c>
      <c r="E60" s="303" t="s">
        <v>517</v>
      </c>
      <c r="F60" s="377">
        <v>58500</v>
      </c>
    </row>
    <row r="61" spans="1:6" ht="13.5">
      <c r="A61" s="373" t="s">
        <v>524</v>
      </c>
      <c r="B61" s="275" t="s">
        <v>1047</v>
      </c>
      <c r="C61" s="275" t="s">
        <v>1054</v>
      </c>
      <c r="D61" s="275" t="s">
        <v>976</v>
      </c>
      <c r="E61" s="303" t="s">
        <v>525</v>
      </c>
      <c r="F61" s="371">
        <f>86900+6000+51000-6000</f>
        <v>137900</v>
      </c>
    </row>
    <row r="62" spans="1:6" ht="13.5">
      <c r="A62" s="370" t="s">
        <v>995</v>
      </c>
      <c r="B62" s="275" t="s">
        <v>1047</v>
      </c>
      <c r="C62" s="275" t="s">
        <v>1054</v>
      </c>
      <c r="D62" s="275" t="s">
        <v>996</v>
      </c>
      <c r="E62" s="284"/>
      <c r="F62" s="371">
        <f>F63+F67</f>
        <v>325600</v>
      </c>
    </row>
    <row r="63" spans="1:6" ht="26.25">
      <c r="A63" s="376" t="s">
        <v>997</v>
      </c>
      <c r="B63" s="275" t="s">
        <v>1047</v>
      </c>
      <c r="C63" s="275" t="s">
        <v>1054</v>
      </c>
      <c r="D63" s="275" t="s">
        <v>998</v>
      </c>
      <c r="E63" s="284"/>
      <c r="F63" s="371">
        <f>F64</f>
        <v>296000</v>
      </c>
    </row>
    <row r="64" spans="1:6" ht="26.25">
      <c r="A64" s="372" t="s">
        <v>999</v>
      </c>
      <c r="B64" s="275" t="s">
        <v>1047</v>
      </c>
      <c r="C64" s="275" t="s">
        <v>1054</v>
      </c>
      <c r="D64" s="275" t="s">
        <v>1000</v>
      </c>
      <c r="E64" s="284"/>
      <c r="F64" s="371">
        <f>F65+F66</f>
        <v>296000</v>
      </c>
    </row>
    <row r="65" spans="1:6" ht="38.25" customHeight="1">
      <c r="A65" s="343" t="s">
        <v>522</v>
      </c>
      <c r="B65" s="275" t="s">
        <v>1047</v>
      </c>
      <c r="C65" s="275" t="s">
        <v>1054</v>
      </c>
      <c r="D65" s="275" t="s">
        <v>1000</v>
      </c>
      <c r="E65" s="303" t="s">
        <v>523</v>
      </c>
      <c r="F65" s="371">
        <f>208320+62913+16104+4863+3800</f>
        <v>296000</v>
      </c>
    </row>
    <row r="66" spans="1:6" ht="1.5" customHeight="1" hidden="1">
      <c r="A66" s="343" t="s">
        <v>554</v>
      </c>
      <c r="B66" s="275" t="s">
        <v>1047</v>
      </c>
      <c r="C66" s="275" t="s">
        <v>1054</v>
      </c>
      <c r="D66" s="275" t="s">
        <v>1000</v>
      </c>
      <c r="E66" s="303" t="s">
        <v>517</v>
      </c>
      <c r="F66" s="371">
        <f>20967-20967</f>
        <v>0</v>
      </c>
    </row>
    <row r="67" spans="1:6" ht="13.5">
      <c r="A67" s="370" t="s">
        <v>1001</v>
      </c>
      <c r="B67" s="275" t="s">
        <v>1047</v>
      </c>
      <c r="C67" s="275" t="s">
        <v>1054</v>
      </c>
      <c r="D67" s="275" t="s">
        <v>1002</v>
      </c>
      <c r="E67" s="284"/>
      <c r="F67" s="371">
        <f>F68</f>
        <v>29600</v>
      </c>
    </row>
    <row r="68" spans="1:6" ht="39">
      <c r="A68" s="378" t="s">
        <v>1005</v>
      </c>
      <c r="B68" s="275" t="s">
        <v>1047</v>
      </c>
      <c r="C68" s="275" t="s">
        <v>1054</v>
      </c>
      <c r="D68" s="275" t="s">
        <v>1006</v>
      </c>
      <c r="E68" s="284"/>
      <c r="F68" s="371">
        <f>F69</f>
        <v>29600</v>
      </c>
    </row>
    <row r="69" spans="1:6" ht="39">
      <c r="A69" s="343" t="s">
        <v>522</v>
      </c>
      <c r="B69" s="275" t="s">
        <v>1047</v>
      </c>
      <c r="C69" s="275" t="s">
        <v>1054</v>
      </c>
      <c r="D69" s="275" t="s">
        <v>1006</v>
      </c>
      <c r="E69" s="303" t="s">
        <v>523</v>
      </c>
      <c r="F69" s="371">
        <f>22442+6778+380</f>
        <v>29600</v>
      </c>
    </row>
    <row r="70" spans="1:6" ht="13.5">
      <c r="A70" s="378" t="s">
        <v>1058</v>
      </c>
      <c r="B70" s="275" t="s">
        <v>1047</v>
      </c>
      <c r="C70" s="275" t="s">
        <v>1059</v>
      </c>
      <c r="D70" s="275"/>
      <c r="E70" s="303"/>
      <c r="F70" s="371">
        <f>F71</f>
        <v>16600</v>
      </c>
    </row>
    <row r="71" spans="1:6" ht="13.5">
      <c r="A71" s="370" t="s">
        <v>995</v>
      </c>
      <c r="B71" s="275" t="s">
        <v>1047</v>
      </c>
      <c r="C71" s="275" t="s">
        <v>1059</v>
      </c>
      <c r="D71" s="275" t="s">
        <v>996</v>
      </c>
      <c r="E71" s="303"/>
      <c r="F71" s="371">
        <f>F72</f>
        <v>16600</v>
      </c>
    </row>
    <row r="72" spans="1:6" ht="13.5">
      <c r="A72" s="370" t="s">
        <v>1001</v>
      </c>
      <c r="B72" s="275" t="s">
        <v>1047</v>
      </c>
      <c r="C72" s="275" t="s">
        <v>1059</v>
      </c>
      <c r="D72" s="275" t="s">
        <v>1002</v>
      </c>
      <c r="E72" s="303"/>
      <c r="F72" s="371">
        <f>F73</f>
        <v>16600</v>
      </c>
    </row>
    <row r="73" spans="1:6" ht="39">
      <c r="A73" s="493" t="s">
        <v>1007</v>
      </c>
      <c r="B73" s="275" t="s">
        <v>1047</v>
      </c>
      <c r="C73" s="275" t="s">
        <v>1059</v>
      </c>
      <c r="D73" s="275" t="s">
        <v>1008</v>
      </c>
      <c r="E73" s="303"/>
      <c r="F73" s="371">
        <f>F74</f>
        <v>16600</v>
      </c>
    </row>
    <row r="74" spans="1:6" ht="13.5">
      <c r="A74" s="343" t="s">
        <v>554</v>
      </c>
      <c r="B74" s="275" t="s">
        <v>1047</v>
      </c>
      <c r="C74" s="275" t="s">
        <v>1059</v>
      </c>
      <c r="D74" s="275" t="s">
        <v>1008</v>
      </c>
      <c r="E74" s="303" t="s">
        <v>517</v>
      </c>
      <c r="F74" s="371">
        <f>16600</f>
        <v>16600</v>
      </c>
    </row>
    <row r="75" spans="1:6" ht="26.25">
      <c r="A75" s="370" t="s">
        <v>1060</v>
      </c>
      <c r="B75" s="275" t="s">
        <v>1047</v>
      </c>
      <c r="C75" s="275" t="s">
        <v>1061</v>
      </c>
      <c r="D75" s="275"/>
      <c r="E75" s="284"/>
      <c r="F75" s="371">
        <f>F76</f>
        <v>559000</v>
      </c>
    </row>
    <row r="76" spans="1:6" ht="26.25">
      <c r="A76" s="380" t="s">
        <v>977</v>
      </c>
      <c r="B76" s="275" t="s">
        <v>1047</v>
      </c>
      <c r="C76" s="275" t="s">
        <v>1061</v>
      </c>
      <c r="D76" s="298" t="s">
        <v>978</v>
      </c>
      <c r="E76" s="303"/>
      <c r="F76" s="371">
        <f>F77</f>
        <v>559000</v>
      </c>
    </row>
    <row r="77" spans="1:6" ht="13.5">
      <c r="A77" s="380" t="s">
        <v>979</v>
      </c>
      <c r="B77" s="275" t="s">
        <v>1047</v>
      </c>
      <c r="C77" s="275" t="s">
        <v>1061</v>
      </c>
      <c r="D77" s="298" t="s">
        <v>980</v>
      </c>
      <c r="E77" s="303"/>
      <c r="F77" s="371">
        <f>F78</f>
        <v>559000</v>
      </c>
    </row>
    <row r="78" spans="1:6" ht="26.25">
      <c r="A78" s="372" t="s">
        <v>970</v>
      </c>
      <c r="B78" s="275" t="s">
        <v>1047</v>
      </c>
      <c r="C78" s="275" t="s">
        <v>1061</v>
      </c>
      <c r="D78" s="298" t="s">
        <v>981</v>
      </c>
      <c r="E78" s="284"/>
      <c r="F78" s="371">
        <f>F79+F80+F81</f>
        <v>559000</v>
      </c>
    </row>
    <row r="79" spans="1:6" ht="38.25" customHeight="1">
      <c r="A79" s="343" t="s">
        <v>522</v>
      </c>
      <c r="B79" s="275" t="s">
        <v>1047</v>
      </c>
      <c r="C79" s="275" t="s">
        <v>1061</v>
      </c>
      <c r="D79" s="298" t="s">
        <v>981</v>
      </c>
      <c r="E79" s="303" t="s">
        <v>523</v>
      </c>
      <c r="F79" s="371">
        <v>559000</v>
      </c>
    </row>
    <row r="80" spans="1:6" ht="13.5" hidden="1">
      <c r="A80" s="343" t="s">
        <v>554</v>
      </c>
      <c r="B80" s="275" t="s">
        <v>1047</v>
      </c>
      <c r="C80" s="275" t="s">
        <v>1061</v>
      </c>
      <c r="D80" s="298" t="s">
        <v>981</v>
      </c>
      <c r="E80" s="303" t="s">
        <v>517</v>
      </c>
      <c r="F80" s="371"/>
    </row>
    <row r="81" spans="1:6" ht="13.5" hidden="1">
      <c r="A81" s="373" t="s">
        <v>524</v>
      </c>
      <c r="B81" s="275" t="s">
        <v>1047</v>
      </c>
      <c r="C81" s="275" t="s">
        <v>1061</v>
      </c>
      <c r="D81" s="298" t="s">
        <v>981</v>
      </c>
      <c r="E81" s="303" t="s">
        <v>525</v>
      </c>
      <c r="F81" s="371"/>
    </row>
    <row r="82" spans="1:6" ht="13.5">
      <c r="A82" s="381" t="s">
        <v>1062</v>
      </c>
      <c r="B82" s="275" t="s">
        <v>1047</v>
      </c>
      <c r="C82" s="275" t="s">
        <v>1063</v>
      </c>
      <c r="D82" s="298"/>
      <c r="E82" s="303"/>
      <c r="F82" s="371">
        <f>F83</f>
        <v>103000</v>
      </c>
    </row>
    <row r="83" spans="1:6" ht="13.5">
      <c r="A83" s="370" t="s">
        <v>995</v>
      </c>
      <c r="B83" s="275" t="s">
        <v>1047</v>
      </c>
      <c r="C83" s="275" t="s">
        <v>1063</v>
      </c>
      <c r="D83" s="298" t="s">
        <v>996</v>
      </c>
      <c r="E83" s="303"/>
      <c r="F83" s="371">
        <f>F84</f>
        <v>103000</v>
      </c>
    </row>
    <row r="84" spans="1:6" ht="13.5">
      <c r="A84" s="373" t="s">
        <v>1017</v>
      </c>
      <c r="B84" s="275" t="s">
        <v>1047</v>
      </c>
      <c r="C84" s="275" t="s">
        <v>1063</v>
      </c>
      <c r="D84" s="298" t="s">
        <v>1018</v>
      </c>
      <c r="E84" s="303"/>
      <c r="F84" s="371">
        <f>F85</f>
        <v>103000</v>
      </c>
    </row>
    <row r="85" spans="1:6" ht="13.5">
      <c r="A85" s="373" t="s">
        <v>1019</v>
      </c>
      <c r="B85" s="275" t="s">
        <v>1047</v>
      </c>
      <c r="C85" s="275" t="s">
        <v>1063</v>
      </c>
      <c r="D85" s="298" t="s">
        <v>1064</v>
      </c>
      <c r="E85" s="303"/>
      <c r="F85" s="371">
        <f>F86</f>
        <v>103000</v>
      </c>
    </row>
    <row r="86" spans="1:6" ht="13.5">
      <c r="A86" s="373" t="s">
        <v>524</v>
      </c>
      <c r="B86" s="275" t="s">
        <v>1047</v>
      </c>
      <c r="C86" s="275" t="s">
        <v>1063</v>
      </c>
      <c r="D86" s="298" t="s">
        <v>1064</v>
      </c>
      <c r="E86" s="303" t="s">
        <v>525</v>
      </c>
      <c r="F86" s="371">
        <f>103000</f>
        <v>103000</v>
      </c>
    </row>
    <row r="87" spans="1:6" ht="13.5">
      <c r="A87" s="370" t="s">
        <v>1024</v>
      </c>
      <c r="B87" s="275" t="s">
        <v>1047</v>
      </c>
      <c r="C87" s="275" t="s">
        <v>1065</v>
      </c>
      <c r="D87" s="275"/>
      <c r="E87" s="284"/>
      <c r="F87" s="371">
        <f>F89</f>
        <v>50000</v>
      </c>
    </row>
    <row r="88" spans="1:6" ht="13.5">
      <c r="A88" s="343" t="s">
        <v>1021</v>
      </c>
      <c r="B88" s="275" t="s">
        <v>1047</v>
      </c>
      <c r="C88" s="275" t="s">
        <v>1065</v>
      </c>
      <c r="D88" s="302" t="s">
        <v>1022</v>
      </c>
      <c r="E88" s="338" t="s">
        <v>1023</v>
      </c>
      <c r="F88" s="371">
        <f>F89</f>
        <v>50000</v>
      </c>
    </row>
    <row r="89" spans="1:6" ht="13.5">
      <c r="A89" s="343" t="s">
        <v>1024</v>
      </c>
      <c r="B89" s="275" t="s">
        <v>1047</v>
      </c>
      <c r="C89" s="275" t="s">
        <v>1065</v>
      </c>
      <c r="D89" s="302" t="s">
        <v>1025</v>
      </c>
      <c r="E89" s="338" t="s">
        <v>1023</v>
      </c>
      <c r="F89" s="371">
        <f>F90</f>
        <v>50000</v>
      </c>
    </row>
    <row r="90" spans="1:6" ht="13.5">
      <c r="A90" s="372" t="s">
        <v>1026</v>
      </c>
      <c r="B90" s="275" t="s">
        <v>1047</v>
      </c>
      <c r="C90" s="275" t="s">
        <v>1065</v>
      </c>
      <c r="D90" s="302" t="s">
        <v>1027</v>
      </c>
      <c r="E90" s="338" t="s">
        <v>1023</v>
      </c>
      <c r="F90" s="371">
        <f>F91</f>
        <v>50000</v>
      </c>
    </row>
    <row r="91" spans="1:6" ht="13.5">
      <c r="A91" s="343" t="s">
        <v>524</v>
      </c>
      <c r="B91" s="275" t="s">
        <v>1047</v>
      </c>
      <c r="C91" s="275" t="s">
        <v>1065</v>
      </c>
      <c r="D91" s="302" t="s">
        <v>1027</v>
      </c>
      <c r="E91" s="338" t="s">
        <v>525</v>
      </c>
      <c r="F91" s="371">
        <f>50000</f>
        <v>50000</v>
      </c>
    </row>
    <row r="92" spans="1:11" ht="13.5">
      <c r="A92" s="370" t="s">
        <v>1066</v>
      </c>
      <c r="B92" s="275" t="s">
        <v>1047</v>
      </c>
      <c r="C92" s="275" t="s">
        <v>1067</v>
      </c>
      <c r="D92" s="275"/>
      <c r="E92" s="284"/>
      <c r="F92" s="371">
        <f>F93+F111+F143+F154+F160+F170+F122+F134+F127+F117+F149</f>
        <v>67720863.2</v>
      </c>
      <c r="K92" s="306"/>
    </row>
    <row r="93" spans="1:6" ht="26.25">
      <c r="A93" s="370" t="s">
        <v>1163</v>
      </c>
      <c r="B93" s="275" t="s">
        <v>1047</v>
      </c>
      <c r="C93" s="275" t="s">
        <v>1067</v>
      </c>
      <c r="D93" s="275" t="s">
        <v>556</v>
      </c>
      <c r="E93" s="284"/>
      <c r="F93" s="371">
        <f>F102+F98+F94</f>
        <v>166300</v>
      </c>
    </row>
    <row r="94" spans="1:6" ht="39">
      <c r="A94" s="382" t="s">
        <v>1069</v>
      </c>
      <c r="B94" s="275" t="s">
        <v>1047</v>
      </c>
      <c r="C94" s="275" t="s">
        <v>1067</v>
      </c>
      <c r="D94" s="275" t="s">
        <v>558</v>
      </c>
      <c r="E94" s="284"/>
      <c r="F94" s="371">
        <f>F95</f>
        <v>14000</v>
      </c>
    </row>
    <row r="95" spans="1:6" ht="26.25">
      <c r="A95" s="382" t="s">
        <v>571</v>
      </c>
      <c r="B95" s="275" t="s">
        <v>1047</v>
      </c>
      <c r="C95" s="275" t="s">
        <v>1067</v>
      </c>
      <c r="D95" s="275" t="s">
        <v>572</v>
      </c>
      <c r="E95" s="284"/>
      <c r="F95" s="371">
        <f>F96</f>
        <v>14000</v>
      </c>
    </row>
    <row r="96" spans="1:6" ht="13.5">
      <c r="A96" s="343" t="s">
        <v>573</v>
      </c>
      <c r="B96" s="275" t="s">
        <v>1047</v>
      </c>
      <c r="C96" s="275" t="s">
        <v>1067</v>
      </c>
      <c r="D96" s="289" t="s">
        <v>574</v>
      </c>
      <c r="E96" s="284"/>
      <c r="F96" s="371">
        <f>F97</f>
        <v>14000</v>
      </c>
    </row>
    <row r="97" spans="1:6" ht="26.25">
      <c r="A97" s="343" t="s">
        <v>516</v>
      </c>
      <c r="B97" s="275" t="s">
        <v>1047</v>
      </c>
      <c r="C97" s="275" t="s">
        <v>1067</v>
      </c>
      <c r="D97" s="289" t="s">
        <v>574</v>
      </c>
      <c r="E97" s="284" t="s">
        <v>517</v>
      </c>
      <c r="F97" s="371">
        <v>14000</v>
      </c>
    </row>
    <row r="98" spans="1:6" s="308" customFormat="1" ht="52.5">
      <c r="A98" s="343" t="s">
        <v>1056</v>
      </c>
      <c r="B98" s="443" t="s">
        <v>1047</v>
      </c>
      <c r="C98" s="443" t="s">
        <v>1067</v>
      </c>
      <c r="D98" s="443" t="s">
        <v>580</v>
      </c>
      <c r="E98" s="448"/>
      <c r="F98" s="468">
        <f>F99</f>
        <v>15000</v>
      </c>
    </row>
    <row r="99" spans="1:6" ht="26.25">
      <c r="A99" s="332" t="s">
        <v>591</v>
      </c>
      <c r="B99" s="275" t="s">
        <v>1047</v>
      </c>
      <c r="C99" s="275" t="s">
        <v>1067</v>
      </c>
      <c r="D99" s="275" t="s">
        <v>592</v>
      </c>
      <c r="E99" s="284"/>
      <c r="F99" s="371">
        <f>F100</f>
        <v>15000</v>
      </c>
    </row>
    <row r="100" spans="1:6" ht="26.25">
      <c r="A100" s="382" t="s">
        <v>593</v>
      </c>
      <c r="B100" s="275" t="s">
        <v>1047</v>
      </c>
      <c r="C100" s="275" t="s">
        <v>1067</v>
      </c>
      <c r="D100" s="289" t="s">
        <v>594</v>
      </c>
      <c r="E100" s="284"/>
      <c r="F100" s="371">
        <f>F101</f>
        <v>15000</v>
      </c>
    </row>
    <row r="101" spans="1:6" ht="26.25">
      <c r="A101" s="343" t="s">
        <v>516</v>
      </c>
      <c r="B101" s="275" t="s">
        <v>1047</v>
      </c>
      <c r="C101" s="275" t="s">
        <v>1067</v>
      </c>
      <c r="D101" s="289" t="s">
        <v>594</v>
      </c>
      <c r="E101" s="284" t="s">
        <v>517</v>
      </c>
      <c r="F101" s="371">
        <v>15000</v>
      </c>
    </row>
    <row r="102" spans="1:6" s="308" customFormat="1" ht="52.5">
      <c r="A102" s="372" t="s">
        <v>595</v>
      </c>
      <c r="B102" s="443" t="s">
        <v>1047</v>
      </c>
      <c r="C102" s="443" t="s">
        <v>1067</v>
      </c>
      <c r="D102" s="443" t="s">
        <v>596</v>
      </c>
      <c r="E102" s="448"/>
      <c r="F102" s="468">
        <f>F103+F108</f>
        <v>137300</v>
      </c>
    </row>
    <row r="103" spans="1:6" ht="26.25">
      <c r="A103" s="372" t="s">
        <v>597</v>
      </c>
      <c r="B103" s="275" t="s">
        <v>1047</v>
      </c>
      <c r="C103" s="275" t="s">
        <v>1067</v>
      </c>
      <c r="D103" s="275" t="s">
        <v>598</v>
      </c>
      <c r="E103" s="284"/>
      <c r="F103" s="371">
        <f>F104+F106</f>
        <v>127300</v>
      </c>
    </row>
    <row r="104" spans="1:6" ht="26.25">
      <c r="A104" s="372" t="s">
        <v>599</v>
      </c>
      <c r="B104" s="275" t="s">
        <v>1047</v>
      </c>
      <c r="C104" s="275" t="s">
        <v>1067</v>
      </c>
      <c r="D104" s="275" t="s">
        <v>600</v>
      </c>
      <c r="E104" s="284"/>
      <c r="F104" s="371">
        <f>F105</f>
        <v>124300</v>
      </c>
    </row>
    <row r="105" spans="1:6" ht="26.25">
      <c r="A105" s="343" t="s">
        <v>601</v>
      </c>
      <c r="B105" s="275" t="s">
        <v>1047</v>
      </c>
      <c r="C105" s="275" t="s">
        <v>1067</v>
      </c>
      <c r="D105" s="275" t="s">
        <v>600</v>
      </c>
      <c r="E105" s="303" t="s">
        <v>602</v>
      </c>
      <c r="F105" s="371">
        <f>122900+1400</f>
        <v>124300</v>
      </c>
    </row>
    <row r="106" spans="1:6" ht="13.5">
      <c r="A106" s="372" t="s">
        <v>603</v>
      </c>
      <c r="B106" s="275" t="s">
        <v>1047</v>
      </c>
      <c r="C106" s="275" t="s">
        <v>1067</v>
      </c>
      <c r="D106" s="275" t="s">
        <v>604</v>
      </c>
      <c r="E106" s="303"/>
      <c r="F106" s="371">
        <f>F107</f>
        <v>3000</v>
      </c>
    </row>
    <row r="107" spans="1:6" ht="26.25">
      <c r="A107" s="343" t="s">
        <v>601</v>
      </c>
      <c r="B107" s="275" t="s">
        <v>1047</v>
      </c>
      <c r="C107" s="275" t="s">
        <v>1067</v>
      </c>
      <c r="D107" s="275" t="s">
        <v>604</v>
      </c>
      <c r="E107" s="303" t="s">
        <v>602</v>
      </c>
      <c r="F107" s="371">
        <v>3000</v>
      </c>
    </row>
    <row r="108" spans="1:6" ht="26.25">
      <c r="A108" s="376" t="s">
        <v>605</v>
      </c>
      <c r="B108" s="275" t="s">
        <v>1047</v>
      </c>
      <c r="C108" s="275" t="s">
        <v>1067</v>
      </c>
      <c r="D108" s="275" t="s">
        <v>606</v>
      </c>
      <c r="E108" s="303"/>
      <c r="F108" s="371">
        <f>F109</f>
        <v>10000</v>
      </c>
    </row>
    <row r="109" spans="1:6" ht="13.5">
      <c r="A109" s="332" t="s">
        <v>609</v>
      </c>
      <c r="B109" s="275" t="s">
        <v>1047</v>
      </c>
      <c r="C109" s="275" t="s">
        <v>1067</v>
      </c>
      <c r="D109" s="275" t="s">
        <v>610</v>
      </c>
      <c r="E109" s="303"/>
      <c r="F109" s="371">
        <f>F110</f>
        <v>10000</v>
      </c>
    </row>
    <row r="110" spans="1:6" ht="26.25">
      <c r="A110" s="343" t="s">
        <v>516</v>
      </c>
      <c r="B110" s="275" t="s">
        <v>1047</v>
      </c>
      <c r="C110" s="275" t="s">
        <v>1067</v>
      </c>
      <c r="D110" s="275" t="s">
        <v>610</v>
      </c>
      <c r="E110" s="303" t="s">
        <v>517</v>
      </c>
      <c r="F110" s="371">
        <v>10000</v>
      </c>
    </row>
    <row r="111" spans="1:6" ht="26.25">
      <c r="A111" s="494" t="s">
        <v>1072</v>
      </c>
      <c r="B111" s="275" t="s">
        <v>1047</v>
      </c>
      <c r="C111" s="275" t="s">
        <v>1067</v>
      </c>
      <c r="D111" s="275" t="s">
        <v>805</v>
      </c>
      <c r="E111" s="303"/>
      <c r="F111" s="371">
        <f>F112</f>
        <v>1905973</v>
      </c>
    </row>
    <row r="112" spans="1:6" s="308" customFormat="1" ht="52.5">
      <c r="A112" s="479" t="s">
        <v>806</v>
      </c>
      <c r="B112" s="443" t="s">
        <v>1047</v>
      </c>
      <c r="C112" s="443" t="s">
        <v>1067</v>
      </c>
      <c r="D112" s="443" t="s">
        <v>807</v>
      </c>
      <c r="E112" s="445"/>
      <c r="F112" s="468">
        <f>F113</f>
        <v>1905973</v>
      </c>
    </row>
    <row r="113" spans="1:6" ht="26.25">
      <c r="A113" s="479" t="s">
        <v>808</v>
      </c>
      <c r="B113" s="275" t="s">
        <v>1047</v>
      </c>
      <c r="C113" s="275" t="s">
        <v>1067</v>
      </c>
      <c r="D113" s="275" t="s">
        <v>809</v>
      </c>
      <c r="E113" s="303"/>
      <c r="F113" s="371">
        <f>F114</f>
        <v>1905973</v>
      </c>
    </row>
    <row r="114" spans="1:6" ht="13.5">
      <c r="A114" s="479" t="s">
        <v>810</v>
      </c>
      <c r="B114" s="275" t="s">
        <v>1047</v>
      </c>
      <c r="C114" s="275" t="s">
        <v>1067</v>
      </c>
      <c r="D114" s="275" t="s">
        <v>811</v>
      </c>
      <c r="E114" s="303"/>
      <c r="F114" s="371">
        <f>F116+F115</f>
        <v>1905973</v>
      </c>
    </row>
    <row r="115" spans="1:6" ht="39">
      <c r="A115" s="343" t="s">
        <v>522</v>
      </c>
      <c r="B115" s="275" t="s">
        <v>1047</v>
      </c>
      <c r="C115" s="275" t="s">
        <v>1067</v>
      </c>
      <c r="D115" s="275" t="s">
        <v>811</v>
      </c>
      <c r="E115" s="303" t="s">
        <v>523</v>
      </c>
      <c r="F115" s="371">
        <f>40000</f>
        <v>40000</v>
      </c>
    </row>
    <row r="116" spans="1:6" ht="26.25">
      <c r="A116" s="343" t="s">
        <v>516</v>
      </c>
      <c r="B116" s="275" t="s">
        <v>1047</v>
      </c>
      <c r="C116" s="275" t="s">
        <v>1067</v>
      </c>
      <c r="D116" s="275" t="s">
        <v>811</v>
      </c>
      <c r="E116" s="284" t="s">
        <v>517</v>
      </c>
      <c r="F116" s="371">
        <f>687100+270000+37422+49551+640900+100000-504000+585000</f>
        <v>1865973</v>
      </c>
    </row>
    <row r="117" spans="1:6" ht="39">
      <c r="A117" s="367" t="s">
        <v>1073</v>
      </c>
      <c r="B117" s="275" t="s">
        <v>1047</v>
      </c>
      <c r="C117" s="275" t="s">
        <v>1067</v>
      </c>
      <c r="D117" s="302" t="s">
        <v>813</v>
      </c>
      <c r="E117" s="284"/>
      <c r="F117" s="371">
        <f>F118</f>
        <v>80000</v>
      </c>
    </row>
    <row r="118" spans="1:6" s="308" customFormat="1" ht="92.25">
      <c r="A118" s="376" t="s">
        <v>1074</v>
      </c>
      <c r="B118" s="275" t="s">
        <v>1047</v>
      </c>
      <c r="C118" s="275" t="s">
        <v>1067</v>
      </c>
      <c r="D118" s="444" t="s">
        <v>815</v>
      </c>
      <c r="E118" s="448"/>
      <c r="F118" s="468">
        <f>F119</f>
        <v>80000</v>
      </c>
    </row>
    <row r="119" spans="1:6" ht="26.25">
      <c r="A119" s="373" t="s">
        <v>816</v>
      </c>
      <c r="B119" s="275" t="s">
        <v>1047</v>
      </c>
      <c r="C119" s="275" t="s">
        <v>1067</v>
      </c>
      <c r="D119" s="302" t="s">
        <v>817</v>
      </c>
      <c r="E119" s="284"/>
      <c r="F119" s="371">
        <f>F120</f>
        <v>80000</v>
      </c>
    </row>
    <row r="120" spans="1:6" ht="26.25">
      <c r="A120" s="343" t="s">
        <v>820</v>
      </c>
      <c r="B120" s="275" t="s">
        <v>1047</v>
      </c>
      <c r="C120" s="275" t="s">
        <v>1067</v>
      </c>
      <c r="D120" s="302" t="s">
        <v>821</v>
      </c>
      <c r="E120" s="284"/>
      <c r="F120" s="371">
        <f>F121</f>
        <v>80000</v>
      </c>
    </row>
    <row r="121" spans="1:6" ht="26.25">
      <c r="A121" s="343" t="s">
        <v>516</v>
      </c>
      <c r="B121" s="275" t="s">
        <v>1047</v>
      </c>
      <c r="C121" s="275" t="s">
        <v>1067</v>
      </c>
      <c r="D121" s="302" t="s">
        <v>821</v>
      </c>
      <c r="E121" s="303" t="s">
        <v>517</v>
      </c>
      <c r="F121" s="371">
        <f>80000</f>
        <v>80000</v>
      </c>
    </row>
    <row r="122" spans="1:6" ht="39">
      <c r="A122" s="494" t="s">
        <v>822</v>
      </c>
      <c r="B122" s="275" t="s">
        <v>1047</v>
      </c>
      <c r="C122" s="275" t="s">
        <v>1067</v>
      </c>
      <c r="D122" s="275" t="s">
        <v>823</v>
      </c>
      <c r="E122" s="284"/>
      <c r="F122" s="371">
        <f>F123</f>
        <v>0</v>
      </c>
    </row>
    <row r="123" spans="1:6" ht="66">
      <c r="A123" s="479" t="s">
        <v>843</v>
      </c>
      <c r="B123" s="275" t="s">
        <v>1047</v>
      </c>
      <c r="C123" s="275" t="s">
        <v>1067</v>
      </c>
      <c r="D123" s="275" t="s">
        <v>844</v>
      </c>
      <c r="E123" s="284"/>
      <c r="F123" s="371">
        <f>F124</f>
        <v>0</v>
      </c>
    </row>
    <row r="124" spans="1:6" ht="26.25">
      <c r="A124" s="495" t="s">
        <v>845</v>
      </c>
      <c r="B124" s="275" t="s">
        <v>1047</v>
      </c>
      <c r="C124" s="275" t="s">
        <v>1067</v>
      </c>
      <c r="D124" s="275" t="s">
        <v>846</v>
      </c>
      <c r="E124" s="284"/>
      <c r="F124" s="371">
        <f>F125</f>
        <v>0</v>
      </c>
    </row>
    <row r="125" spans="1:6" ht="26.25">
      <c r="A125" s="373" t="s">
        <v>847</v>
      </c>
      <c r="B125" s="275" t="s">
        <v>1047</v>
      </c>
      <c r="C125" s="275" t="s">
        <v>1067</v>
      </c>
      <c r="D125" s="275" t="s">
        <v>848</v>
      </c>
      <c r="E125" s="284"/>
      <c r="F125" s="371">
        <f>F126</f>
        <v>0</v>
      </c>
    </row>
    <row r="126" spans="1:6" ht="26.25">
      <c r="A126" s="343" t="s">
        <v>516</v>
      </c>
      <c r="B126" s="275" t="s">
        <v>1047</v>
      </c>
      <c r="C126" s="275" t="s">
        <v>1067</v>
      </c>
      <c r="D126" s="275" t="s">
        <v>848</v>
      </c>
      <c r="E126" s="284" t="s">
        <v>517</v>
      </c>
      <c r="F126" s="371"/>
    </row>
    <row r="127" spans="1:6" ht="39">
      <c r="A127" s="370" t="s">
        <v>852</v>
      </c>
      <c r="B127" s="275" t="s">
        <v>1047</v>
      </c>
      <c r="C127" s="275" t="s">
        <v>1067</v>
      </c>
      <c r="D127" s="302" t="s">
        <v>853</v>
      </c>
      <c r="E127" s="284"/>
      <c r="F127" s="371">
        <f>F128</f>
        <v>70000</v>
      </c>
    </row>
    <row r="128" spans="1:6" ht="66">
      <c r="A128" s="388" t="s">
        <v>854</v>
      </c>
      <c r="B128" s="275" t="s">
        <v>1047</v>
      </c>
      <c r="C128" s="275" t="s">
        <v>1067</v>
      </c>
      <c r="D128" s="302" t="s">
        <v>855</v>
      </c>
      <c r="E128" s="284"/>
      <c r="F128" s="371">
        <f>F129</f>
        <v>70000</v>
      </c>
    </row>
    <row r="129" spans="1:6" ht="26.25">
      <c r="A129" s="376" t="s">
        <v>856</v>
      </c>
      <c r="B129" s="275" t="s">
        <v>1047</v>
      </c>
      <c r="C129" s="275" t="s">
        <v>1067</v>
      </c>
      <c r="D129" s="298" t="s">
        <v>857</v>
      </c>
      <c r="E129" s="284"/>
      <c r="F129" s="371">
        <f>F130+F132</f>
        <v>70000</v>
      </c>
    </row>
    <row r="130" spans="1:6" ht="26.25">
      <c r="A130" s="343" t="s">
        <v>858</v>
      </c>
      <c r="B130" s="275" t="s">
        <v>1047</v>
      </c>
      <c r="C130" s="275" t="s">
        <v>1067</v>
      </c>
      <c r="D130" s="298" t="s">
        <v>859</v>
      </c>
      <c r="E130" s="284"/>
      <c r="F130" s="371">
        <f>F131</f>
        <v>30000</v>
      </c>
    </row>
    <row r="131" spans="1:6" ht="26.25">
      <c r="A131" s="343" t="s">
        <v>516</v>
      </c>
      <c r="B131" s="275" t="s">
        <v>1047</v>
      </c>
      <c r="C131" s="275" t="s">
        <v>1067</v>
      </c>
      <c r="D131" s="298" t="s">
        <v>859</v>
      </c>
      <c r="E131" s="284" t="s">
        <v>517</v>
      </c>
      <c r="F131" s="371">
        <v>30000</v>
      </c>
    </row>
    <row r="132" spans="1:6" ht="13.5">
      <c r="A132" s="343" t="s">
        <v>860</v>
      </c>
      <c r="B132" s="275" t="s">
        <v>1047</v>
      </c>
      <c r="C132" s="275" t="s">
        <v>1067</v>
      </c>
      <c r="D132" s="298" t="s">
        <v>861</v>
      </c>
      <c r="E132" s="284"/>
      <c r="F132" s="371">
        <f>F133</f>
        <v>40000</v>
      </c>
    </row>
    <row r="133" spans="1:6" ht="26.25">
      <c r="A133" s="343" t="s">
        <v>516</v>
      </c>
      <c r="B133" s="275" t="s">
        <v>1047</v>
      </c>
      <c r="C133" s="275" t="s">
        <v>1067</v>
      </c>
      <c r="D133" s="298" t="s">
        <v>861</v>
      </c>
      <c r="E133" s="284" t="s">
        <v>517</v>
      </c>
      <c r="F133" s="371">
        <f>40000</f>
        <v>40000</v>
      </c>
    </row>
    <row r="134" spans="1:6" ht="26.25">
      <c r="A134" s="389" t="s">
        <v>945</v>
      </c>
      <c r="B134" s="275" t="s">
        <v>1047</v>
      </c>
      <c r="C134" s="275" t="s">
        <v>1067</v>
      </c>
      <c r="D134" s="289" t="s">
        <v>946</v>
      </c>
      <c r="E134" s="284"/>
      <c r="F134" s="371">
        <f>F135+F139</f>
        <v>772500</v>
      </c>
    </row>
    <row r="135" spans="1:6" ht="39" hidden="1">
      <c r="A135" s="332" t="s">
        <v>947</v>
      </c>
      <c r="B135" s="275" t="s">
        <v>1047</v>
      </c>
      <c r="C135" s="275" t="s">
        <v>1067</v>
      </c>
      <c r="D135" s="289" t="s">
        <v>948</v>
      </c>
      <c r="E135" s="284"/>
      <c r="F135" s="371">
        <f>F136</f>
        <v>0</v>
      </c>
    </row>
    <row r="136" spans="1:6" ht="26.25" hidden="1">
      <c r="A136" s="332" t="s">
        <v>949</v>
      </c>
      <c r="B136" s="275" t="s">
        <v>1047</v>
      </c>
      <c r="C136" s="275" t="s">
        <v>1067</v>
      </c>
      <c r="D136" s="289" t="s">
        <v>950</v>
      </c>
      <c r="E136" s="284"/>
      <c r="F136" s="371">
        <f>F137</f>
        <v>0</v>
      </c>
    </row>
    <row r="137" spans="1:6" ht="26.25" hidden="1">
      <c r="A137" s="343" t="s">
        <v>951</v>
      </c>
      <c r="B137" s="275" t="s">
        <v>1047</v>
      </c>
      <c r="C137" s="275" t="s">
        <v>1067</v>
      </c>
      <c r="D137" s="289" t="s">
        <v>952</v>
      </c>
      <c r="E137" s="284"/>
      <c r="F137" s="371">
        <f>F138</f>
        <v>0</v>
      </c>
    </row>
    <row r="138" spans="1:6" ht="26.25" hidden="1">
      <c r="A138" s="343" t="s">
        <v>516</v>
      </c>
      <c r="B138" s="275" t="s">
        <v>1047</v>
      </c>
      <c r="C138" s="275" t="s">
        <v>1067</v>
      </c>
      <c r="D138" s="289" t="s">
        <v>952</v>
      </c>
      <c r="E138" s="284" t="s">
        <v>517</v>
      </c>
      <c r="F138" s="371">
        <f>15000-15000</f>
        <v>0</v>
      </c>
    </row>
    <row r="139" spans="1:6" ht="52.5">
      <c r="A139" s="332" t="s">
        <v>953</v>
      </c>
      <c r="B139" s="275" t="s">
        <v>1047</v>
      </c>
      <c r="C139" s="275" t="s">
        <v>1067</v>
      </c>
      <c r="D139" s="289" t="s">
        <v>954</v>
      </c>
      <c r="E139" s="284"/>
      <c r="F139" s="371">
        <f>F140</f>
        <v>772500</v>
      </c>
    </row>
    <row r="140" spans="1:6" ht="13.5">
      <c r="A140" s="332" t="s">
        <v>955</v>
      </c>
      <c r="B140" s="275" t="s">
        <v>1047</v>
      </c>
      <c r="C140" s="275" t="s">
        <v>1067</v>
      </c>
      <c r="D140" s="289" t="s">
        <v>956</v>
      </c>
      <c r="E140" s="284"/>
      <c r="F140" s="371">
        <f>F141</f>
        <v>772500</v>
      </c>
    </row>
    <row r="141" spans="1:6" ht="13.5">
      <c r="A141" s="332" t="s">
        <v>609</v>
      </c>
      <c r="B141" s="275" t="s">
        <v>1047</v>
      </c>
      <c r="C141" s="275" t="s">
        <v>1067</v>
      </c>
      <c r="D141" s="289" t="s">
        <v>957</v>
      </c>
      <c r="E141" s="284"/>
      <c r="F141" s="371">
        <f>F142</f>
        <v>772500</v>
      </c>
    </row>
    <row r="142" spans="1:6" ht="26.25">
      <c r="A142" s="343" t="s">
        <v>516</v>
      </c>
      <c r="B142" s="275" t="s">
        <v>1047</v>
      </c>
      <c r="C142" s="275" t="s">
        <v>1067</v>
      </c>
      <c r="D142" s="289" t="s">
        <v>957</v>
      </c>
      <c r="E142" s="284" t="s">
        <v>517</v>
      </c>
      <c r="F142" s="371">
        <f>253500+15000+504000</f>
        <v>772500</v>
      </c>
    </row>
    <row r="143" spans="1:6" ht="39">
      <c r="A143" s="343" t="s">
        <v>1075</v>
      </c>
      <c r="B143" s="275" t="s">
        <v>1047</v>
      </c>
      <c r="C143" s="275" t="s">
        <v>1067</v>
      </c>
      <c r="D143" s="289" t="s">
        <v>959</v>
      </c>
      <c r="E143" s="324"/>
      <c r="F143" s="371">
        <f>F144</f>
        <v>2746541</v>
      </c>
    </row>
    <row r="144" spans="1:6" s="308" customFormat="1" ht="52.5">
      <c r="A144" s="343" t="s">
        <v>960</v>
      </c>
      <c r="B144" s="443" t="s">
        <v>1047</v>
      </c>
      <c r="C144" s="443" t="s">
        <v>1067</v>
      </c>
      <c r="D144" s="453" t="s">
        <v>961</v>
      </c>
      <c r="E144" s="454"/>
      <c r="F144" s="468">
        <f>F146</f>
        <v>2746541</v>
      </c>
    </row>
    <row r="145" spans="1:6" ht="52.5">
      <c r="A145" s="392" t="s">
        <v>962</v>
      </c>
      <c r="B145" s="275" t="s">
        <v>1047</v>
      </c>
      <c r="C145" s="275" t="s">
        <v>1067</v>
      </c>
      <c r="D145" s="289" t="s">
        <v>963</v>
      </c>
      <c r="E145" s="324"/>
      <c r="F145" s="371">
        <f>F146</f>
        <v>2746541</v>
      </c>
    </row>
    <row r="146" spans="1:6" ht="26.25">
      <c r="A146" s="372" t="s">
        <v>964</v>
      </c>
      <c r="B146" s="275" t="s">
        <v>1047</v>
      </c>
      <c r="C146" s="275" t="s">
        <v>1067</v>
      </c>
      <c r="D146" s="289" t="s">
        <v>965</v>
      </c>
      <c r="E146" s="324"/>
      <c r="F146" s="371">
        <f>F147+F148</f>
        <v>2746541</v>
      </c>
    </row>
    <row r="147" spans="1:6" ht="39">
      <c r="A147" s="343" t="s">
        <v>522</v>
      </c>
      <c r="B147" s="275" t="s">
        <v>1047</v>
      </c>
      <c r="C147" s="275" t="s">
        <v>1067</v>
      </c>
      <c r="D147" s="289" t="s">
        <v>965</v>
      </c>
      <c r="E147" s="324" t="s">
        <v>523</v>
      </c>
      <c r="F147" s="371">
        <f>765394+171128.44</f>
        <v>936522.44</v>
      </c>
    </row>
    <row r="148" spans="1:6" ht="26.25">
      <c r="A148" s="343" t="s">
        <v>516</v>
      </c>
      <c r="B148" s="275" t="s">
        <v>1047</v>
      </c>
      <c r="C148" s="275" t="s">
        <v>1067</v>
      </c>
      <c r="D148" s="289" t="s">
        <v>965</v>
      </c>
      <c r="E148" s="324" t="s">
        <v>517</v>
      </c>
      <c r="F148" s="371">
        <f>1981147-171128.44</f>
        <v>1810018.56</v>
      </c>
    </row>
    <row r="149" spans="1:6" ht="13.5">
      <c r="A149" s="343" t="s">
        <v>972</v>
      </c>
      <c r="B149" s="275" t="s">
        <v>1047</v>
      </c>
      <c r="C149" s="275" t="s">
        <v>1067</v>
      </c>
      <c r="D149" s="275" t="s">
        <v>973</v>
      </c>
      <c r="E149" s="324"/>
      <c r="F149" s="371">
        <f>F150</f>
        <v>290000</v>
      </c>
    </row>
    <row r="150" spans="1:6" ht="13.5">
      <c r="A150" s="372" t="s">
        <v>974</v>
      </c>
      <c r="B150" s="275" t="s">
        <v>1047</v>
      </c>
      <c r="C150" s="275" t="s">
        <v>1067</v>
      </c>
      <c r="D150" s="275" t="s">
        <v>975</v>
      </c>
      <c r="E150" s="324"/>
      <c r="F150" s="371">
        <f>F151</f>
        <v>290000</v>
      </c>
    </row>
    <row r="151" spans="1:6" ht="26.25">
      <c r="A151" s="382" t="s">
        <v>1183</v>
      </c>
      <c r="B151" s="275" t="s">
        <v>1047</v>
      </c>
      <c r="C151" s="275" t="s">
        <v>1067</v>
      </c>
      <c r="D151" s="275" t="s">
        <v>1184</v>
      </c>
      <c r="E151" s="324"/>
      <c r="F151" s="371">
        <f>F152+F153</f>
        <v>290000</v>
      </c>
    </row>
    <row r="152" spans="1:6" ht="39">
      <c r="A152" s="343" t="s">
        <v>522</v>
      </c>
      <c r="B152" s="275" t="s">
        <v>1047</v>
      </c>
      <c r="C152" s="275" t="s">
        <v>1067</v>
      </c>
      <c r="D152" s="275" t="s">
        <v>1184</v>
      </c>
      <c r="E152" s="324" t="s">
        <v>523</v>
      </c>
      <c r="F152" s="371">
        <f>168970+51030</f>
        <v>220000</v>
      </c>
    </row>
    <row r="153" spans="1:6" ht="26.25">
      <c r="A153" s="343" t="s">
        <v>516</v>
      </c>
      <c r="B153" s="275" t="s">
        <v>1047</v>
      </c>
      <c r="C153" s="275" t="s">
        <v>1067</v>
      </c>
      <c r="D153" s="275" t="s">
        <v>1184</v>
      </c>
      <c r="E153" s="324" t="s">
        <v>517</v>
      </c>
      <c r="F153" s="371">
        <f>40000+30000</f>
        <v>70000</v>
      </c>
    </row>
    <row r="154" spans="1:6" ht="26.25">
      <c r="A154" s="343" t="s">
        <v>990</v>
      </c>
      <c r="B154" s="275" t="s">
        <v>1047</v>
      </c>
      <c r="C154" s="275" t="s">
        <v>1067</v>
      </c>
      <c r="D154" s="302" t="s">
        <v>991</v>
      </c>
      <c r="E154" s="324"/>
      <c r="F154" s="371">
        <f>F155</f>
        <v>38382960.2</v>
      </c>
    </row>
    <row r="155" spans="1:6" ht="13.5">
      <c r="A155" s="343" t="s">
        <v>992</v>
      </c>
      <c r="B155" s="275" t="s">
        <v>1047</v>
      </c>
      <c r="C155" s="275" t="s">
        <v>1067</v>
      </c>
      <c r="D155" s="302" t="s">
        <v>993</v>
      </c>
      <c r="E155" s="324"/>
      <c r="F155" s="371">
        <f>F156</f>
        <v>38382960.2</v>
      </c>
    </row>
    <row r="156" spans="1:8" ht="15">
      <c r="A156" s="370" t="s">
        <v>609</v>
      </c>
      <c r="B156" s="275" t="s">
        <v>1047</v>
      </c>
      <c r="C156" s="275" t="s">
        <v>1067</v>
      </c>
      <c r="D156" s="302" t="s">
        <v>994</v>
      </c>
      <c r="E156" s="324"/>
      <c r="F156" s="371">
        <f>F157+F159+F158</f>
        <v>38382960.2</v>
      </c>
      <c r="H156" s="253"/>
    </row>
    <row r="157" spans="1:6" ht="26.25">
      <c r="A157" s="343" t="s">
        <v>516</v>
      </c>
      <c r="B157" s="275" t="s">
        <v>1047</v>
      </c>
      <c r="C157" s="275" t="s">
        <v>1067</v>
      </c>
      <c r="D157" s="302" t="s">
        <v>994</v>
      </c>
      <c r="E157" s="324" t="s">
        <v>517</v>
      </c>
      <c r="F157" s="371">
        <f>10000+0.24+50000</f>
        <v>60000.24</v>
      </c>
    </row>
    <row r="158" spans="1:6" ht="13.5">
      <c r="A158" s="343" t="s">
        <v>713</v>
      </c>
      <c r="B158" s="275" t="s">
        <v>1047</v>
      </c>
      <c r="C158" s="275" t="s">
        <v>1067</v>
      </c>
      <c r="D158" s="302" t="s">
        <v>994</v>
      </c>
      <c r="E158" s="324" t="s">
        <v>714</v>
      </c>
      <c r="F158" s="371">
        <f>220000</f>
        <v>220000</v>
      </c>
    </row>
    <row r="159" spans="1:6" ht="13.5">
      <c r="A159" s="373" t="s">
        <v>524</v>
      </c>
      <c r="B159" s="275" t="s">
        <v>1047</v>
      </c>
      <c r="C159" s="275" t="s">
        <v>1067</v>
      </c>
      <c r="D159" s="302" t="s">
        <v>994</v>
      </c>
      <c r="E159" s="324" t="s">
        <v>525</v>
      </c>
      <c r="F159" s="371">
        <f>167900+67000+3521200-105748.68-68550-50947-2963820-177600+30000+2277273-1369183.36+302308-93214+36566342</f>
        <v>38102959.96</v>
      </c>
    </row>
    <row r="160" spans="1:6" ht="13.5">
      <c r="A160" s="370" t="s">
        <v>995</v>
      </c>
      <c r="B160" s="319" t="s">
        <v>1047</v>
      </c>
      <c r="C160" s="275" t="s">
        <v>1067</v>
      </c>
      <c r="D160" s="298" t="s">
        <v>996</v>
      </c>
      <c r="E160" s="303"/>
      <c r="F160" s="371">
        <f>F161</f>
        <v>23246589</v>
      </c>
    </row>
    <row r="161" spans="1:6" ht="13.5">
      <c r="A161" s="370" t="s">
        <v>1001</v>
      </c>
      <c r="B161" s="275" t="s">
        <v>1047</v>
      </c>
      <c r="C161" s="275" t="s">
        <v>1067</v>
      </c>
      <c r="D161" s="275" t="s">
        <v>1002</v>
      </c>
      <c r="E161" s="284"/>
      <c r="F161" s="371">
        <f>F162+F166+F168</f>
        <v>23246589</v>
      </c>
    </row>
    <row r="162" spans="1:6" ht="26.25">
      <c r="A162" s="373" t="s">
        <v>520</v>
      </c>
      <c r="B162" s="275" t="s">
        <v>1047</v>
      </c>
      <c r="C162" s="275" t="s">
        <v>1067</v>
      </c>
      <c r="D162" s="275" t="s">
        <v>1013</v>
      </c>
      <c r="E162" s="284"/>
      <c r="F162" s="371">
        <f>F163+F164+F165</f>
        <v>22971269</v>
      </c>
    </row>
    <row r="163" spans="1:6" ht="39">
      <c r="A163" s="343" t="s">
        <v>522</v>
      </c>
      <c r="B163" s="275" t="s">
        <v>1047</v>
      </c>
      <c r="C163" s="275" t="s">
        <v>1067</v>
      </c>
      <c r="D163" s="275" t="s">
        <v>1013</v>
      </c>
      <c r="E163" s="303" t="s">
        <v>523</v>
      </c>
      <c r="F163" s="282">
        <f>5520500+317090+83869+61258</f>
        <v>5982717</v>
      </c>
    </row>
    <row r="164" spans="1:6" ht="26.25">
      <c r="A164" s="343" t="s">
        <v>516</v>
      </c>
      <c r="B164" s="275" t="s">
        <v>1047</v>
      </c>
      <c r="C164" s="275" t="s">
        <v>1067</v>
      </c>
      <c r="D164" s="275" t="s">
        <v>1013</v>
      </c>
      <c r="E164" s="303" t="s">
        <v>517</v>
      </c>
      <c r="F164" s="371">
        <f>2631850+3275000+5851500+40000+102950+1487928+3551072</f>
        <v>16940300</v>
      </c>
    </row>
    <row r="165" spans="1:6" ht="13.5">
      <c r="A165" s="373" t="s">
        <v>524</v>
      </c>
      <c r="B165" s="275" t="s">
        <v>1047</v>
      </c>
      <c r="C165" s="275" t="s">
        <v>1067</v>
      </c>
      <c r="D165" s="275" t="s">
        <v>1013</v>
      </c>
      <c r="E165" s="303" t="s">
        <v>525</v>
      </c>
      <c r="F165" s="371">
        <f>18140+8000+12787+9325</f>
        <v>48252</v>
      </c>
    </row>
    <row r="166" spans="1:6" ht="13.5">
      <c r="A166" s="479" t="s">
        <v>1014</v>
      </c>
      <c r="B166" s="275" t="s">
        <v>1047</v>
      </c>
      <c r="C166" s="275" t="s">
        <v>1067</v>
      </c>
      <c r="D166" s="275" t="s">
        <v>1015</v>
      </c>
      <c r="E166" s="303"/>
      <c r="F166" s="371">
        <f>F167</f>
        <v>100000</v>
      </c>
    </row>
    <row r="167" spans="1:6" ht="26.25">
      <c r="A167" s="343" t="s">
        <v>516</v>
      </c>
      <c r="B167" s="275" t="s">
        <v>1047</v>
      </c>
      <c r="C167" s="275" t="s">
        <v>1067</v>
      </c>
      <c r="D167" s="275" t="s">
        <v>1015</v>
      </c>
      <c r="E167" s="303" t="s">
        <v>517</v>
      </c>
      <c r="F167" s="371">
        <v>100000</v>
      </c>
    </row>
    <row r="168" spans="1:6" ht="26.25">
      <c r="A168" s="343" t="s">
        <v>1011</v>
      </c>
      <c r="B168" s="275" t="s">
        <v>1047</v>
      </c>
      <c r="C168" s="275" t="s">
        <v>1067</v>
      </c>
      <c r="D168" s="275" t="s">
        <v>1012</v>
      </c>
      <c r="E168" s="303"/>
      <c r="F168" s="371">
        <f>F169</f>
        <v>175320</v>
      </c>
    </row>
    <row r="169" spans="1:6" ht="17.25" customHeight="1">
      <c r="A169" s="343" t="s">
        <v>713</v>
      </c>
      <c r="B169" s="275" t="s">
        <v>1047</v>
      </c>
      <c r="C169" s="275" t="s">
        <v>1067</v>
      </c>
      <c r="D169" s="275" t="s">
        <v>1012</v>
      </c>
      <c r="E169" s="303" t="s">
        <v>714</v>
      </c>
      <c r="F169" s="371">
        <f>175320</f>
        <v>175320</v>
      </c>
    </row>
    <row r="170" spans="1:6" ht="13.5">
      <c r="A170" s="370" t="s">
        <v>1034</v>
      </c>
      <c r="B170" s="319" t="s">
        <v>1047</v>
      </c>
      <c r="C170" s="275" t="s">
        <v>1067</v>
      </c>
      <c r="D170" s="298" t="s">
        <v>1035</v>
      </c>
      <c r="E170" s="303"/>
      <c r="F170" s="371">
        <f>F171</f>
        <v>60000</v>
      </c>
    </row>
    <row r="171" spans="1:6" ht="13.5">
      <c r="A171" s="343" t="s">
        <v>1024</v>
      </c>
      <c r="B171" s="319" t="s">
        <v>1047</v>
      </c>
      <c r="C171" s="275" t="s">
        <v>1067</v>
      </c>
      <c r="D171" s="298" t="s">
        <v>1036</v>
      </c>
      <c r="E171" s="303"/>
      <c r="F171" s="371">
        <f>F172</f>
        <v>60000</v>
      </c>
    </row>
    <row r="172" spans="1:6" ht="13.5">
      <c r="A172" s="343" t="s">
        <v>1037</v>
      </c>
      <c r="B172" s="319" t="s">
        <v>1047</v>
      </c>
      <c r="C172" s="275" t="s">
        <v>1067</v>
      </c>
      <c r="D172" s="298" t="s">
        <v>1038</v>
      </c>
      <c r="E172" s="303"/>
      <c r="F172" s="371">
        <f>F173</f>
        <v>60000</v>
      </c>
    </row>
    <row r="173" spans="1:6" ht="13.5">
      <c r="A173" s="393" t="s">
        <v>550</v>
      </c>
      <c r="B173" s="319" t="s">
        <v>1047</v>
      </c>
      <c r="C173" s="275" t="s">
        <v>1067</v>
      </c>
      <c r="D173" s="298" t="s">
        <v>1038</v>
      </c>
      <c r="E173" s="303" t="s">
        <v>551</v>
      </c>
      <c r="F173" s="371">
        <f>30000+30000</f>
        <v>60000</v>
      </c>
    </row>
    <row r="174" spans="1:6" ht="13.5">
      <c r="A174" s="370" t="s">
        <v>1076</v>
      </c>
      <c r="B174" s="275" t="s">
        <v>1051</v>
      </c>
      <c r="C174" s="275" t="s">
        <v>1077</v>
      </c>
      <c r="D174" s="298"/>
      <c r="E174" s="303"/>
      <c r="F174" s="371">
        <f>F175</f>
        <v>51000</v>
      </c>
    </row>
    <row r="175" spans="1:6" ht="26.25">
      <c r="A175" s="373" t="s">
        <v>1078</v>
      </c>
      <c r="B175" s="275" t="s">
        <v>1051</v>
      </c>
      <c r="C175" s="275" t="s">
        <v>1079</v>
      </c>
      <c r="D175" s="298"/>
      <c r="E175" s="303"/>
      <c r="F175" s="371">
        <f>F176</f>
        <v>51000</v>
      </c>
    </row>
    <row r="176" spans="1:6" ht="63.75" customHeight="1">
      <c r="A176" s="376" t="s">
        <v>870</v>
      </c>
      <c r="B176" s="275" t="s">
        <v>1051</v>
      </c>
      <c r="C176" s="275" t="s">
        <v>1079</v>
      </c>
      <c r="D176" s="453" t="s">
        <v>871</v>
      </c>
      <c r="E176" s="303"/>
      <c r="F176" s="371">
        <f>F177</f>
        <v>51000</v>
      </c>
    </row>
    <row r="177" spans="1:6" s="308" customFormat="1" ht="92.25">
      <c r="A177" s="332" t="s">
        <v>872</v>
      </c>
      <c r="B177" s="443" t="s">
        <v>1051</v>
      </c>
      <c r="C177" s="443" t="s">
        <v>1079</v>
      </c>
      <c r="D177" s="453" t="s">
        <v>873</v>
      </c>
      <c r="E177" s="445"/>
      <c r="F177" s="468">
        <f>F178+F181+F184+F187</f>
        <v>51000</v>
      </c>
    </row>
    <row r="178" spans="1:6" ht="26.25" hidden="1">
      <c r="A178" s="332" t="s">
        <v>874</v>
      </c>
      <c r="B178" s="275" t="s">
        <v>1051</v>
      </c>
      <c r="C178" s="275" t="s">
        <v>1079</v>
      </c>
      <c r="D178" s="289" t="s">
        <v>875</v>
      </c>
      <c r="E178" s="303"/>
      <c r="F178" s="371">
        <f>F179</f>
        <v>0</v>
      </c>
    </row>
    <row r="179" spans="1:6" ht="39" hidden="1">
      <c r="A179" s="343" t="s">
        <v>876</v>
      </c>
      <c r="B179" s="275" t="s">
        <v>1051</v>
      </c>
      <c r="C179" s="275" t="s">
        <v>1079</v>
      </c>
      <c r="D179" s="289" t="s">
        <v>877</v>
      </c>
      <c r="E179" s="303"/>
      <c r="F179" s="371">
        <f>F180</f>
        <v>0</v>
      </c>
    </row>
    <row r="180" spans="1:6" ht="26.25" hidden="1">
      <c r="A180" s="343" t="s">
        <v>516</v>
      </c>
      <c r="B180" s="275" t="s">
        <v>1051</v>
      </c>
      <c r="C180" s="275" t="s">
        <v>1079</v>
      </c>
      <c r="D180" s="289" t="s">
        <v>877</v>
      </c>
      <c r="E180" s="303" t="s">
        <v>517</v>
      </c>
      <c r="F180" s="371"/>
    </row>
    <row r="181" spans="1:6" ht="52.5">
      <c r="A181" s="332" t="s">
        <v>878</v>
      </c>
      <c r="B181" s="275" t="s">
        <v>1051</v>
      </c>
      <c r="C181" s="275" t="s">
        <v>1079</v>
      </c>
      <c r="D181" s="289" t="s">
        <v>879</v>
      </c>
      <c r="E181" s="303"/>
      <c r="F181" s="371">
        <f>F182</f>
        <v>51000</v>
      </c>
    </row>
    <row r="182" spans="1:6" ht="39">
      <c r="A182" s="343" t="s">
        <v>876</v>
      </c>
      <c r="B182" s="275" t="s">
        <v>1051</v>
      </c>
      <c r="C182" s="275" t="s">
        <v>1079</v>
      </c>
      <c r="D182" s="289" t="s">
        <v>880</v>
      </c>
      <c r="E182" s="303"/>
      <c r="F182" s="371">
        <f>F183</f>
        <v>51000</v>
      </c>
    </row>
    <row r="183" spans="1:6" ht="26.25">
      <c r="A183" s="343" t="s">
        <v>516</v>
      </c>
      <c r="B183" s="275" t="s">
        <v>1051</v>
      </c>
      <c r="C183" s="275" t="s">
        <v>1079</v>
      </c>
      <c r="D183" s="289" t="s">
        <v>880</v>
      </c>
      <c r="E183" s="303" t="s">
        <v>517</v>
      </c>
      <c r="F183" s="371">
        <v>51000</v>
      </c>
    </row>
    <row r="184" spans="1:6" ht="39" hidden="1">
      <c r="A184" s="332" t="s">
        <v>881</v>
      </c>
      <c r="B184" s="275" t="s">
        <v>1051</v>
      </c>
      <c r="C184" s="275" t="s">
        <v>1079</v>
      </c>
      <c r="D184" s="289" t="s">
        <v>882</v>
      </c>
      <c r="E184" s="303"/>
      <c r="F184" s="371">
        <f>F185</f>
        <v>0</v>
      </c>
    </row>
    <row r="185" spans="1:6" ht="39" hidden="1">
      <c r="A185" s="343" t="s">
        <v>876</v>
      </c>
      <c r="B185" s="275" t="s">
        <v>1051</v>
      </c>
      <c r="C185" s="275" t="s">
        <v>1079</v>
      </c>
      <c r="D185" s="289" t="s">
        <v>883</v>
      </c>
      <c r="E185" s="303"/>
      <c r="F185" s="371">
        <f>F186</f>
        <v>0</v>
      </c>
    </row>
    <row r="186" spans="1:6" ht="26.25" hidden="1">
      <c r="A186" s="343" t="s">
        <v>516</v>
      </c>
      <c r="B186" s="275" t="s">
        <v>1051</v>
      </c>
      <c r="C186" s="275" t="s">
        <v>1079</v>
      </c>
      <c r="D186" s="289" t="s">
        <v>883</v>
      </c>
      <c r="E186" s="303" t="s">
        <v>517</v>
      </c>
      <c r="F186" s="371"/>
    </row>
    <row r="187" spans="1:6" ht="26.25" hidden="1">
      <c r="A187" s="332" t="s">
        <v>884</v>
      </c>
      <c r="B187" s="275" t="s">
        <v>1051</v>
      </c>
      <c r="C187" s="275" t="s">
        <v>1079</v>
      </c>
      <c r="D187" s="289" t="s">
        <v>885</v>
      </c>
      <c r="E187" s="303"/>
      <c r="F187" s="371">
        <f>F188</f>
        <v>0</v>
      </c>
    </row>
    <row r="188" spans="1:6" ht="39" hidden="1">
      <c r="A188" s="343" t="s">
        <v>876</v>
      </c>
      <c r="B188" s="275" t="s">
        <v>1051</v>
      </c>
      <c r="C188" s="275" t="s">
        <v>1079</v>
      </c>
      <c r="D188" s="289" t="s">
        <v>886</v>
      </c>
      <c r="E188" s="303"/>
      <c r="F188" s="371">
        <f>F189</f>
        <v>0</v>
      </c>
    </row>
    <row r="189" spans="1:6" ht="26.25" hidden="1">
      <c r="A189" s="343" t="s">
        <v>516</v>
      </c>
      <c r="B189" s="275" t="s">
        <v>1051</v>
      </c>
      <c r="C189" s="275" t="s">
        <v>1079</v>
      </c>
      <c r="D189" s="289" t="s">
        <v>886</v>
      </c>
      <c r="E189" s="303" t="s">
        <v>517</v>
      </c>
      <c r="F189" s="371"/>
    </row>
    <row r="190" spans="1:6" ht="13.5">
      <c r="A190" s="370" t="s">
        <v>1080</v>
      </c>
      <c r="B190" s="275" t="s">
        <v>1054</v>
      </c>
      <c r="C190" s="275"/>
      <c r="D190" s="275"/>
      <c r="E190" s="284"/>
      <c r="F190" s="371">
        <f>F191+F198+F224</f>
        <v>34089851.55</v>
      </c>
    </row>
    <row r="191" spans="1:6" ht="13.5">
      <c r="A191" s="370" t="s">
        <v>1081</v>
      </c>
      <c r="B191" s="275" t="s">
        <v>1054</v>
      </c>
      <c r="C191" s="275" t="s">
        <v>1082</v>
      </c>
      <c r="D191" s="275"/>
      <c r="E191" s="284"/>
      <c r="F191" s="371">
        <f>F192</f>
        <v>1975000</v>
      </c>
    </row>
    <row r="192" spans="1:6" ht="39">
      <c r="A192" s="496" t="s">
        <v>822</v>
      </c>
      <c r="B192" s="275" t="s">
        <v>1054</v>
      </c>
      <c r="C192" s="275" t="s">
        <v>1082</v>
      </c>
      <c r="D192" s="289" t="s">
        <v>823</v>
      </c>
      <c r="E192" s="284"/>
      <c r="F192" s="371">
        <f>F193</f>
        <v>1975000</v>
      </c>
    </row>
    <row r="193" spans="1:6" s="308" customFormat="1" ht="66">
      <c r="A193" s="497" t="s">
        <v>837</v>
      </c>
      <c r="B193" s="443" t="s">
        <v>1054</v>
      </c>
      <c r="C193" s="443" t="s">
        <v>1082</v>
      </c>
      <c r="D193" s="453" t="s">
        <v>838</v>
      </c>
      <c r="E193" s="448"/>
      <c r="F193" s="468">
        <f>F194</f>
        <v>1975000</v>
      </c>
    </row>
    <row r="194" spans="1:6" ht="26.25">
      <c r="A194" s="373" t="s">
        <v>839</v>
      </c>
      <c r="B194" s="275" t="s">
        <v>1054</v>
      </c>
      <c r="C194" s="275" t="s">
        <v>1082</v>
      </c>
      <c r="D194" s="289" t="s">
        <v>840</v>
      </c>
      <c r="E194" s="284"/>
      <c r="F194" s="371">
        <f>F195</f>
        <v>1975000</v>
      </c>
    </row>
    <row r="195" spans="1:6" ht="13.5">
      <c r="A195" s="370" t="s">
        <v>841</v>
      </c>
      <c r="B195" s="275" t="s">
        <v>1054</v>
      </c>
      <c r="C195" s="275" t="s">
        <v>1082</v>
      </c>
      <c r="D195" s="289" t="s">
        <v>842</v>
      </c>
      <c r="E195" s="284"/>
      <c r="F195" s="371">
        <f>F197+F196</f>
        <v>1975000</v>
      </c>
    </row>
    <row r="196" spans="1:6" ht="26.25">
      <c r="A196" s="343" t="s">
        <v>516</v>
      </c>
      <c r="B196" s="275" t="s">
        <v>1054</v>
      </c>
      <c r="C196" s="275" t="s">
        <v>1082</v>
      </c>
      <c r="D196" s="289" t="s">
        <v>842</v>
      </c>
      <c r="E196" s="284" t="s">
        <v>517</v>
      </c>
      <c r="F196" s="371">
        <v>10000</v>
      </c>
    </row>
    <row r="197" spans="1:6" ht="13.5">
      <c r="A197" s="343" t="s">
        <v>524</v>
      </c>
      <c r="B197" s="275" t="s">
        <v>1054</v>
      </c>
      <c r="C197" s="275" t="s">
        <v>1082</v>
      </c>
      <c r="D197" s="289" t="s">
        <v>842</v>
      </c>
      <c r="E197" s="284" t="s">
        <v>525</v>
      </c>
      <c r="F197" s="371">
        <f>500000+565000+600000+300000</f>
        <v>1965000</v>
      </c>
    </row>
    <row r="198" spans="1:6" ht="13.5">
      <c r="A198" s="370" t="s">
        <v>1083</v>
      </c>
      <c r="B198" s="275" t="s">
        <v>1054</v>
      </c>
      <c r="C198" s="275" t="s">
        <v>1079</v>
      </c>
      <c r="D198" s="275"/>
      <c r="E198" s="284"/>
      <c r="F198" s="371">
        <f>F199+F219</f>
        <v>29657424.55</v>
      </c>
    </row>
    <row r="199" spans="1:6" ht="39">
      <c r="A199" s="394" t="s">
        <v>822</v>
      </c>
      <c r="B199" s="275" t="s">
        <v>1054</v>
      </c>
      <c r="C199" s="275" t="s">
        <v>1079</v>
      </c>
      <c r="D199" s="289" t="s">
        <v>823</v>
      </c>
      <c r="E199" s="284"/>
      <c r="F199" s="371">
        <f>F200+F215</f>
        <v>15915099.55</v>
      </c>
    </row>
    <row r="200" spans="1:6" s="308" customFormat="1" ht="66">
      <c r="A200" s="386" t="s">
        <v>824</v>
      </c>
      <c r="B200" s="443" t="s">
        <v>1054</v>
      </c>
      <c r="C200" s="443" t="s">
        <v>1079</v>
      </c>
      <c r="D200" s="453" t="s">
        <v>825</v>
      </c>
      <c r="E200" s="448"/>
      <c r="F200" s="468">
        <f>F201+F204</f>
        <v>15737299.55</v>
      </c>
    </row>
    <row r="201" spans="1:6" ht="26.25">
      <c r="A201" s="373" t="s">
        <v>826</v>
      </c>
      <c r="B201" s="275" t="s">
        <v>1054</v>
      </c>
      <c r="C201" s="275" t="s">
        <v>1079</v>
      </c>
      <c r="D201" s="289" t="s">
        <v>827</v>
      </c>
      <c r="E201" s="284"/>
      <c r="F201" s="371">
        <f>F202</f>
        <v>2107961.18</v>
      </c>
    </row>
    <row r="202" spans="1:6" ht="26.25">
      <c r="A202" s="343" t="s">
        <v>828</v>
      </c>
      <c r="B202" s="275" t="s">
        <v>1054</v>
      </c>
      <c r="C202" s="275" t="s">
        <v>1079</v>
      </c>
      <c r="D202" s="289" t="s">
        <v>829</v>
      </c>
      <c r="E202" s="284"/>
      <c r="F202" s="371">
        <f>F203</f>
        <v>2107961.18</v>
      </c>
    </row>
    <row r="203" spans="1:6" ht="13.5">
      <c r="A203" s="343" t="s">
        <v>554</v>
      </c>
      <c r="B203" s="275" t="s">
        <v>1054</v>
      </c>
      <c r="C203" s="275" t="s">
        <v>1079</v>
      </c>
      <c r="D203" s="289" t="s">
        <v>829</v>
      </c>
      <c r="E203" s="284" t="s">
        <v>517</v>
      </c>
      <c r="F203" s="371">
        <f>1463489.55+644471.63</f>
        <v>2107961.18</v>
      </c>
    </row>
    <row r="204" spans="1:9" ht="26.25">
      <c r="A204" s="373" t="s">
        <v>832</v>
      </c>
      <c r="B204" s="275" t="s">
        <v>1054</v>
      </c>
      <c r="C204" s="275" t="s">
        <v>1079</v>
      </c>
      <c r="D204" s="289" t="s">
        <v>833</v>
      </c>
      <c r="E204" s="284"/>
      <c r="F204" s="371">
        <f>F205+F213+F211+F207+F209</f>
        <v>13629338.370000001</v>
      </c>
      <c r="I204" s="306"/>
    </row>
    <row r="205" spans="1:9" ht="13.5">
      <c r="A205" s="343" t="s">
        <v>834</v>
      </c>
      <c r="B205" s="275" t="s">
        <v>1054</v>
      </c>
      <c r="C205" s="275" t="s">
        <v>1079</v>
      </c>
      <c r="D205" s="289" t="s">
        <v>835</v>
      </c>
      <c r="E205" s="284"/>
      <c r="F205" s="371">
        <f>F206</f>
        <v>1800000</v>
      </c>
      <c r="I205" s="306"/>
    </row>
    <row r="206" spans="1:9" ht="26.25">
      <c r="A206" s="396" t="s">
        <v>751</v>
      </c>
      <c r="B206" s="275" t="s">
        <v>1054</v>
      </c>
      <c r="C206" s="275" t="s">
        <v>1079</v>
      </c>
      <c r="D206" s="289" t="s">
        <v>835</v>
      </c>
      <c r="E206" s="284" t="s">
        <v>752</v>
      </c>
      <c r="F206" s="371">
        <f>1800000</f>
        <v>1800000</v>
      </c>
      <c r="I206" s="306"/>
    </row>
    <row r="207" spans="1:9" ht="13.5">
      <c r="A207" s="343" t="s">
        <v>830</v>
      </c>
      <c r="B207" s="275" t="s">
        <v>1054</v>
      </c>
      <c r="C207" s="275" t="s">
        <v>1079</v>
      </c>
      <c r="D207" s="289" t="s">
        <v>836</v>
      </c>
      <c r="E207" s="284"/>
      <c r="F207" s="371">
        <f>F208</f>
        <v>1563000</v>
      </c>
      <c r="I207" s="306"/>
    </row>
    <row r="208" spans="1:9" ht="26.25">
      <c r="A208" s="396" t="s">
        <v>751</v>
      </c>
      <c r="B208" s="275" t="s">
        <v>1054</v>
      </c>
      <c r="C208" s="275" t="s">
        <v>1079</v>
      </c>
      <c r="D208" s="289" t="s">
        <v>836</v>
      </c>
      <c r="E208" s="284" t="s">
        <v>752</v>
      </c>
      <c r="F208" s="371">
        <v>1563000</v>
      </c>
      <c r="I208" s="306"/>
    </row>
    <row r="209" spans="1:9" ht="26.25">
      <c r="A209" s="373" t="s">
        <v>1185</v>
      </c>
      <c r="B209" s="275" t="s">
        <v>1054</v>
      </c>
      <c r="C209" s="275" t="s">
        <v>1079</v>
      </c>
      <c r="D209" s="289" t="s">
        <v>1186</v>
      </c>
      <c r="E209" s="284"/>
      <c r="F209" s="371">
        <f>F210</f>
        <v>9060810</v>
      </c>
      <c r="I209" s="306"/>
    </row>
    <row r="210" spans="1:9" ht="27">
      <c r="A210" s="470" t="s">
        <v>751</v>
      </c>
      <c r="B210" s="275" t="s">
        <v>1054</v>
      </c>
      <c r="C210" s="275" t="s">
        <v>1079</v>
      </c>
      <c r="D210" s="289" t="s">
        <v>1186</v>
      </c>
      <c r="E210" s="284" t="s">
        <v>752</v>
      </c>
      <c r="F210" s="371">
        <f>9060810</f>
        <v>9060810</v>
      </c>
      <c r="I210" s="306"/>
    </row>
    <row r="211" spans="1:9" ht="41.25">
      <c r="A211" s="471" t="s">
        <v>1187</v>
      </c>
      <c r="B211" s="275" t="s">
        <v>1054</v>
      </c>
      <c r="C211" s="275" t="s">
        <v>1079</v>
      </c>
      <c r="D211" s="289" t="s">
        <v>1188</v>
      </c>
      <c r="E211" s="284"/>
      <c r="F211" s="371">
        <f>F212</f>
        <v>100000</v>
      </c>
      <c r="I211" s="306"/>
    </row>
    <row r="212" spans="1:9" ht="27">
      <c r="A212" s="470" t="s">
        <v>751</v>
      </c>
      <c r="B212" s="275" t="s">
        <v>1054</v>
      </c>
      <c r="C212" s="275" t="s">
        <v>1079</v>
      </c>
      <c r="D212" s="289" t="s">
        <v>1188</v>
      </c>
      <c r="E212" s="284" t="s">
        <v>752</v>
      </c>
      <c r="F212" s="371">
        <f>100000</f>
        <v>100000</v>
      </c>
      <c r="I212" s="306"/>
    </row>
    <row r="213" spans="1:9" ht="26.25">
      <c r="A213" s="343" t="s">
        <v>1189</v>
      </c>
      <c r="B213" s="275" t="s">
        <v>1054</v>
      </c>
      <c r="C213" s="275" t="s">
        <v>1079</v>
      </c>
      <c r="D213" s="289" t="s">
        <v>1190</v>
      </c>
      <c r="E213" s="284"/>
      <c r="F213" s="371">
        <f>F214</f>
        <v>1105528.37</v>
      </c>
      <c r="I213" s="306"/>
    </row>
    <row r="214" spans="1:9" ht="27">
      <c r="A214" s="470" t="s">
        <v>751</v>
      </c>
      <c r="B214" s="275" t="s">
        <v>1054</v>
      </c>
      <c r="C214" s="275" t="s">
        <v>1079</v>
      </c>
      <c r="D214" s="289" t="s">
        <v>1190</v>
      </c>
      <c r="E214" s="284" t="s">
        <v>752</v>
      </c>
      <c r="F214" s="371">
        <f>1850000-100000-644471.63</f>
        <v>1105528.37</v>
      </c>
      <c r="I214" s="306"/>
    </row>
    <row r="215" spans="1:9" ht="66">
      <c r="A215" s="395" t="s">
        <v>843</v>
      </c>
      <c r="B215" s="275" t="s">
        <v>1054</v>
      </c>
      <c r="C215" s="275" t="s">
        <v>1079</v>
      </c>
      <c r="D215" s="453" t="s">
        <v>844</v>
      </c>
      <c r="E215" s="284"/>
      <c r="F215" s="371">
        <f>F216</f>
        <v>177800</v>
      </c>
      <c r="I215" s="306"/>
    </row>
    <row r="216" spans="1:9" ht="26.25">
      <c r="A216" s="388" t="s">
        <v>1191</v>
      </c>
      <c r="B216" s="275" t="s">
        <v>1054</v>
      </c>
      <c r="C216" s="275" t="s">
        <v>1079</v>
      </c>
      <c r="D216" s="289" t="s">
        <v>1192</v>
      </c>
      <c r="E216" s="284"/>
      <c r="F216" s="371">
        <f>F217</f>
        <v>177800</v>
      </c>
      <c r="I216" s="306"/>
    </row>
    <row r="217" spans="1:9" ht="13.5">
      <c r="A217" s="373" t="s">
        <v>1193</v>
      </c>
      <c r="B217" s="275" t="s">
        <v>1054</v>
      </c>
      <c r="C217" s="275" t="s">
        <v>1079</v>
      </c>
      <c r="D217" s="289" t="s">
        <v>1194</v>
      </c>
      <c r="E217" s="284"/>
      <c r="F217" s="371">
        <f>F218</f>
        <v>177800</v>
      </c>
      <c r="I217" s="306"/>
    </row>
    <row r="218" spans="1:9" ht="13.5">
      <c r="A218" s="343" t="s">
        <v>554</v>
      </c>
      <c r="B218" s="275" t="s">
        <v>1054</v>
      </c>
      <c r="C218" s="275" t="s">
        <v>1079</v>
      </c>
      <c r="D218" s="289" t="s">
        <v>1194</v>
      </c>
      <c r="E218" s="284" t="s">
        <v>517</v>
      </c>
      <c r="F218" s="371">
        <f>750000-572200</f>
        <v>177800</v>
      </c>
      <c r="I218" s="306"/>
    </row>
    <row r="219" spans="1:9" ht="42" customHeight="1">
      <c r="A219" s="479" t="s">
        <v>917</v>
      </c>
      <c r="B219" s="275" t="s">
        <v>1054</v>
      </c>
      <c r="C219" s="275" t="s">
        <v>1079</v>
      </c>
      <c r="D219" s="289" t="s">
        <v>918</v>
      </c>
      <c r="E219" s="284"/>
      <c r="F219" s="371">
        <f>F220</f>
        <v>13742325</v>
      </c>
      <c r="I219" s="306"/>
    </row>
    <row r="220" spans="1:9" ht="69">
      <c r="A220" s="472" t="s">
        <v>1195</v>
      </c>
      <c r="B220" s="275" t="s">
        <v>1054</v>
      </c>
      <c r="C220" s="275" t="s">
        <v>1079</v>
      </c>
      <c r="D220" s="453" t="s">
        <v>920</v>
      </c>
      <c r="E220" s="284"/>
      <c r="F220" s="371">
        <f>F221</f>
        <v>13742325</v>
      </c>
      <c r="I220" s="306"/>
    </row>
    <row r="221" spans="1:9" ht="26.25">
      <c r="A221" s="373" t="s">
        <v>832</v>
      </c>
      <c r="B221" s="275" t="s">
        <v>1054</v>
      </c>
      <c r="C221" s="275" t="s">
        <v>1079</v>
      </c>
      <c r="D221" s="453" t="s">
        <v>1196</v>
      </c>
      <c r="E221" s="284"/>
      <c r="F221" s="371">
        <f>F222</f>
        <v>13742325</v>
      </c>
      <c r="I221" s="306"/>
    </row>
    <row r="222" spans="1:9" ht="26.25">
      <c r="A222" s="383" t="s">
        <v>1197</v>
      </c>
      <c r="B222" s="275" t="s">
        <v>1054</v>
      </c>
      <c r="C222" s="275" t="s">
        <v>1079</v>
      </c>
      <c r="D222" s="289" t="s">
        <v>1198</v>
      </c>
      <c r="E222" s="284"/>
      <c r="F222" s="371">
        <f>F223</f>
        <v>13742325</v>
      </c>
      <c r="I222" s="306"/>
    </row>
    <row r="223" spans="1:9" ht="26.25">
      <c r="A223" s="370" t="s">
        <v>751</v>
      </c>
      <c r="B223" s="275" t="s">
        <v>1054</v>
      </c>
      <c r="C223" s="275" t="s">
        <v>1079</v>
      </c>
      <c r="D223" s="289" t="s">
        <v>1198</v>
      </c>
      <c r="E223" s="284" t="s">
        <v>752</v>
      </c>
      <c r="F223" s="371">
        <f>1569426+12172899</f>
        <v>13742325</v>
      </c>
      <c r="I223" s="306"/>
    </row>
    <row r="224" spans="1:9" ht="13.5">
      <c r="A224" s="370" t="s">
        <v>1084</v>
      </c>
      <c r="B224" s="275" t="s">
        <v>1054</v>
      </c>
      <c r="C224" s="275" t="s">
        <v>1085</v>
      </c>
      <c r="D224" s="275"/>
      <c r="E224" s="284"/>
      <c r="F224" s="371">
        <f>F225+F237+F253+F232+F248</f>
        <v>2457427</v>
      </c>
      <c r="I224" s="306"/>
    </row>
    <row r="225" spans="1:9" ht="39">
      <c r="A225" s="494" t="s">
        <v>687</v>
      </c>
      <c r="B225" s="275" t="s">
        <v>1054</v>
      </c>
      <c r="C225" s="275" t="s">
        <v>1085</v>
      </c>
      <c r="D225" s="275" t="s">
        <v>688</v>
      </c>
      <c r="E225" s="284"/>
      <c r="F225" s="371">
        <f>F226</f>
        <v>500000</v>
      </c>
      <c r="I225" s="306"/>
    </row>
    <row r="226" spans="1:9" s="308" customFormat="1" ht="66">
      <c r="A226" s="498" t="s">
        <v>689</v>
      </c>
      <c r="B226" s="443" t="s">
        <v>1054</v>
      </c>
      <c r="C226" s="443" t="s">
        <v>1085</v>
      </c>
      <c r="D226" s="443" t="s">
        <v>690</v>
      </c>
      <c r="E226" s="448"/>
      <c r="F226" s="468">
        <f>F227</f>
        <v>500000</v>
      </c>
      <c r="I226" s="398"/>
    </row>
    <row r="227" spans="1:6" ht="36.75" customHeight="1">
      <c r="A227" s="373" t="s">
        <v>691</v>
      </c>
      <c r="B227" s="275" t="s">
        <v>1054</v>
      </c>
      <c r="C227" s="275" t="s">
        <v>1085</v>
      </c>
      <c r="D227" s="275" t="s">
        <v>692</v>
      </c>
      <c r="E227" s="284"/>
      <c r="F227" s="371">
        <f>F228+F230</f>
        <v>500000</v>
      </c>
    </row>
    <row r="228" spans="1:6" ht="13.5" hidden="1">
      <c r="A228" s="372" t="s">
        <v>693</v>
      </c>
      <c r="B228" s="275" t="s">
        <v>1054</v>
      </c>
      <c r="C228" s="275" t="s">
        <v>1085</v>
      </c>
      <c r="D228" s="275" t="s">
        <v>694</v>
      </c>
      <c r="E228" s="284"/>
      <c r="F228" s="371">
        <f>F229</f>
        <v>0</v>
      </c>
    </row>
    <row r="229" spans="1:6" ht="26.25" hidden="1">
      <c r="A229" s="343" t="s">
        <v>516</v>
      </c>
      <c r="B229" s="275" t="s">
        <v>1054</v>
      </c>
      <c r="C229" s="275" t="s">
        <v>1085</v>
      </c>
      <c r="D229" s="275" t="s">
        <v>694</v>
      </c>
      <c r="E229" s="284" t="s">
        <v>517</v>
      </c>
      <c r="F229" s="371"/>
    </row>
    <row r="230" spans="1:6" ht="13.5">
      <c r="A230" s="372" t="s">
        <v>695</v>
      </c>
      <c r="B230" s="275" t="s">
        <v>1054</v>
      </c>
      <c r="C230" s="275" t="s">
        <v>1085</v>
      </c>
      <c r="D230" s="275" t="s">
        <v>696</v>
      </c>
      <c r="E230" s="284"/>
      <c r="F230" s="371">
        <f>F231</f>
        <v>500000</v>
      </c>
    </row>
    <row r="231" spans="1:6" ht="26.25">
      <c r="A231" s="343" t="s">
        <v>516</v>
      </c>
      <c r="B231" s="275" t="s">
        <v>1054</v>
      </c>
      <c r="C231" s="275" t="s">
        <v>1085</v>
      </c>
      <c r="D231" s="275" t="s">
        <v>696</v>
      </c>
      <c r="E231" s="284" t="s">
        <v>517</v>
      </c>
      <c r="F231" s="371">
        <f>200000+320000+540000-560000</f>
        <v>500000</v>
      </c>
    </row>
    <row r="232" spans="1:6" ht="52.5" hidden="1">
      <c r="A232" s="499" t="s">
        <v>697</v>
      </c>
      <c r="B232" s="275" t="s">
        <v>1054</v>
      </c>
      <c r="C232" s="275" t="s">
        <v>1085</v>
      </c>
      <c r="D232" s="319" t="s">
        <v>698</v>
      </c>
      <c r="E232" s="284"/>
      <c r="F232" s="371">
        <f>F233</f>
        <v>0</v>
      </c>
    </row>
    <row r="233" spans="1:6" ht="6" customHeight="1" hidden="1">
      <c r="A233" s="396" t="s">
        <v>1086</v>
      </c>
      <c r="B233" s="275" t="s">
        <v>1054</v>
      </c>
      <c r="C233" s="275" t="s">
        <v>1085</v>
      </c>
      <c r="D233" s="319" t="s">
        <v>700</v>
      </c>
      <c r="E233" s="284"/>
      <c r="F233" s="371">
        <f>F234</f>
        <v>0</v>
      </c>
    </row>
    <row r="234" spans="1:6" ht="26.25" hidden="1">
      <c r="A234" s="373" t="s">
        <v>701</v>
      </c>
      <c r="B234" s="275" t="s">
        <v>1054</v>
      </c>
      <c r="C234" s="275" t="s">
        <v>1085</v>
      </c>
      <c r="D234" s="400" t="s">
        <v>702</v>
      </c>
      <c r="E234" s="284"/>
      <c r="F234" s="371">
        <f>F235</f>
        <v>0</v>
      </c>
    </row>
    <row r="235" spans="1:6" ht="13.5" hidden="1">
      <c r="A235" s="367" t="s">
        <v>703</v>
      </c>
      <c r="B235" s="275" t="s">
        <v>1054</v>
      </c>
      <c r="C235" s="275" t="s">
        <v>1085</v>
      </c>
      <c r="D235" s="319" t="s">
        <v>704</v>
      </c>
      <c r="E235" s="284"/>
      <c r="F235" s="371">
        <f>F236</f>
        <v>0</v>
      </c>
    </row>
    <row r="236" spans="1:6" ht="13.5" hidden="1">
      <c r="A236" s="343" t="s">
        <v>554</v>
      </c>
      <c r="B236" s="275" t="s">
        <v>1054</v>
      </c>
      <c r="C236" s="275" t="s">
        <v>1085</v>
      </c>
      <c r="D236" s="319" t="s">
        <v>704</v>
      </c>
      <c r="E236" s="284" t="s">
        <v>517</v>
      </c>
      <c r="F236" s="371"/>
    </row>
    <row r="237" spans="1:6" ht="39">
      <c r="A237" s="494" t="s">
        <v>1087</v>
      </c>
      <c r="B237" s="275" t="s">
        <v>1054</v>
      </c>
      <c r="C237" s="275" t="s">
        <v>1085</v>
      </c>
      <c r="D237" s="319" t="s">
        <v>722</v>
      </c>
      <c r="E237" s="284"/>
      <c r="F237" s="371">
        <f>F238</f>
        <v>1924427</v>
      </c>
    </row>
    <row r="238" spans="1:6" s="308" customFormat="1" ht="52.5">
      <c r="A238" s="479" t="s">
        <v>1088</v>
      </c>
      <c r="B238" s="443" t="s">
        <v>1054</v>
      </c>
      <c r="C238" s="443" t="s">
        <v>1085</v>
      </c>
      <c r="D238" s="459" t="s">
        <v>737</v>
      </c>
      <c r="E238" s="448"/>
      <c r="F238" s="468">
        <f>F239</f>
        <v>1924427</v>
      </c>
    </row>
    <row r="239" spans="1:6" ht="26.25">
      <c r="A239" s="373" t="s">
        <v>763</v>
      </c>
      <c r="B239" s="275" t="s">
        <v>1054</v>
      </c>
      <c r="C239" s="275" t="s">
        <v>1085</v>
      </c>
      <c r="D239" s="298" t="s">
        <v>764</v>
      </c>
      <c r="E239" s="303"/>
      <c r="F239" s="371">
        <f>F246+F240+F243</f>
        <v>1924427</v>
      </c>
    </row>
    <row r="240" spans="1:6" ht="33" customHeight="1">
      <c r="A240" s="373" t="s">
        <v>765</v>
      </c>
      <c r="B240" s="275" t="s">
        <v>1054</v>
      </c>
      <c r="C240" s="275" t="s">
        <v>1085</v>
      </c>
      <c r="D240" s="298" t="s">
        <v>766</v>
      </c>
      <c r="E240" s="303"/>
      <c r="F240" s="371">
        <f>F242+F241</f>
        <v>1017730</v>
      </c>
    </row>
    <row r="241" spans="1:6" ht="26.25">
      <c r="A241" s="343" t="s">
        <v>516</v>
      </c>
      <c r="B241" s="275" t="s">
        <v>1054</v>
      </c>
      <c r="C241" s="275" t="s">
        <v>1085</v>
      </c>
      <c r="D241" s="298" t="s">
        <v>766</v>
      </c>
      <c r="E241" s="303" t="s">
        <v>517</v>
      </c>
      <c r="F241" s="371">
        <f>58130</f>
        <v>58130</v>
      </c>
    </row>
    <row r="242" spans="1:6" ht="13.5">
      <c r="A242" s="401" t="s">
        <v>713</v>
      </c>
      <c r="B242" s="275" t="s">
        <v>1054</v>
      </c>
      <c r="C242" s="275" t="s">
        <v>1085</v>
      </c>
      <c r="D242" s="298" t="s">
        <v>766</v>
      </c>
      <c r="E242" s="303" t="s">
        <v>714</v>
      </c>
      <c r="F242" s="371">
        <f>1017730-58130</f>
        <v>959600</v>
      </c>
    </row>
    <row r="243" spans="1:6" ht="26.25">
      <c r="A243" s="373" t="s">
        <v>767</v>
      </c>
      <c r="B243" s="275" t="s">
        <v>1054</v>
      </c>
      <c r="C243" s="275" t="s">
        <v>1085</v>
      </c>
      <c r="D243" s="298" t="s">
        <v>768</v>
      </c>
      <c r="E243" s="303"/>
      <c r="F243" s="371">
        <f>F245+F244</f>
        <v>440322</v>
      </c>
    </row>
    <row r="244" spans="1:6" ht="26.25">
      <c r="A244" s="343" t="s">
        <v>516</v>
      </c>
      <c r="B244" s="275" t="s">
        <v>1054</v>
      </c>
      <c r="C244" s="275" t="s">
        <v>1085</v>
      </c>
      <c r="D244" s="298" t="s">
        <v>768</v>
      </c>
      <c r="E244" s="303" t="s">
        <v>517</v>
      </c>
      <c r="F244" s="371">
        <f>29065</f>
        <v>29065</v>
      </c>
    </row>
    <row r="245" spans="1:6" ht="13.5">
      <c r="A245" s="401" t="s">
        <v>713</v>
      </c>
      <c r="B245" s="275" t="s">
        <v>1054</v>
      </c>
      <c r="C245" s="275" t="s">
        <v>1085</v>
      </c>
      <c r="D245" s="298" t="s">
        <v>768</v>
      </c>
      <c r="E245" s="303" t="s">
        <v>714</v>
      </c>
      <c r="F245" s="371">
        <f>877632-466375</f>
        <v>411257</v>
      </c>
    </row>
    <row r="246" spans="1:6" ht="39">
      <c r="A246" s="401" t="s">
        <v>769</v>
      </c>
      <c r="B246" s="275" t="s">
        <v>1054</v>
      </c>
      <c r="C246" s="275" t="s">
        <v>1085</v>
      </c>
      <c r="D246" s="298" t="s">
        <v>770</v>
      </c>
      <c r="E246" s="303"/>
      <c r="F246" s="371">
        <f>F247</f>
        <v>466375</v>
      </c>
    </row>
    <row r="247" spans="1:6" ht="14.25" customHeight="1">
      <c r="A247" s="401" t="s">
        <v>713</v>
      </c>
      <c r="B247" s="275" t="s">
        <v>1054</v>
      </c>
      <c r="C247" s="275" t="s">
        <v>1085</v>
      </c>
      <c r="D247" s="298" t="s">
        <v>770</v>
      </c>
      <c r="E247" s="303" t="s">
        <v>714</v>
      </c>
      <c r="F247" s="371">
        <v>466375</v>
      </c>
    </row>
    <row r="248" spans="1:6" ht="0.75" customHeight="1" hidden="1">
      <c r="A248" s="394" t="s">
        <v>822</v>
      </c>
      <c r="B248" s="275" t="s">
        <v>1054</v>
      </c>
      <c r="C248" s="275" t="s">
        <v>1085</v>
      </c>
      <c r="D248" s="298" t="s">
        <v>823</v>
      </c>
      <c r="E248" s="303"/>
      <c r="F248" s="371">
        <f>F249</f>
        <v>0</v>
      </c>
    </row>
    <row r="249" spans="1:6" ht="66" hidden="1">
      <c r="A249" s="395" t="s">
        <v>843</v>
      </c>
      <c r="B249" s="275" t="s">
        <v>1054</v>
      </c>
      <c r="C249" s="275" t="s">
        <v>1085</v>
      </c>
      <c r="D249" s="453" t="s">
        <v>844</v>
      </c>
      <c r="E249" s="284"/>
      <c r="F249" s="371">
        <f>F250</f>
        <v>0</v>
      </c>
    </row>
    <row r="250" spans="1:6" ht="26.25" hidden="1">
      <c r="A250" s="388" t="s">
        <v>1191</v>
      </c>
      <c r="B250" s="275" t="s">
        <v>1054</v>
      </c>
      <c r="C250" s="275" t="s">
        <v>1085</v>
      </c>
      <c r="D250" s="289" t="s">
        <v>1192</v>
      </c>
      <c r="E250" s="284"/>
      <c r="F250" s="371">
        <f>F251</f>
        <v>0</v>
      </c>
    </row>
    <row r="251" spans="1:6" ht="13.5" hidden="1">
      <c r="A251" s="373" t="s">
        <v>1193</v>
      </c>
      <c r="B251" s="275" t="s">
        <v>1054</v>
      </c>
      <c r="C251" s="275" t="s">
        <v>1085</v>
      </c>
      <c r="D251" s="289" t="s">
        <v>1194</v>
      </c>
      <c r="E251" s="284"/>
      <c r="F251" s="371">
        <f>F252</f>
        <v>0</v>
      </c>
    </row>
    <row r="252" spans="1:6" ht="13.5" hidden="1">
      <c r="A252" s="343" t="s">
        <v>554</v>
      </c>
      <c r="B252" s="275" t="s">
        <v>1054</v>
      </c>
      <c r="C252" s="275" t="s">
        <v>1085</v>
      </c>
      <c r="D252" s="289" t="s">
        <v>1194</v>
      </c>
      <c r="E252" s="284" t="s">
        <v>517</v>
      </c>
      <c r="F252" s="371"/>
    </row>
    <row r="253" spans="1:6" ht="26.25">
      <c r="A253" s="479" t="s">
        <v>903</v>
      </c>
      <c r="B253" s="275" t="s">
        <v>1054</v>
      </c>
      <c r="C253" s="275" t="s">
        <v>1085</v>
      </c>
      <c r="D253" s="275" t="s">
        <v>904</v>
      </c>
      <c r="E253" s="303"/>
      <c r="F253" s="371">
        <f>F254+F258</f>
        <v>33000</v>
      </c>
    </row>
    <row r="254" spans="1:6" s="308" customFormat="1" ht="52.5">
      <c r="A254" s="498" t="s">
        <v>905</v>
      </c>
      <c r="B254" s="443" t="s">
        <v>1054</v>
      </c>
      <c r="C254" s="443" t="s">
        <v>1085</v>
      </c>
      <c r="D254" s="443" t="s">
        <v>906</v>
      </c>
      <c r="E254" s="445"/>
      <c r="F254" s="468">
        <f>F255</f>
        <v>28000</v>
      </c>
    </row>
    <row r="255" spans="1:6" ht="26.25">
      <c r="A255" s="498" t="s">
        <v>907</v>
      </c>
      <c r="B255" s="275" t="s">
        <v>1054</v>
      </c>
      <c r="C255" s="275" t="s">
        <v>1085</v>
      </c>
      <c r="D255" s="275" t="s">
        <v>908</v>
      </c>
      <c r="E255" s="303"/>
      <c r="F255" s="371">
        <f>F256</f>
        <v>28000</v>
      </c>
    </row>
    <row r="256" spans="1:6" ht="26.25">
      <c r="A256" s="372" t="s">
        <v>909</v>
      </c>
      <c r="B256" s="275" t="s">
        <v>1054</v>
      </c>
      <c r="C256" s="275" t="s">
        <v>1085</v>
      </c>
      <c r="D256" s="275" t="s">
        <v>910</v>
      </c>
      <c r="E256" s="303"/>
      <c r="F256" s="371">
        <f>F257</f>
        <v>28000</v>
      </c>
    </row>
    <row r="257" spans="1:6" ht="26.25">
      <c r="A257" s="343" t="s">
        <v>516</v>
      </c>
      <c r="B257" s="275" t="s">
        <v>1054</v>
      </c>
      <c r="C257" s="275" t="s">
        <v>1085</v>
      </c>
      <c r="D257" s="275" t="s">
        <v>910</v>
      </c>
      <c r="E257" s="303" t="s">
        <v>517</v>
      </c>
      <c r="F257" s="371">
        <v>28000</v>
      </c>
    </row>
    <row r="258" spans="1:6" ht="52.5">
      <c r="A258" s="376" t="s">
        <v>911</v>
      </c>
      <c r="B258" s="443" t="s">
        <v>1054</v>
      </c>
      <c r="C258" s="443" t="s">
        <v>1085</v>
      </c>
      <c r="D258" s="443" t="s">
        <v>912</v>
      </c>
      <c r="E258" s="303"/>
      <c r="F258" s="371">
        <f>F259</f>
        <v>5000</v>
      </c>
    </row>
    <row r="259" spans="1:6" ht="39">
      <c r="A259" s="498" t="s">
        <v>913</v>
      </c>
      <c r="B259" s="275" t="s">
        <v>1054</v>
      </c>
      <c r="C259" s="275" t="s">
        <v>1085</v>
      </c>
      <c r="D259" s="275" t="s">
        <v>914</v>
      </c>
      <c r="E259" s="303"/>
      <c r="F259" s="371">
        <f>F260</f>
        <v>5000</v>
      </c>
    </row>
    <row r="260" spans="1:6" ht="26.25">
      <c r="A260" s="343" t="s">
        <v>915</v>
      </c>
      <c r="B260" s="275" t="s">
        <v>1054</v>
      </c>
      <c r="C260" s="275" t="s">
        <v>1085</v>
      </c>
      <c r="D260" s="275" t="s">
        <v>916</v>
      </c>
      <c r="E260" s="303"/>
      <c r="F260" s="371">
        <f>F261</f>
        <v>5000</v>
      </c>
    </row>
    <row r="261" spans="1:6" ht="26.25">
      <c r="A261" s="343" t="s">
        <v>516</v>
      </c>
      <c r="B261" s="275" t="s">
        <v>1054</v>
      </c>
      <c r="C261" s="275" t="s">
        <v>1085</v>
      </c>
      <c r="D261" s="275" t="s">
        <v>916</v>
      </c>
      <c r="E261" s="303" t="s">
        <v>517</v>
      </c>
      <c r="F261" s="371">
        <v>5000</v>
      </c>
    </row>
    <row r="262" spans="1:6" ht="18.75" customHeight="1">
      <c r="A262" s="343" t="s">
        <v>1089</v>
      </c>
      <c r="B262" s="275" t="s">
        <v>1059</v>
      </c>
      <c r="C262" s="275"/>
      <c r="D262" s="275"/>
      <c r="E262" s="303"/>
      <c r="F262" s="371">
        <f>F272+F263</f>
        <v>23946740.94</v>
      </c>
    </row>
    <row r="263" spans="1:6" ht="0.75" customHeight="1" hidden="1">
      <c r="A263" s="343" t="s">
        <v>1090</v>
      </c>
      <c r="B263" s="275" t="s">
        <v>1059</v>
      </c>
      <c r="C263" s="275" t="s">
        <v>1047</v>
      </c>
      <c r="D263" s="275"/>
      <c r="E263" s="303"/>
      <c r="F263" s="371">
        <f>F264</f>
        <v>0</v>
      </c>
    </row>
    <row r="264" spans="1:6" ht="39" hidden="1">
      <c r="A264" s="343" t="s">
        <v>1091</v>
      </c>
      <c r="B264" s="275" t="s">
        <v>1059</v>
      </c>
      <c r="C264" s="275" t="s">
        <v>1047</v>
      </c>
      <c r="D264" s="275" t="s">
        <v>722</v>
      </c>
      <c r="E264" s="303"/>
      <c r="F264" s="371">
        <f>F265</f>
        <v>0</v>
      </c>
    </row>
    <row r="265" spans="1:6" ht="66" hidden="1">
      <c r="A265" s="343" t="s">
        <v>1092</v>
      </c>
      <c r="B265" s="275" t="s">
        <v>1059</v>
      </c>
      <c r="C265" s="275" t="s">
        <v>1047</v>
      </c>
      <c r="D265" s="275" t="s">
        <v>737</v>
      </c>
      <c r="E265" s="303"/>
      <c r="F265" s="371">
        <f>F266</f>
        <v>0</v>
      </c>
    </row>
    <row r="266" spans="1:6" ht="52.5" hidden="1">
      <c r="A266" s="343" t="s">
        <v>757</v>
      </c>
      <c r="B266" s="275" t="s">
        <v>1059</v>
      </c>
      <c r="C266" s="275" t="s">
        <v>1047</v>
      </c>
      <c r="D266" s="275" t="s">
        <v>758</v>
      </c>
      <c r="E266" s="303"/>
      <c r="F266" s="371">
        <f>F267+F269</f>
        <v>0</v>
      </c>
    </row>
    <row r="267" spans="1:6" ht="26.25" hidden="1">
      <c r="A267" s="343" t="s">
        <v>759</v>
      </c>
      <c r="B267" s="275" t="s">
        <v>1059</v>
      </c>
      <c r="C267" s="275" t="s">
        <v>1047</v>
      </c>
      <c r="D267" s="275" t="s">
        <v>760</v>
      </c>
      <c r="E267" s="303"/>
      <c r="F267" s="371">
        <f>F268</f>
        <v>0</v>
      </c>
    </row>
    <row r="268" spans="1:6" ht="13.5" hidden="1">
      <c r="A268" s="401" t="s">
        <v>713</v>
      </c>
      <c r="B268" s="275" t="s">
        <v>1059</v>
      </c>
      <c r="C268" s="275" t="s">
        <v>1047</v>
      </c>
      <c r="D268" s="275" t="s">
        <v>760</v>
      </c>
      <c r="E268" s="303" t="s">
        <v>714</v>
      </c>
      <c r="F268" s="371"/>
    </row>
    <row r="269" spans="1:6" ht="26.25" hidden="1">
      <c r="A269" s="401" t="s">
        <v>761</v>
      </c>
      <c r="B269" s="275" t="s">
        <v>1059</v>
      </c>
      <c r="C269" s="275" t="s">
        <v>1047</v>
      </c>
      <c r="D269" s="275" t="s">
        <v>762</v>
      </c>
      <c r="E269" s="303"/>
      <c r="F269" s="371">
        <f>F271+F270</f>
        <v>0</v>
      </c>
    </row>
    <row r="270" spans="1:6" ht="26.25" hidden="1">
      <c r="A270" s="343" t="s">
        <v>516</v>
      </c>
      <c r="B270" s="275" t="s">
        <v>1059</v>
      </c>
      <c r="C270" s="275" t="s">
        <v>1047</v>
      </c>
      <c r="D270" s="275" t="s">
        <v>762</v>
      </c>
      <c r="E270" s="303" t="s">
        <v>517</v>
      </c>
      <c r="F270" s="371"/>
    </row>
    <row r="271" spans="1:6" ht="26.25" hidden="1">
      <c r="A271" s="401" t="s">
        <v>751</v>
      </c>
      <c r="B271" s="275" t="s">
        <v>1059</v>
      </c>
      <c r="C271" s="275" t="s">
        <v>1047</v>
      </c>
      <c r="D271" s="275" t="s">
        <v>762</v>
      </c>
      <c r="E271" s="303" t="s">
        <v>752</v>
      </c>
      <c r="F271" s="371"/>
    </row>
    <row r="272" spans="1:6" ht="13.5">
      <c r="A272" s="343" t="s">
        <v>1093</v>
      </c>
      <c r="B272" s="275" t="s">
        <v>1059</v>
      </c>
      <c r="C272" s="275" t="s">
        <v>1049</v>
      </c>
      <c r="D272" s="275"/>
      <c r="E272" s="303"/>
      <c r="F272" s="371">
        <f>F273+F282+F287</f>
        <v>23946740.94</v>
      </c>
    </row>
    <row r="273" spans="1:6" ht="39">
      <c r="A273" s="367" t="s">
        <v>705</v>
      </c>
      <c r="B273" s="275" t="s">
        <v>1059</v>
      </c>
      <c r="C273" s="275" t="s">
        <v>1049</v>
      </c>
      <c r="D273" s="289" t="s">
        <v>706</v>
      </c>
      <c r="E273" s="303"/>
      <c r="F273" s="371">
        <f>F274</f>
        <v>13904751</v>
      </c>
    </row>
    <row r="274" spans="1:6" s="308" customFormat="1" ht="52.5">
      <c r="A274" s="500" t="s">
        <v>707</v>
      </c>
      <c r="B274" s="443" t="s">
        <v>1059</v>
      </c>
      <c r="C274" s="443" t="s">
        <v>1049</v>
      </c>
      <c r="D274" s="289" t="s">
        <v>708</v>
      </c>
      <c r="E274" s="445"/>
      <c r="F274" s="468">
        <f>F275</f>
        <v>13904751</v>
      </c>
    </row>
    <row r="275" spans="1:6" ht="26.25">
      <c r="A275" s="373" t="s">
        <v>709</v>
      </c>
      <c r="B275" s="275" t="s">
        <v>1059</v>
      </c>
      <c r="C275" s="275" t="s">
        <v>1049</v>
      </c>
      <c r="D275" s="289" t="s">
        <v>708</v>
      </c>
      <c r="E275" s="303"/>
      <c r="F275" s="371">
        <f>F276+F278+F280</f>
        <v>13904751</v>
      </c>
    </row>
    <row r="276" spans="1:6" ht="39">
      <c r="A276" s="332" t="s">
        <v>1199</v>
      </c>
      <c r="B276" s="275" t="s">
        <v>1059</v>
      </c>
      <c r="C276" s="275" t="s">
        <v>1049</v>
      </c>
      <c r="D276" s="289" t="s">
        <v>1200</v>
      </c>
      <c r="E276" s="303"/>
      <c r="F276" s="371">
        <f>F277</f>
        <v>13131613</v>
      </c>
    </row>
    <row r="277" spans="1:6" ht="13.5">
      <c r="A277" s="401" t="s">
        <v>713</v>
      </c>
      <c r="B277" s="275" t="s">
        <v>1059</v>
      </c>
      <c r="C277" s="275" t="s">
        <v>1049</v>
      </c>
      <c r="D277" s="289" t="s">
        <v>1200</v>
      </c>
      <c r="E277" s="303" t="s">
        <v>714</v>
      </c>
      <c r="F277" s="371">
        <f>13131613</f>
        <v>13131613</v>
      </c>
    </row>
    <row r="278" spans="1:6" ht="39">
      <c r="A278" s="332" t="s">
        <v>719</v>
      </c>
      <c r="B278" s="275" t="s">
        <v>1059</v>
      </c>
      <c r="C278" s="275" t="s">
        <v>1049</v>
      </c>
      <c r="D278" s="289" t="s">
        <v>720</v>
      </c>
      <c r="E278" s="303"/>
      <c r="F278" s="371">
        <f>F279</f>
        <v>691138</v>
      </c>
    </row>
    <row r="279" spans="1:6" ht="13.5">
      <c r="A279" s="401" t="s">
        <v>713</v>
      </c>
      <c r="B279" s="275" t="s">
        <v>1059</v>
      </c>
      <c r="C279" s="275" t="s">
        <v>1049</v>
      </c>
      <c r="D279" s="289" t="s">
        <v>720</v>
      </c>
      <c r="E279" s="303" t="s">
        <v>714</v>
      </c>
      <c r="F279" s="371">
        <f>970000-278862</f>
        <v>691138</v>
      </c>
    </row>
    <row r="280" spans="1:6" ht="32.25" customHeight="1">
      <c r="A280" s="332" t="s">
        <v>1201</v>
      </c>
      <c r="B280" s="275" t="s">
        <v>1059</v>
      </c>
      <c r="C280" s="275" t="s">
        <v>1049</v>
      </c>
      <c r="D280" s="289" t="s">
        <v>1202</v>
      </c>
      <c r="E280" s="303"/>
      <c r="F280" s="371">
        <f>F281</f>
        <v>82000</v>
      </c>
    </row>
    <row r="281" spans="1:6" ht="13.5">
      <c r="A281" s="401" t="s">
        <v>713</v>
      </c>
      <c r="B281" s="275" t="s">
        <v>1059</v>
      </c>
      <c r="C281" s="275" t="s">
        <v>1049</v>
      </c>
      <c r="D281" s="289" t="s">
        <v>1202</v>
      </c>
      <c r="E281" s="303" t="s">
        <v>714</v>
      </c>
      <c r="F281" s="371">
        <f>82000</f>
        <v>82000</v>
      </c>
    </row>
    <row r="282" spans="1:6" ht="39">
      <c r="A282" s="500" t="s">
        <v>721</v>
      </c>
      <c r="B282" s="275" t="s">
        <v>1059</v>
      </c>
      <c r="C282" s="275" t="s">
        <v>1049</v>
      </c>
      <c r="D282" s="289" t="s">
        <v>722</v>
      </c>
      <c r="E282" s="303"/>
      <c r="F282" s="371">
        <f>F283</f>
        <v>2000000</v>
      </c>
    </row>
    <row r="283" spans="1:6" s="308" customFormat="1" ht="66">
      <c r="A283" s="401" t="s">
        <v>1096</v>
      </c>
      <c r="B283" s="443" t="s">
        <v>1059</v>
      </c>
      <c r="C283" s="443" t="s">
        <v>1049</v>
      </c>
      <c r="D283" s="453" t="s">
        <v>1097</v>
      </c>
      <c r="E283" s="445"/>
      <c r="F283" s="468">
        <f>F284</f>
        <v>2000000</v>
      </c>
    </row>
    <row r="284" spans="1:6" ht="39">
      <c r="A284" s="373" t="s">
        <v>753</v>
      </c>
      <c r="B284" s="275" t="s">
        <v>1059</v>
      </c>
      <c r="C284" s="275" t="s">
        <v>1049</v>
      </c>
      <c r="D284" s="298" t="s">
        <v>754</v>
      </c>
      <c r="E284" s="303"/>
      <c r="F284" s="371">
        <f>F285</f>
        <v>2000000</v>
      </c>
    </row>
    <row r="285" spans="1:6" ht="39">
      <c r="A285" s="372" t="s">
        <v>755</v>
      </c>
      <c r="B285" s="275" t="s">
        <v>1059</v>
      </c>
      <c r="C285" s="275" t="s">
        <v>1049</v>
      </c>
      <c r="D285" s="298" t="s">
        <v>756</v>
      </c>
      <c r="E285" s="303"/>
      <c r="F285" s="371">
        <f>F286</f>
        <v>2000000</v>
      </c>
    </row>
    <row r="286" spans="1:6" ht="13.5">
      <c r="A286" s="401" t="s">
        <v>713</v>
      </c>
      <c r="B286" s="275" t="s">
        <v>1059</v>
      </c>
      <c r="C286" s="275" t="s">
        <v>1049</v>
      </c>
      <c r="D286" s="298" t="s">
        <v>756</v>
      </c>
      <c r="E286" s="303" t="s">
        <v>714</v>
      </c>
      <c r="F286" s="371">
        <f>500000+500000+500000+500000</f>
        <v>2000000</v>
      </c>
    </row>
    <row r="287" spans="1:6" ht="39">
      <c r="A287" s="479" t="s">
        <v>917</v>
      </c>
      <c r="B287" s="275" t="s">
        <v>1059</v>
      </c>
      <c r="C287" s="275" t="s">
        <v>1049</v>
      </c>
      <c r="D287" s="289" t="s">
        <v>918</v>
      </c>
      <c r="E287" s="303"/>
      <c r="F287" s="371">
        <f>F288</f>
        <v>8041989.94</v>
      </c>
    </row>
    <row r="288" spans="1:6" s="308" customFormat="1" ht="52.5">
      <c r="A288" s="479" t="s">
        <v>919</v>
      </c>
      <c r="B288" s="443" t="s">
        <v>1059</v>
      </c>
      <c r="C288" s="443" t="s">
        <v>1049</v>
      </c>
      <c r="D288" s="453" t="s">
        <v>920</v>
      </c>
      <c r="E288" s="445"/>
      <c r="F288" s="468">
        <f>F289</f>
        <v>8041989.94</v>
      </c>
    </row>
    <row r="289" spans="1:6" ht="13.5">
      <c r="A289" s="404" t="s">
        <v>929</v>
      </c>
      <c r="B289" s="275" t="s">
        <v>1059</v>
      </c>
      <c r="C289" s="275" t="s">
        <v>1049</v>
      </c>
      <c r="D289" s="289" t="s">
        <v>930</v>
      </c>
      <c r="E289" s="303"/>
      <c r="F289" s="371">
        <f>F290+F298+F292+F294+F296</f>
        <v>8041989.94</v>
      </c>
    </row>
    <row r="290" spans="1:6" ht="13.5">
      <c r="A290" s="332" t="s">
        <v>934</v>
      </c>
      <c r="B290" s="275" t="s">
        <v>1059</v>
      </c>
      <c r="C290" s="275" t="s">
        <v>1049</v>
      </c>
      <c r="D290" s="289" t="s">
        <v>935</v>
      </c>
      <c r="E290" s="303"/>
      <c r="F290" s="371">
        <f>F291</f>
        <v>5578897</v>
      </c>
    </row>
    <row r="291" spans="1:6" ht="17.25" customHeight="1">
      <c r="A291" s="401" t="s">
        <v>713</v>
      </c>
      <c r="B291" s="275" t="s">
        <v>1059</v>
      </c>
      <c r="C291" s="275" t="s">
        <v>1049</v>
      </c>
      <c r="D291" s="289" t="s">
        <v>935</v>
      </c>
      <c r="E291" s="303" t="s">
        <v>714</v>
      </c>
      <c r="F291" s="371">
        <f>1615000-615000-163165+4742062</f>
        <v>5578897</v>
      </c>
    </row>
    <row r="292" spans="1:6" ht="26.25" hidden="1">
      <c r="A292" s="383" t="s">
        <v>1225</v>
      </c>
      <c r="B292" s="275" t="s">
        <v>1059</v>
      </c>
      <c r="C292" s="275" t="s">
        <v>1049</v>
      </c>
      <c r="D292" s="289" t="s">
        <v>1203</v>
      </c>
      <c r="E292" s="303"/>
      <c r="F292" s="371">
        <f>F293</f>
        <v>0</v>
      </c>
    </row>
    <row r="293" spans="1:6" ht="13.5" hidden="1">
      <c r="A293" s="401" t="s">
        <v>713</v>
      </c>
      <c r="B293" s="275" t="s">
        <v>1059</v>
      </c>
      <c r="C293" s="275" t="s">
        <v>1049</v>
      </c>
      <c r="D293" s="289" t="s">
        <v>1203</v>
      </c>
      <c r="E293" s="303" t="s">
        <v>714</v>
      </c>
      <c r="F293" s="371"/>
    </row>
    <row r="294" spans="1:6" ht="39">
      <c r="A294" s="383" t="s">
        <v>1204</v>
      </c>
      <c r="B294" s="275" t="s">
        <v>1059</v>
      </c>
      <c r="C294" s="275" t="s">
        <v>1049</v>
      </c>
      <c r="D294" s="289" t="s">
        <v>1205</v>
      </c>
      <c r="E294" s="303"/>
      <c r="F294" s="371">
        <f>F295</f>
        <v>230676.58</v>
      </c>
    </row>
    <row r="295" spans="1:6" ht="13.5">
      <c r="A295" s="401" t="s">
        <v>713</v>
      </c>
      <c r="B295" s="275" t="s">
        <v>1059</v>
      </c>
      <c r="C295" s="275" t="s">
        <v>1049</v>
      </c>
      <c r="D295" s="289" t="s">
        <v>1205</v>
      </c>
      <c r="E295" s="303" t="s">
        <v>714</v>
      </c>
      <c r="F295" s="371">
        <f>229729.58+947</f>
        <v>230676.58</v>
      </c>
    </row>
    <row r="296" spans="1:6" ht="24">
      <c r="A296" s="474" t="s">
        <v>932</v>
      </c>
      <c r="B296" s="275" t="s">
        <v>1059</v>
      </c>
      <c r="C296" s="275" t="s">
        <v>1049</v>
      </c>
      <c r="D296" s="289" t="s">
        <v>1206</v>
      </c>
      <c r="E296" s="303"/>
      <c r="F296" s="371">
        <f>F297</f>
        <v>1300852</v>
      </c>
    </row>
    <row r="297" spans="1:6" ht="13.5">
      <c r="A297" s="401" t="s">
        <v>713</v>
      </c>
      <c r="B297" s="275" t="s">
        <v>1059</v>
      </c>
      <c r="C297" s="275" t="s">
        <v>1049</v>
      </c>
      <c r="D297" s="289" t="s">
        <v>1206</v>
      </c>
      <c r="E297" s="303" t="s">
        <v>714</v>
      </c>
      <c r="F297" s="371">
        <f>1300852</f>
        <v>1300852</v>
      </c>
    </row>
    <row r="298" spans="1:6" ht="39">
      <c r="A298" s="372" t="s">
        <v>755</v>
      </c>
      <c r="B298" s="275" t="s">
        <v>1059</v>
      </c>
      <c r="C298" s="275" t="s">
        <v>1049</v>
      </c>
      <c r="D298" s="289" t="s">
        <v>936</v>
      </c>
      <c r="E298" s="303"/>
      <c r="F298" s="371">
        <f>F299</f>
        <v>931564.36</v>
      </c>
    </row>
    <row r="299" spans="1:6" ht="13.5">
      <c r="A299" s="401" t="s">
        <v>713</v>
      </c>
      <c r="B299" s="275" t="s">
        <v>1059</v>
      </c>
      <c r="C299" s="275" t="s">
        <v>1049</v>
      </c>
      <c r="D299" s="289" t="s">
        <v>936</v>
      </c>
      <c r="E299" s="303" t="s">
        <v>714</v>
      </c>
      <c r="F299" s="371">
        <f>600000+15000+286364.36+30200</f>
        <v>931564.36</v>
      </c>
    </row>
    <row r="300" spans="1:6" ht="13.5">
      <c r="A300" s="401" t="s">
        <v>1098</v>
      </c>
      <c r="B300" s="275" t="s">
        <v>1061</v>
      </c>
      <c r="C300" s="275"/>
      <c r="D300" s="289"/>
      <c r="E300" s="303"/>
      <c r="F300" s="371">
        <f>F301</f>
        <v>300000</v>
      </c>
    </row>
    <row r="301" spans="1:6" ht="13.5">
      <c r="A301" s="405" t="s">
        <v>1099</v>
      </c>
      <c r="B301" s="275" t="s">
        <v>1061</v>
      </c>
      <c r="C301" s="275" t="s">
        <v>1059</v>
      </c>
      <c r="D301" s="289"/>
      <c r="E301" s="303"/>
      <c r="F301" s="371">
        <f>F302</f>
        <v>300000</v>
      </c>
    </row>
    <row r="302" spans="1:6" ht="13.5">
      <c r="A302" s="405" t="s">
        <v>995</v>
      </c>
      <c r="B302" s="275" t="s">
        <v>1061</v>
      </c>
      <c r="C302" s="275" t="s">
        <v>1059</v>
      </c>
      <c r="D302" s="289" t="s">
        <v>996</v>
      </c>
      <c r="E302" s="303"/>
      <c r="F302" s="371">
        <f>F303</f>
        <v>300000</v>
      </c>
    </row>
    <row r="303" spans="1:6" ht="13.5">
      <c r="A303" s="370" t="s">
        <v>1001</v>
      </c>
      <c r="B303" s="275" t="s">
        <v>1061</v>
      </c>
      <c r="C303" s="275" t="s">
        <v>1059</v>
      </c>
      <c r="D303" s="289" t="s">
        <v>1002</v>
      </c>
      <c r="E303" s="303"/>
      <c r="F303" s="371">
        <f>F304</f>
        <v>300000</v>
      </c>
    </row>
    <row r="304" spans="1:6" ht="13.5">
      <c r="A304" s="370" t="s">
        <v>1100</v>
      </c>
      <c r="B304" s="275" t="s">
        <v>1061</v>
      </c>
      <c r="C304" s="275" t="s">
        <v>1059</v>
      </c>
      <c r="D304" s="289" t="s">
        <v>1016</v>
      </c>
      <c r="E304" s="303"/>
      <c r="F304" s="371">
        <f>F305</f>
        <v>300000</v>
      </c>
    </row>
    <row r="305" spans="1:6" ht="26.25">
      <c r="A305" s="343" t="s">
        <v>516</v>
      </c>
      <c r="B305" s="275" t="s">
        <v>1061</v>
      </c>
      <c r="C305" s="275" t="s">
        <v>1059</v>
      </c>
      <c r="D305" s="289" t="s">
        <v>1016</v>
      </c>
      <c r="E305" s="303" t="s">
        <v>517</v>
      </c>
      <c r="F305" s="371">
        <v>300000</v>
      </c>
    </row>
    <row r="306" spans="1:6" ht="13.5">
      <c r="A306" s="370" t="s">
        <v>1101</v>
      </c>
      <c r="B306" s="275" t="s">
        <v>1063</v>
      </c>
      <c r="C306" s="275"/>
      <c r="D306" s="289"/>
      <c r="E306" s="324"/>
      <c r="F306" s="371">
        <f>F383+F307+F326+F408+F369</f>
        <v>423463788.58000004</v>
      </c>
    </row>
    <row r="307" spans="1:6" ht="13.5">
      <c r="A307" s="370" t="s">
        <v>1102</v>
      </c>
      <c r="B307" s="275" t="s">
        <v>1063</v>
      </c>
      <c r="C307" s="275" t="s">
        <v>1047</v>
      </c>
      <c r="D307" s="289"/>
      <c r="E307" s="324"/>
      <c r="F307" s="371">
        <f>F308+F319</f>
        <v>96778168.81</v>
      </c>
    </row>
    <row r="308" spans="1:6" ht="26.25">
      <c r="A308" s="370" t="s">
        <v>611</v>
      </c>
      <c r="B308" s="275" t="s">
        <v>1063</v>
      </c>
      <c r="C308" s="275" t="s">
        <v>1047</v>
      </c>
      <c r="D308" s="275" t="s">
        <v>612</v>
      </c>
      <c r="E308" s="284"/>
      <c r="F308" s="371">
        <f>F309</f>
        <v>94592368.81</v>
      </c>
    </row>
    <row r="309" spans="1:6" s="308" customFormat="1" ht="39">
      <c r="A309" s="367" t="s">
        <v>613</v>
      </c>
      <c r="B309" s="443" t="s">
        <v>1063</v>
      </c>
      <c r="C309" s="443" t="s">
        <v>1047</v>
      </c>
      <c r="D309" s="443" t="s">
        <v>614</v>
      </c>
      <c r="E309" s="448"/>
      <c r="F309" s="468">
        <f>F310</f>
        <v>94592368.81</v>
      </c>
    </row>
    <row r="310" spans="1:6" ht="26.25">
      <c r="A310" s="373" t="s">
        <v>615</v>
      </c>
      <c r="B310" s="275" t="s">
        <v>1063</v>
      </c>
      <c r="C310" s="275" t="s">
        <v>1047</v>
      </c>
      <c r="D310" s="275" t="s">
        <v>616</v>
      </c>
      <c r="E310" s="284"/>
      <c r="F310" s="371">
        <f>F311+F314</f>
        <v>94592368.81</v>
      </c>
    </row>
    <row r="311" spans="1:6" ht="66">
      <c r="A311" s="493" t="s">
        <v>623</v>
      </c>
      <c r="B311" s="275" t="s">
        <v>1063</v>
      </c>
      <c r="C311" s="275" t="s">
        <v>1047</v>
      </c>
      <c r="D311" s="275" t="s">
        <v>624</v>
      </c>
      <c r="E311" s="284"/>
      <c r="F311" s="371">
        <f>F312+F313</f>
        <v>48715678</v>
      </c>
    </row>
    <row r="312" spans="1:6" ht="39">
      <c r="A312" s="407" t="s">
        <v>522</v>
      </c>
      <c r="B312" s="275" t="s">
        <v>1063</v>
      </c>
      <c r="C312" s="275" t="s">
        <v>1047</v>
      </c>
      <c r="D312" s="275" t="s">
        <v>624</v>
      </c>
      <c r="E312" s="284" t="s">
        <v>523</v>
      </c>
      <c r="F312" s="371">
        <f>45470627+2735549</f>
        <v>48206176</v>
      </c>
    </row>
    <row r="313" spans="1:6" ht="26.25">
      <c r="A313" s="343" t="s">
        <v>516</v>
      </c>
      <c r="B313" s="275" t="s">
        <v>1063</v>
      </c>
      <c r="C313" s="275" t="s">
        <v>1047</v>
      </c>
      <c r="D313" s="275" t="s">
        <v>624</v>
      </c>
      <c r="E313" s="284" t="s">
        <v>517</v>
      </c>
      <c r="F313" s="371">
        <v>509502</v>
      </c>
    </row>
    <row r="314" spans="1:6" ht="26.25">
      <c r="A314" s="373" t="s">
        <v>520</v>
      </c>
      <c r="B314" s="275" t="s">
        <v>1063</v>
      </c>
      <c r="C314" s="275" t="s">
        <v>1047</v>
      </c>
      <c r="D314" s="275" t="s">
        <v>633</v>
      </c>
      <c r="E314" s="284"/>
      <c r="F314" s="371">
        <f>F315+F316+F318+F317</f>
        <v>45876690.81</v>
      </c>
    </row>
    <row r="315" spans="1:6" ht="39">
      <c r="A315" s="343" t="s">
        <v>522</v>
      </c>
      <c r="B315" s="275" t="s">
        <v>1063</v>
      </c>
      <c r="C315" s="275" t="s">
        <v>1047</v>
      </c>
      <c r="D315" s="275" t="s">
        <v>633</v>
      </c>
      <c r="E315" s="284" t="s">
        <v>523</v>
      </c>
      <c r="F315" s="371">
        <f>22202400+72259</f>
        <v>22274659</v>
      </c>
    </row>
    <row r="316" spans="1:6" ht="26.25">
      <c r="A316" s="343" t="s">
        <v>516</v>
      </c>
      <c r="B316" s="275" t="s">
        <v>1063</v>
      </c>
      <c r="C316" s="275" t="s">
        <v>1047</v>
      </c>
      <c r="D316" s="275" t="s">
        <v>633</v>
      </c>
      <c r="E316" s="284" t="s">
        <v>517</v>
      </c>
      <c r="F316" s="371">
        <f>17709905.81+167564+622840+63778+377788+2660079-25000</f>
        <v>21576954.81</v>
      </c>
    </row>
    <row r="317" spans="1:6" ht="26.25">
      <c r="A317" s="396" t="s">
        <v>751</v>
      </c>
      <c r="B317" s="275" t="s">
        <v>1063</v>
      </c>
      <c r="C317" s="275" t="s">
        <v>1047</v>
      </c>
      <c r="D317" s="275" t="s">
        <v>633</v>
      </c>
      <c r="E317" s="284" t="s">
        <v>752</v>
      </c>
      <c r="F317" s="371">
        <f>25872</f>
        <v>25872</v>
      </c>
    </row>
    <row r="318" spans="1:6" ht="13.5">
      <c r="A318" s="373" t="s">
        <v>524</v>
      </c>
      <c r="B318" s="275" t="s">
        <v>1063</v>
      </c>
      <c r="C318" s="275" t="s">
        <v>1047</v>
      </c>
      <c r="D318" s="275" t="s">
        <v>633</v>
      </c>
      <c r="E318" s="284" t="s">
        <v>525</v>
      </c>
      <c r="F318" s="371">
        <f>1924385+16368+2500+2000-2000+4034+51918</f>
        <v>1999205</v>
      </c>
    </row>
    <row r="319" spans="1:6" ht="39">
      <c r="A319" s="385" t="s">
        <v>1087</v>
      </c>
      <c r="B319" s="275" t="s">
        <v>1063</v>
      </c>
      <c r="C319" s="275" t="s">
        <v>1047</v>
      </c>
      <c r="D319" s="275" t="s">
        <v>722</v>
      </c>
      <c r="E319" s="284"/>
      <c r="F319" s="371">
        <f>F320</f>
        <v>2185800</v>
      </c>
    </row>
    <row r="320" spans="1:6" ht="52.5">
      <c r="A320" s="386" t="s">
        <v>1088</v>
      </c>
      <c r="B320" s="275" t="s">
        <v>1063</v>
      </c>
      <c r="C320" s="275" t="s">
        <v>1047</v>
      </c>
      <c r="D320" s="443" t="s">
        <v>737</v>
      </c>
      <c r="E320" s="284"/>
      <c r="F320" s="371">
        <f>F321</f>
        <v>2185800</v>
      </c>
    </row>
    <row r="321" spans="1:6" ht="26.25">
      <c r="A321" s="373" t="s">
        <v>745</v>
      </c>
      <c r="B321" s="275" t="s">
        <v>1063</v>
      </c>
      <c r="C321" s="275" t="s">
        <v>1047</v>
      </c>
      <c r="D321" s="275" t="s">
        <v>746</v>
      </c>
      <c r="E321" s="284"/>
      <c r="F321" s="371">
        <f>F324+F322</f>
        <v>2185800</v>
      </c>
    </row>
    <row r="322" spans="1:6" ht="24">
      <c r="A322" s="474" t="s">
        <v>747</v>
      </c>
      <c r="B322" s="275" t="s">
        <v>1063</v>
      </c>
      <c r="C322" s="275" t="s">
        <v>1047</v>
      </c>
      <c r="D322" s="275" t="s">
        <v>748</v>
      </c>
      <c r="E322" s="284"/>
      <c r="F322" s="371">
        <f>F323</f>
        <v>1748640</v>
      </c>
    </row>
    <row r="323" spans="1:6" ht="26.25">
      <c r="A323" s="396" t="s">
        <v>751</v>
      </c>
      <c r="B323" s="275" t="s">
        <v>1063</v>
      </c>
      <c r="C323" s="275" t="s">
        <v>1047</v>
      </c>
      <c r="D323" s="275" t="s">
        <v>748</v>
      </c>
      <c r="E323" s="284" t="s">
        <v>752</v>
      </c>
      <c r="F323" s="371">
        <f>1748640</f>
        <v>1748640</v>
      </c>
    </row>
    <row r="324" spans="1:6" ht="26.25">
      <c r="A324" s="373" t="s">
        <v>749</v>
      </c>
      <c r="B324" s="275" t="s">
        <v>1063</v>
      </c>
      <c r="C324" s="275" t="s">
        <v>1047</v>
      </c>
      <c r="D324" s="275" t="s">
        <v>750</v>
      </c>
      <c r="E324" s="284"/>
      <c r="F324" s="371">
        <f>F325</f>
        <v>437160</v>
      </c>
    </row>
    <row r="325" spans="1:6" ht="26.25">
      <c r="A325" s="396" t="s">
        <v>751</v>
      </c>
      <c r="B325" s="275" t="s">
        <v>1063</v>
      </c>
      <c r="C325" s="275" t="s">
        <v>1047</v>
      </c>
      <c r="D325" s="275" t="s">
        <v>750</v>
      </c>
      <c r="E325" s="284" t="s">
        <v>752</v>
      </c>
      <c r="F325" s="371">
        <f>460000-22840</f>
        <v>437160</v>
      </c>
    </row>
    <row r="326" spans="1:6" ht="13.5">
      <c r="A326" s="370" t="s">
        <v>1105</v>
      </c>
      <c r="B326" s="275" t="s">
        <v>1063</v>
      </c>
      <c r="C326" s="275" t="s">
        <v>1049</v>
      </c>
      <c r="D326" s="275"/>
      <c r="E326" s="284"/>
      <c r="F326" s="371">
        <f>F327+F356+F364</f>
        <v>269755814.34000003</v>
      </c>
    </row>
    <row r="327" spans="1:6" ht="26.25">
      <c r="A327" s="370" t="s">
        <v>611</v>
      </c>
      <c r="B327" s="275" t="s">
        <v>1063</v>
      </c>
      <c r="C327" s="275" t="s">
        <v>1049</v>
      </c>
      <c r="D327" s="275" t="s">
        <v>612</v>
      </c>
      <c r="E327" s="284"/>
      <c r="F327" s="371">
        <f>F328</f>
        <v>269578014.34000003</v>
      </c>
    </row>
    <row r="328" spans="1:6" s="308" customFormat="1" ht="39">
      <c r="A328" s="367" t="s">
        <v>613</v>
      </c>
      <c r="B328" s="443" t="s">
        <v>1063</v>
      </c>
      <c r="C328" s="443" t="s">
        <v>1049</v>
      </c>
      <c r="D328" s="443" t="s">
        <v>614</v>
      </c>
      <c r="E328" s="448"/>
      <c r="F328" s="468">
        <f>F329+F332</f>
        <v>269578014.34000003</v>
      </c>
    </row>
    <row r="329" spans="1:6" s="308" customFormat="1" ht="13.5">
      <c r="A329" s="406" t="s">
        <v>1211</v>
      </c>
      <c r="B329" s="275" t="s">
        <v>1063</v>
      </c>
      <c r="C329" s="275" t="s">
        <v>1049</v>
      </c>
      <c r="D329" s="275" t="s">
        <v>1212</v>
      </c>
      <c r="E329" s="448"/>
      <c r="F329" s="371">
        <f>F330</f>
        <v>2000000</v>
      </c>
    </row>
    <row r="330" spans="1:6" s="308" customFormat="1" ht="26.25">
      <c r="A330" s="406" t="s">
        <v>638</v>
      </c>
      <c r="B330" s="275" t="s">
        <v>1063</v>
      </c>
      <c r="C330" s="275" t="s">
        <v>1049</v>
      </c>
      <c r="D330" s="275" t="s">
        <v>1213</v>
      </c>
      <c r="E330" s="448"/>
      <c r="F330" s="371">
        <f>F331</f>
        <v>2000000</v>
      </c>
    </row>
    <row r="331" spans="1:6" s="308" customFormat="1" ht="26.25">
      <c r="A331" s="343" t="s">
        <v>516</v>
      </c>
      <c r="B331" s="275" t="s">
        <v>1063</v>
      </c>
      <c r="C331" s="275" t="s">
        <v>1049</v>
      </c>
      <c r="D331" s="275" t="s">
        <v>1213</v>
      </c>
      <c r="E331" s="284" t="s">
        <v>517</v>
      </c>
      <c r="F331" s="371">
        <f>786836.4+1300000-86836.4</f>
        <v>2000000</v>
      </c>
    </row>
    <row r="332" spans="1:6" ht="26.25">
      <c r="A332" s="373" t="s">
        <v>634</v>
      </c>
      <c r="B332" s="275" t="s">
        <v>1063</v>
      </c>
      <c r="C332" s="275" t="s">
        <v>1049</v>
      </c>
      <c r="D332" s="275" t="s">
        <v>635</v>
      </c>
      <c r="E332" s="284"/>
      <c r="F332" s="371">
        <f>F333+F340+F342+F344+F346+F348+F350+F354+F336+F338</f>
        <v>267578014.34</v>
      </c>
    </row>
    <row r="333" spans="1:6" ht="78.75">
      <c r="A333" s="493" t="s">
        <v>640</v>
      </c>
      <c r="B333" s="275" t="s">
        <v>1063</v>
      </c>
      <c r="C333" s="275" t="s">
        <v>1049</v>
      </c>
      <c r="D333" s="275" t="s">
        <v>641</v>
      </c>
      <c r="E333" s="284"/>
      <c r="F333" s="371">
        <f>F334+F335</f>
        <v>216205718</v>
      </c>
    </row>
    <row r="334" spans="1:6" ht="39">
      <c r="A334" s="343" t="s">
        <v>522</v>
      </c>
      <c r="B334" s="275" t="s">
        <v>1063</v>
      </c>
      <c r="C334" s="275" t="s">
        <v>1049</v>
      </c>
      <c r="D334" s="275" t="s">
        <v>641</v>
      </c>
      <c r="E334" s="284" t="s">
        <v>523</v>
      </c>
      <c r="F334" s="371">
        <f>186909233+22376668</f>
        <v>209285901</v>
      </c>
    </row>
    <row r="335" spans="1:6" ht="26.25">
      <c r="A335" s="343" t="s">
        <v>516</v>
      </c>
      <c r="B335" s="275" t="s">
        <v>1063</v>
      </c>
      <c r="C335" s="275" t="s">
        <v>1049</v>
      </c>
      <c r="D335" s="275" t="s">
        <v>641</v>
      </c>
      <c r="E335" s="284" t="s">
        <v>517</v>
      </c>
      <c r="F335" s="371">
        <v>6919817</v>
      </c>
    </row>
    <row r="336" spans="1:6" ht="26.25">
      <c r="A336" s="493" t="s">
        <v>625</v>
      </c>
      <c r="B336" s="275" t="s">
        <v>1063</v>
      </c>
      <c r="C336" s="275" t="s">
        <v>1049</v>
      </c>
      <c r="D336" s="275" t="s">
        <v>648</v>
      </c>
      <c r="E336" s="284"/>
      <c r="F336" s="371">
        <f>F337</f>
        <v>1607171</v>
      </c>
    </row>
    <row r="337" spans="1:6" ht="26.25">
      <c r="A337" s="343" t="s">
        <v>516</v>
      </c>
      <c r="B337" s="275" t="s">
        <v>1063</v>
      </c>
      <c r="C337" s="275" t="s">
        <v>1049</v>
      </c>
      <c r="D337" s="275" t="s">
        <v>648</v>
      </c>
      <c r="E337" s="284" t="s">
        <v>517</v>
      </c>
      <c r="F337" s="371">
        <f>1607171</f>
        <v>1607171</v>
      </c>
    </row>
    <row r="338" spans="1:6" ht="26.25">
      <c r="A338" s="493" t="s">
        <v>627</v>
      </c>
      <c r="B338" s="275" t="s">
        <v>1063</v>
      </c>
      <c r="C338" s="275" t="s">
        <v>1049</v>
      </c>
      <c r="D338" s="275" t="s">
        <v>649</v>
      </c>
      <c r="E338" s="284"/>
      <c r="F338" s="371">
        <f>F339</f>
        <v>865399</v>
      </c>
    </row>
    <row r="339" spans="1:6" ht="24.75" customHeight="1">
      <c r="A339" s="343" t="s">
        <v>516</v>
      </c>
      <c r="B339" s="275" t="s">
        <v>1063</v>
      </c>
      <c r="C339" s="275" t="s">
        <v>1049</v>
      </c>
      <c r="D339" s="275" t="s">
        <v>649</v>
      </c>
      <c r="E339" s="284" t="s">
        <v>517</v>
      </c>
      <c r="F339" s="371">
        <f>826214.9+39184.1</f>
        <v>865399</v>
      </c>
    </row>
    <row r="340" spans="1:6" ht="13.5">
      <c r="A340" s="493" t="s">
        <v>642</v>
      </c>
      <c r="B340" s="275" t="s">
        <v>1063</v>
      </c>
      <c r="C340" s="275" t="s">
        <v>1049</v>
      </c>
      <c r="D340" s="275" t="s">
        <v>643</v>
      </c>
      <c r="E340" s="284"/>
      <c r="F340" s="371">
        <f>F341</f>
        <v>889886</v>
      </c>
    </row>
    <row r="341" spans="1:6" ht="26.25">
      <c r="A341" s="343" t="s">
        <v>516</v>
      </c>
      <c r="B341" s="275" t="s">
        <v>1063</v>
      </c>
      <c r="C341" s="275" t="s">
        <v>1049</v>
      </c>
      <c r="D341" s="275" t="s">
        <v>643</v>
      </c>
      <c r="E341" s="284" t="s">
        <v>517</v>
      </c>
      <c r="F341" s="371">
        <f>889886</f>
        <v>889886</v>
      </c>
    </row>
    <row r="342" spans="1:6" ht="39">
      <c r="A342" s="383" t="s">
        <v>1215</v>
      </c>
      <c r="B342" s="275" t="s">
        <v>1063</v>
      </c>
      <c r="C342" s="275" t="s">
        <v>1049</v>
      </c>
      <c r="D342" s="275" t="s">
        <v>645</v>
      </c>
      <c r="E342" s="284"/>
      <c r="F342" s="371">
        <f>F343</f>
        <v>1369687</v>
      </c>
    </row>
    <row r="343" spans="1:6" ht="29.25" customHeight="1">
      <c r="A343" s="343" t="s">
        <v>516</v>
      </c>
      <c r="B343" s="275" t="s">
        <v>1063</v>
      </c>
      <c r="C343" s="275" t="s">
        <v>1049</v>
      </c>
      <c r="D343" s="275" t="s">
        <v>645</v>
      </c>
      <c r="E343" s="284" t="s">
        <v>517</v>
      </c>
      <c r="F343" s="371">
        <f>1468800-99113</f>
        <v>1369687</v>
      </c>
    </row>
    <row r="344" spans="1:6" ht="52.5">
      <c r="A344" s="493" t="s">
        <v>646</v>
      </c>
      <c r="B344" s="275" t="s">
        <v>1063</v>
      </c>
      <c r="C344" s="275" t="s">
        <v>1049</v>
      </c>
      <c r="D344" s="275" t="s">
        <v>647</v>
      </c>
      <c r="E344" s="284"/>
      <c r="F344" s="371">
        <f>F345</f>
        <v>48449</v>
      </c>
    </row>
    <row r="345" spans="1:6" ht="26.25">
      <c r="A345" s="343" t="s">
        <v>516</v>
      </c>
      <c r="B345" s="275" t="s">
        <v>1063</v>
      </c>
      <c r="C345" s="275" t="s">
        <v>1049</v>
      </c>
      <c r="D345" s="275" t="s">
        <v>647</v>
      </c>
      <c r="E345" s="284" t="s">
        <v>517</v>
      </c>
      <c r="F345" s="371">
        <f>48449</f>
        <v>48449</v>
      </c>
    </row>
    <row r="346" spans="1:6" ht="39">
      <c r="A346" s="493" t="s">
        <v>1106</v>
      </c>
      <c r="B346" s="275" t="s">
        <v>1063</v>
      </c>
      <c r="C346" s="275" t="s">
        <v>1049</v>
      </c>
      <c r="D346" s="275" t="s">
        <v>651</v>
      </c>
      <c r="E346" s="284"/>
      <c r="F346" s="371">
        <f>F347</f>
        <v>500000</v>
      </c>
    </row>
    <row r="347" spans="1:6" ht="24.75" customHeight="1">
      <c r="A347" s="343" t="s">
        <v>516</v>
      </c>
      <c r="B347" s="275" t="s">
        <v>1063</v>
      </c>
      <c r="C347" s="275" t="s">
        <v>1049</v>
      </c>
      <c r="D347" s="275" t="s">
        <v>651</v>
      </c>
      <c r="E347" s="284" t="s">
        <v>517</v>
      </c>
      <c r="F347" s="371">
        <v>500000</v>
      </c>
    </row>
    <row r="348" spans="1:6" ht="18.75" customHeight="1" hidden="1">
      <c r="A348" s="401" t="s">
        <v>652</v>
      </c>
      <c r="B348" s="275" t="s">
        <v>1063</v>
      </c>
      <c r="C348" s="275" t="s">
        <v>1049</v>
      </c>
      <c r="D348" s="275" t="s">
        <v>653</v>
      </c>
      <c r="E348" s="284"/>
      <c r="F348" s="371">
        <f>F349</f>
        <v>0</v>
      </c>
    </row>
    <row r="349" spans="1:6" ht="39" hidden="1">
      <c r="A349" s="343" t="s">
        <v>522</v>
      </c>
      <c r="B349" s="275" t="s">
        <v>1063</v>
      </c>
      <c r="C349" s="275" t="s">
        <v>1049</v>
      </c>
      <c r="D349" s="275" t="s">
        <v>653</v>
      </c>
      <c r="E349" s="284" t="s">
        <v>523</v>
      </c>
      <c r="F349" s="371"/>
    </row>
    <row r="350" spans="1:6" ht="26.25">
      <c r="A350" s="373" t="s">
        <v>520</v>
      </c>
      <c r="B350" s="275" t="s">
        <v>1063</v>
      </c>
      <c r="C350" s="275" t="s">
        <v>1049</v>
      </c>
      <c r="D350" s="275" t="s">
        <v>654</v>
      </c>
      <c r="E350" s="284"/>
      <c r="F350" s="371">
        <f>F351+F353+F352</f>
        <v>45914104.34</v>
      </c>
    </row>
    <row r="351" spans="1:6" ht="26.25">
      <c r="A351" s="343" t="s">
        <v>516</v>
      </c>
      <c r="B351" s="275" t="s">
        <v>1063</v>
      </c>
      <c r="C351" s="275" t="s">
        <v>1049</v>
      </c>
      <c r="D351" s="275" t="s">
        <v>654</v>
      </c>
      <c r="E351" s="284" t="s">
        <v>517</v>
      </c>
      <c r="F351" s="371">
        <f>33563717.34+1989489+2579000+99113+1841000-2054000+9812+514523+38350+3560683</f>
        <v>42141687.34</v>
      </c>
    </row>
    <row r="352" spans="1:6" ht="26.25">
      <c r="A352" s="396" t="s">
        <v>751</v>
      </c>
      <c r="B352" s="275" t="s">
        <v>1063</v>
      </c>
      <c r="C352" s="275" t="s">
        <v>1049</v>
      </c>
      <c r="D352" s="275" t="s">
        <v>654</v>
      </c>
      <c r="E352" s="284" t="s">
        <v>752</v>
      </c>
      <c r="F352" s="371">
        <f>600000-400000+194802</f>
        <v>394802</v>
      </c>
    </row>
    <row r="353" spans="1:6" ht="13.5">
      <c r="A353" s="373" t="s">
        <v>524</v>
      </c>
      <c r="B353" s="275" t="s">
        <v>1063</v>
      </c>
      <c r="C353" s="275" t="s">
        <v>1049</v>
      </c>
      <c r="D353" s="275" t="s">
        <v>654</v>
      </c>
      <c r="E353" s="284" t="s">
        <v>525</v>
      </c>
      <c r="F353" s="371">
        <f>2133738+1135029+54100+2166+52582</f>
        <v>3377615</v>
      </c>
    </row>
    <row r="354" spans="1:6" ht="13.5">
      <c r="A354" s="343" t="s">
        <v>655</v>
      </c>
      <c r="B354" s="275" t="s">
        <v>1063</v>
      </c>
      <c r="C354" s="275" t="s">
        <v>1049</v>
      </c>
      <c r="D354" s="275" t="s">
        <v>656</v>
      </c>
      <c r="E354" s="284"/>
      <c r="F354" s="371">
        <f>F355</f>
        <v>177600</v>
      </c>
    </row>
    <row r="355" spans="1:6" ht="26.25">
      <c r="A355" s="343" t="s">
        <v>516</v>
      </c>
      <c r="B355" s="275" t="s">
        <v>1063</v>
      </c>
      <c r="C355" s="275" t="s">
        <v>1049</v>
      </c>
      <c r="D355" s="275" t="s">
        <v>656</v>
      </c>
      <c r="E355" s="284" t="s">
        <v>517</v>
      </c>
      <c r="F355" s="371">
        <f>177600</f>
        <v>177600</v>
      </c>
    </row>
    <row r="356" spans="1:6" ht="39">
      <c r="A356" s="496" t="s">
        <v>822</v>
      </c>
      <c r="B356" s="275" t="s">
        <v>1063</v>
      </c>
      <c r="C356" s="275" t="s">
        <v>1049</v>
      </c>
      <c r="D356" s="289" t="s">
        <v>823</v>
      </c>
      <c r="E356" s="284"/>
      <c r="F356" s="371">
        <f>F357</f>
        <v>167800</v>
      </c>
    </row>
    <row r="357" spans="1:6" s="308" customFormat="1" ht="66">
      <c r="A357" s="497" t="s">
        <v>843</v>
      </c>
      <c r="B357" s="443" t="s">
        <v>1063</v>
      </c>
      <c r="C357" s="443" t="s">
        <v>1049</v>
      </c>
      <c r="D357" s="453" t="s">
        <v>844</v>
      </c>
      <c r="E357" s="448"/>
      <c r="F357" s="468">
        <f>F358+F361</f>
        <v>167800</v>
      </c>
    </row>
    <row r="358" spans="1:6" ht="26.25" hidden="1">
      <c r="A358" s="498" t="s">
        <v>845</v>
      </c>
      <c r="B358" s="275" t="s">
        <v>1063</v>
      </c>
      <c r="C358" s="275" t="s">
        <v>1049</v>
      </c>
      <c r="D358" s="289" t="s">
        <v>846</v>
      </c>
      <c r="E358" s="284"/>
      <c r="F358" s="371">
        <f>F359</f>
        <v>0</v>
      </c>
    </row>
    <row r="359" spans="1:6" ht="26.25" hidden="1">
      <c r="A359" s="373" t="s">
        <v>847</v>
      </c>
      <c r="B359" s="275" t="s">
        <v>1063</v>
      </c>
      <c r="C359" s="275" t="s">
        <v>1049</v>
      </c>
      <c r="D359" s="289" t="s">
        <v>848</v>
      </c>
      <c r="E359" s="284"/>
      <c r="F359" s="371">
        <f>F360</f>
        <v>0</v>
      </c>
    </row>
    <row r="360" spans="1:6" ht="26.25" hidden="1">
      <c r="A360" s="343" t="s">
        <v>516</v>
      </c>
      <c r="B360" s="275" t="s">
        <v>1063</v>
      </c>
      <c r="C360" s="275" t="s">
        <v>1049</v>
      </c>
      <c r="D360" s="289" t="s">
        <v>848</v>
      </c>
      <c r="E360" s="284" t="s">
        <v>517</v>
      </c>
      <c r="F360" s="371"/>
    </row>
    <row r="361" spans="1:6" ht="52.5">
      <c r="A361" s="498" t="s">
        <v>849</v>
      </c>
      <c r="B361" s="275" t="s">
        <v>1063</v>
      </c>
      <c r="C361" s="275" t="s">
        <v>1049</v>
      </c>
      <c r="D361" s="289" t="s">
        <v>850</v>
      </c>
      <c r="E361" s="284"/>
      <c r="F361" s="371">
        <f>F362</f>
        <v>167800</v>
      </c>
    </row>
    <row r="362" spans="1:6" ht="26.25">
      <c r="A362" s="373" t="s">
        <v>847</v>
      </c>
      <c r="B362" s="275" t="s">
        <v>1063</v>
      </c>
      <c r="C362" s="275" t="s">
        <v>1049</v>
      </c>
      <c r="D362" s="289" t="s">
        <v>851</v>
      </c>
      <c r="E362" s="284"/>
      <c r="F362" s="371">
        <f>F363</f>
        <v>167800</v>
      </c>
    </row>
    <row r="363" spans="1:6" ht="26.25">
      <c r="A363" s="343" t="s">
        <v>516</v>
      </c>
      <c r="B363" s="275" t="s">
        <v>1063</v>
      </c>
      <c r="C363" s="275" t="s">
        <v>1049</v>
      </c>
      <c r="D363" s="289" t="s">
        <v>851</v>
      </c>
      <c r="E363" s="284" t="s">
        <v>517</v>
      </c>
      <c r="F363" s="371">
        <v>167800</v>
      </c>
    </row>
    <row r="364" spans="1:6" ht="26.25">
      <c r="A364" s="494" t="s">
        <v>937</v>
      </c>
      <c r="B364" s="275" t="s">
        <v>1063</v>
      </c>
      <c r="C364" s="275" t="s">
        <v>1049</v>
      </c>
      <c r="D364" s="275" t="s">
        <v>938</v>
      </c>
      <c r="E364" s="303"/>
      <c r="F364" s="371">
        <f>F365</f>
        <v>10000</v>
      </c>
    </row>
    <row r="365" spans="1:6" ht="39">
      <c r="A365" s="376" t="s">
        <v>939</v>
      </c>
      <c r="B365" s="275" t="s">
        <v>1063</v>
      </c>
      <c r="C365" s="275" t="s">
        <v>1049</v>
      </c>
      <c r="D365" s="275" t="s">
        <v>940</v>
      </c>
      <c r="E365" s="303"/>
      <c r="F365" s="371">
        <f>F366</f>
        <v>10000</v>
      </c>
    </row>
    <row r="366" spans="1:6" ht="26.25">
      <c r="A366" s="332" t="s">
        <v>941</v>
      </c>
      <c r="B366" s="275" t="s">
        <v>1063</v>
      </c>
      <c r="C366" s="275" t="s">
        <v>1049</v>
      </c>
      <c r="D366" s="275" t="s">
        <v>942</v>
      </c>
      <c r="E366" s="303"/>
      <c r="F366" s="371">
        <f>F367</f>
        <v>10000</v>
      </c>
    </row>
    <row r="367" spans="1:6" ht="13.5">
      <c r="A367" s="332" t="s">
        <v>943</v>
      </c>
      <c r="B367" s="275" t="s">
        <v>1063</v>
      </c>
      <c r="C367" s="275" t="s">
        <v>1049</v>
      </c>
      <c r="D367" s="275" t="s">
        <v>944</v>
      </c>
      <c r="E367" s="303"/>
      <c r="F367" s="371">
        <f>F368</f>
        <v>10000</v>
      </c>
    </row>
    <row r="368" spans="1:6" ht="26.25">
      <c r="A368" s="343" t="s">
        <v>516</v>
      </c>
      <c r="B368" s="275" t="s">
        <v>1063</v>
      </c>
      <c r="C368" s="275" t="s">
        <v>1049</v>
      </c>
      <c r="D368" s="275" t="s">
        <v>944</v>
      </c>
      <c r="E368" s="284" t="s">
        <v>517</v>
      </c>
      <c r="F368" s="371">
        <v>10000</v>
      </c>
    </row>
    <row r="369" spans="1:8" ht="13.5">
      <c r="A369" s="343" t="s">
        <v>1111</v>
      </c>
      <c r="B369" s="275" t="s">
        <v>1063</v>
      </c>
      <c r="C369" s="275" t="s">
        <v>1051</v>
      </c>
      <c r="D369" s="275"/>
      <c r="E369" s="284"/>
      <c r="F369" s="371">
        <f>F370</f>
        <v>43334197.04</v>
      </c>
      <c r="H369" s="306"/>
    </row>
    <row r="370" spans="1:6" ht="26.25">
      <c r="A370" s="370" t="s">
        <v>611</v>
      </c>
      <c r="B370" s="275" t="s">
        <v>1063</v>
      </c>
      <c r="C370" s="275" t="s">
        <v>1051</v>
      </c>
      <c r="D370" s="275" t="s">
        <v>612</v>
      </c>
      <c r="E370" s="284"/>
      <c r="F370" s="371">
        <f>F371</f>
        <v>43334197.04</v>
      </c>
    </row>
    <row r="371" spans="1:6" ht="39">
      <c r="A371" s="343" t="s">
        <v>665</v>
      </c>
      <c r="B371" s="275" t="s">
        <v>1063</v>
      </c>
      <c r="C371" s="275" t="s">
        <v>1051</v>
      </c>
      <c r="D371" s="443" t="s">
        <v>666</v>
      </c>
      <c r="E371" s="284"/>
      <c r="F371" s="371">
        <f>F372+F378</f>
        <v>43334197.04</v>
      </c>
    </row>
    <row r="372" spans="1:6" ht="26.25">
      <c r="A372" s="373" t="s">
        <v>667</v>
      </c>
      <c r="B372" s="275" t="s">
        <v>1063</v>
      </c>
      <c r="C372" s="275" t="s">
        <v>1051</v>
      </c>
      <c r="D372" s="275" t="s">
        <v>668</v>
      </c>
      <c r="E372" s="284"/>
      <c r="F372" s="371">
        <f>F373</f>
        <v>23510212</v>
      </c>
    </row>
    <row r="373" spans="1:6" ht="26.25">
      <c r="A373" s="373" t="s">
        <v>520</v>
      </c>
      <c r="B373" s="275" t="s">
        <v>1063</v>
      </c>
      <c r="C373" s="275" t="s">
        <v>1051</v>
      </c>
      <c r="D373" s="275" t="s">
        <v>669</v>
      </c>
      <c r="E373" s="284"/>
      <c r="F373" s="371">
        <f>F374+F375+F377+F376</f>
        <v>23510212</v>
      </c>
    </row>
    <row r="374" spans="1:6" ht="39">
      <c r="A374" s="343" t="s">
        <v>522</v>
      </c>
      <c r="B374" s="275" t="s">
        <v>1063</v>
      </c>
      <c r="C374" s="275" t="s">
        <v>1051</v>
      </c>
      <c r="D374" s="275" t="s">
        <v>669</v>
      </c>
      <c r="E374" s="284" t="s">
        <v>523</v>
      </c>
      <c r="F374" s="371">
        <f>14400300+1054655</f>
        <v>15454955</v>
      </c>
    </row>
    <row r="375" spans="1:6" ht="26.25">
      <c r="A375" s="343" t="s">
        <v>516</v>
      </c>
      <c r="B375" s="275" t="s">
        <v>1063</v>
      </c>
      <c r="C375" s="275" t="s">
        <v>1051</v>
      </c>
      <c r="D375" s="275" t="s">
        <v>669</v>
      </c>
      <c r="E375" s="284" t="s">
        <v>517</v>
      </c>
      <c r="F375" s="371">
        <f>644300+5760+3675000+798279+367800+80000+10681+100000-78751</f>
        <v>5603069</v>
      </c>
    </row>
    <row r="376" spans="1:6" ht="26.25">
      <c r="A376" s="396" t="s">
        <v>751</v>
      </c>
      <c r="B376" s="275" t="s">
        <v>1063</v>
      </c>
      <c r="C376" s="275" t="s">
        <v>1051</v>
      </c>
      <c r="D376" s="275" t="s">
        <v>669</v>
      </c>
      <c r="E376" s="284" t="s">
        <v>752</v>
      </c>
      <c r="F376" s="371">
        <f>1510000+1640000-3000000+2197730</f>
        <v>2347730</v>
      </c>
    </row>
    <row r="377" spans="1:6" ht="13.5">
      <c r="A377" s="373" t="s">
        <v>524</v>
      </c>
      <c r="B377" s="275" t="s">
        <v>1063</v>
      </c>
      <c r="C377" s="275" t="s">
        <v>1051</v>
      </c>
      <c r="D377" s="275" t="s">
        <v>669</v>
      </c>
      <c r="E377" s="284" t="s">
        <v>525</v>
      </c>
      <c r="F377" s="371">
        <f>115463-13005+2000</f>
        <v>104458</v>
      </c>
    </row>
    <row r="378" spans="1:6" ht="13.5">
      <c r="A378" s="373" t="s">
        <v>670</v>
      </c>
      <c r="B378" s="275" t="s">
        <v>1063</v>
      </c>
      <c r="C378" s="275" t="s">
        <v>1051</v>
      </c>
      <c r="D378" s="275" t="s">
        <v>671</v>
      </c>
      <c r="E378" s="284"/>
      <c r="F378" s="371">
        <f>F379</f>
        <v>19823985.04</v>
      </c>
    </row>
    <row r="379" spans="1:6" ht="26.25">
      <c r="A379" s="373" t="s">
        <v>520</v>
      </c>
      <c r="B379" s="275" t="s">
        <v>1063</v>
      </c>
      <c r="C379" s="275" t="s">
        <v>1051</v>
      </c>
      <c r="D379" s="275" t="s">
        <v>672</v>
      </c>
      <c r="E379" s="284"/>
      <c r="F379" s="371">
        <f>F380+F381+F382</f>
        <v>19823985.04</v>
      </c>
    </row>
    <row r="380" spans="1:6" ht="39">
      <c r="A380" s="343" t="s">
        <v>522</v>
      </c>
      <c r="B380" s="275" t="s">
        <v>1063</v>
      </c>
      <c r="C380" s="275" t="s">
        <v>1051</v>
      </c>
      <c r="D380" s="275" t="s">
        <v>672</v>
      </c>
      <c r="E380" s="284" t="s">
        <v>523</v>
      </c>
      <c r="F380" s="371">
        <f>17937600+270967</f>
        <v>18208567</v>
      </c>
    </row>
    <row r="381" spans="1:6" ht="26.25">
      <c r="A381" s="343" t="s">
        <v>516</v>
      </c>
      <c r="B381" s="275" t="s">
        <v>1063</v>
      </c>
      <c r="C381" s="275" t="s">
        <v>1051</v>
      </c>
      <c r="D381" s="275" t="s">
        <v>672</v>
      </c>
      <c r="E381" s="284" t="s">
        <v>517</v>
      </c>
      <c r="F381" s="371">
        <f>688100+61300+400700.04+4900+370000+30000+14718</f>
        <v>1569718.04</v>
      </c>
    </row>
    <row r="382" spans="1:6" ht="13.5">
      <c r="A382" s="373" t="s">
        <v>524</v>
      </c>
      <c r="B382" s="275" t="s">
        <v>1063</v>
      </c>
      <c r="C382" s="275" t="s">
        <v>1051</v>
      </c>
      <c r="D382" s="275" t="s">
        <v>672</v>
      </c>
      <c r="E382" s="284" t="s">
        <v>525</v>
      </c>
      <c r="F382" s="371">
        <v>45700</v>
      </c>
    </row>
    <row r="383" spans="1:8" ht="13.5">
      <c r="A383" s="370" t="s">
        <v>1112</v>
      </c>
      <c r="B383" s="275" t="s">
        <v>1063</v>
      </c>
      <c r="C383" s="275" t="s">
        <v>1063</v>
      </c>
      <c r="D383" s="275"/>
      <c r="E383" s="284"/>
      <c r="F383" s="371">
        <f>F384</f>
        <v>4514213.39</v>
      </c>
      <c r="H383" s="306"/>
    </row>
    <row r="384" spans="1:6" ht="52.5">
      <c r="A384" s="373" t="s">
        <v>771</v>
      </c>
      <c r="B384" s="275" t="s">
        <v>1063</v>
      </c>
      <c r="C384" s="275" t="s">
        <v>1063</v>
      </c>
      <c r="D384" s="289" t="s">
        <v>772</v>
      </c>
      <c r="E384" s="284"/>
      <c r="F384" s="371">
        <f>F385+F390</f>
        <v>4514213.39</v>
      </c>
    </row>
    <row r="385" spans="1:6" s="308" customFormat="1" ht="66">
      <c r="A385" s="373" t="s">
        <v>773</v>
      </c>
      <c r="B385" s="443" t="s">
        <v>1063</v>
      </c>
      <c r="C385" s="443" t="s">
        <v>1063</v>
      </c>
      <c r="D385" s="453" t="s">
        <v>774</v>
      </c>
      <c r="E385" s="454"/>
      <c r="F385" s="468">
        <f>F386</f>
        <v>105000</v>
      </c>
    </row>
    <row r="386" spans="1:6" ht="39">
      <c r="A386" s="373" t="s">
        <v>775</v>
      </c>
      <c r="B386" s="275" t="s">
        <v>1063</v>
      </c>
      <c r="C386" s="275" t="s">
        <v>1063</v>
      </c>
      <c r="D386" s="289" t="s">
        <v>776</v>
      </c>
      <c r="E386" s="324"/>
      <c r="F386" s="371">
        <f>F387</f>
        <v>105000</v>
      </c>
    </row>
    <row r="387" spans="1:6" ht="13.5">
      <c r="A387" s="373" t="s">
        <v>777</v>
      </c>
      <c r="B387" s="275" t="s">
        <v>1063</v>
      </c>
      <c r="C387" s="275" t="s">
        <v>1063</v>
      </c>
      <c r="D387" s="289" t="s">
        <v>778</v>
      </c>
      <c r="E387" s="324"/>
      <c r="F387" s="371">
        <f>F388+F389</f>
        <v>105000</v>
      </c>
    </row>
    <row r="388" spans="1:6" ht="26.25">
      <c r="A388" s="343" t="s">
        <v>516</v>
      </c>
      <c r="B388" s="275" t="s">
        <v>1063</v>
      </c>
      <c r="C388" s="275" t="s">
        <v>1063</v>
      </c>
      <c r="D388" s="289" t="s">
        <v>778</v>
      </c>
      <c r="E388" s="324" t="s">
        <v>517</v>
      </c>
      <c r="F388" s="371">
        <f>85000-20000+20000</f>
        <v>85000</v>
      </c>
    </row>
    <row r="389" spans="1:6" ht="13.5">
      <c r="A389" s="370" t="s">
        <v>550</v>
      </c>
      <c r="B389" s="275" t="s">
        <v>1063</v>
      </c>
      <c r="C389" s="275" t="s">
        <v>1063</v>
      </c>
      <c r="D389" s="289" t="s">
        <v>778</v>
      </c>
      <c r="E389" s="324" t="s">
        <v>551</v>
      </c>
      <c r="F389" s="371">
        <v>20000</v>
      </c>
    </row>
    <row r="390" spans="1:6" s="308" customFormat="1" ht="52.5">
      <c r="A390" s="479" t="s">
        <v>788</v>
      </c>
      <c r="B390" s="443" t="s">
        <v>1063</v>
      </c>
      <c r="C390" s="443" t="s">
        <v>1063</v>
      </c>
      <c r="D390" s="453" t="s">
        <v>789</v>
      </c>
      <c r="E390" s="454"/>
      <c r="F390" s="468">
        <f>F391+F403+F400</f>
        <v>4409213.39</v>
      </c>
    </row>
    <row r="391" spans="1:6" ht="26.25">
      <c r="A391" s="373" t="s">
        <v>790</v>
      </c>
      <c r="B391" s="275" t="s">
        <v>1063</v>
      </c>
      <c r="C391" s="275" t="s">
        <v>1063</v>
      </c>
      <c r="D391" s="289" t="s">
        <v>791</v>
      </c>
      <c r="E391" s="324"/>
      <c r="F391" s="371">
        <f>F392+F395+F398</f>
        <v>1733211</v>
      </c>
    </row>
    <row r="392" spans="1:6" ht="14.25" customHeight="1">
      <c r="A392" s="370" t="s">
        <v>792</v>
      </c>
      <c r="B392" s="275" t="s">
        <v>1063</v>
      </c>
      <c r="C392" s="275" t="s">
        <v>1063</v>
      </c>
      <c r="D392" s="289" t="s">
        <v>793</v>
      </c>
      <c r="E392" s="284"/>
      <c r="F392" s="371">
        <f>F393+F394</f>
        <v>615795</v>
      </c>
    </row>
    <row r="393" spans="1:6" ht="26.25">
      <c r="A393" s="343" t="s">
        <v>516</v>
      </c>
      <c r="B393" s="275" t="s">
        <v>1063</v>
      </c>
      <c r="C393" s="275" t="s">
        <v>1063</v>
      </c>
      <c r="D393" s="289" t="s">
        <v>793</v>
      </c>
      <c r="E393" s="324" t="s">
        <v>517</v>
      </c>
      <c r="F393" s="371">
        <f>237417</f>
        <v>237417</v>
      </c>
    </row>
    <row r="394" spans="1:6" ht="13.5">
      <c r="A394" s="370" t="s">
        <v>550</v>
      </c>
      <c r="B394" s="275" t="s">
        <v>1063</v>
      </c>
      <c r="C394" s="275" t="s">
        <v>1063</v>
      </c>
      <c r="D394" s="289" t="s">
        <v>793</v>
      </c>
      <c r="E394" s="324" t="s">
        <v>551</v>
      </c>
      <c r="F394" s="371">
        <f>378378</f>
        <v>378378</v>
      </c>
    </row>
    <row r="395" spans="1:6" ht="13.5">
      <c r="A395" s="493" t="s">
        <v>794</v>
      </c>
      <c r="B395" s="275" t="s">
        <v>1063</v>
      </c>
      <c r="C395" s="275" t="s">
        <v>1063</v>
      </c>
      <c r="D395" s="289" t="s">
        <v>795</v>
      </c>
      <c r="E395" s="284"/>
      <c r="F395" s="371">
        <f>F397+F396</f>
        <v>1102863</v>
      </c>
    </row>
    <row r="396" spans="1:6" ht="26.25">
      <c r="A396" s="343" t="s">
        <v>516</v>
      </c>
      <c r="B396" s="275" t="s">
        <v>1063</v>
      </c>
      <c r="C396" s="275" t="s">
        <v>1063</v>
      </c>
      <c r="D396" s="289" t="s">
        <v>795</v>
      </c>
      <c r="E396" s="284" t="s">
        <v>517</v>
      </c>
      <c r="F396" s="371">
        <v>520743</v>
      </c>
    </row>
    <row r="397" spans="1:6" ht="13.5">
      <c r="A397" s="370" t="s">
        <v>550</v>
      </c>
      <c r="B397" s="275" t="s">
        <v>1063</v>
      </c>
      <c r="C397" s="275" t="s">
        <v>1063</v>
      </c>
      <c r="D397" s="289" t="s">
        <v>795</v>
      </c>
      <c r="E397" s="324" t="s">
        <v>551</v>
      </c>
      <c r="F397" s="371">
        <f>618000-20412-15468</f>
        <v>582120</v>
      </c>
    </row>
    <row r="398" spans="1:6" ht="13.5">
      <c r="A398" s="477" t="s">
        <v>798</v>
      </c>
      <c r="B398" s="275" t="s">
        <v>1063</v>
      </c>
      <c r="C398" s="275" t="s">
        <v>1063</v>
      </c>
      <c r="D398" s="289" t="s">
        <v>1207</v>
      </c>
      <c r="E398" s="284"/>
      <c r="F398" s="371">
        <f>F399</f>
        <v>14553</v>
      </c>
    </row>
    <row r="399" spans="1:6" ht="13.5">
      <c r="A399" s="370" t="s">
        <v>550</v>
      </c>
      <c r="B399" s="275" t="s">
        <v>1063</v>
      </c>
      <c r="C399" s="275" t="s">
        <v>1063</v>
      </c>
      <c r="D399" s="289" t="s">
        <v>1207</v>
      </c>
      <c r="E399" s="324" t="s">
        <v>551</v>
      </c>
      <c r="F399" s="371">
        <f>14553</f>
        <v>14553</v>
      </c>
    </row>
    <row r="400" spans="1:6" ht="13.5">
      <c r="A400" s="373" t="s">
        <v>796</v>
      </c>
      <c r="B400" s="275" t="s">
        <v>1063</v>
      </c>
      <c r="C400" s="275" t="s">
        <v>1063</v>
      </c>
      <c r="D400" s="289" t="s">
        <v>797</v>
      </c>
      <c r="E400" s="324"/>
      <c r="F400" s="371">
        <f>F401</f>
        <v>36000</v>
      </c>
    </row>
    <row r="401" spans="1:6" ht="13.5">
      <c r="A401" s="343" t="s">
        <v>798</v>
      </c>
      <c r="B401" s="275" t="s">
        <v>1063</v>
      </c>
      <c r="C401" s="275" t="s">
        <v>1063</v>
      </c>
      <c r="D401" s="289" t="s">
        <v>799</v>
      </c>
      <c r="E401" s="324"/>
      <c r="F401" s="371">
        <f>F402</f>
        <v>36000</v>
      </c>
    </row>
    <row r="402" spans="1:6" ht="26.25">
      <c r="A402" s="343" t="s">
        <v>516</v>
      </c>
      <c r="B402" s="275" t="s">
        <v>1063</v>
      </c>
      <c r="C402" s="275" t="s">
        <v>1063</v>
      </c>
      <c r="D402" s="289" t="s">
        <v>799</v>
      </c>
      <c r="E402" s="324" t="s">
        <v>517</v>
      </c>
      <c r="F402" s="371">
        <f>36000</f>
        <v>36000</v>
      </c>
    </row>
    <row r="403" spans="1:6" ht="39">
      <c r="A403" s="373" t="s">
        <v>800</v>
      </c>
      <c r="B403" s="275" t="s">
        <v>1063</v>
      </c>
      <c r="C403" s="275" t="s">
        <v>1063</v>
      </c>
      <c r="D403" s="289" t="s">
        <v>801</v>
      </c>
      <c r="E403" s="324"/>
      <c r="F403" s="371">
        <f>F404</f>
        <v>2640002.3899999997</v>
      </c>
    </row>
    <row r="404" spans="1:6" ht="26.25">
      <c r="A404" s="372" t="s">
        <v>520</v>
      </c>
      <c r="B404" s="275" t="s">
        <v>1063</v>
      </c>
      <c r="C404" s="275" t="s">
        <v>1063</v>
      </c>
      <c r="D404" s="289" t="s">
        <v>802</v>
      </c>
      <c r="E404" s="324"/>
      <c r="F404" s="371">
        <f>F405+F406+F407</f>
        <v>2640002.3899999997</v>
      </c>
    </row>
    <row r="405" spans="1:6" ht="26.25">
      <c r="A405" s="370" t="s">
        <v>803</v>
      </c>
      <c r="B405" s="275" t="s">
        <v>1063</v>
      </c>
      <c r="C405" s="275" t="s">
        <v>1063</v>
      </c>
      <c r="D405" s="289" t="s">
        <v>802</v>
      </c>
      <c r="E405" s="284" t="s">
        <v>523</v>
      </c>
      <c r="F405" s="371">
        <v>616000</v>
      </c>
    </row>
    <row r="406" spans="1:6" ht="26.25">
      <c r="A406" s="343" t="s">
        <v>516</v>
      </c>
      <c r="B406" s="275" t="s">
        <v>1063</v>
      </c>
      <c r="C406" s="275" t="s">
        <v>1063</v>
      </c>
      <c r="D406" s="289" t="s">
        <v>802</v>
      </c>
      <c r="E406" s="324" t="s">
        <v>517</v>
      </c>
      <c r="F406" s="371">
        <f>1364002.39+40000+200000+350000</f>
        <v>1954002.39</v>
      </c>
    </row>
    <row r="407" spans="1:6" ht="13.5">
      <c r="A407" s="373" t="s">
        <v>524</v>
      </c>
      <c r="B407" s="275" t="s">
        <v>1063</v>
      </c>
      <c r="C407" s="275" t="s">
        <v>1063</v>
      </c>
      <c r="D407" s="289" t="s">
        <v>802</v>
      </c>
      <c r="E407" s="324" t="s">
        <v>525</v>
      </c>
      <c r="F407" s="371">
        <v>70000</v>
      </c>
    </row>
    <row r="408" spans="1:6" ht="13.5">
      <c r="A408" s="370" t="s">
        <v>1113</v>
      </c>
      <c r="B408" s="275" t="s">
        <v>1063</v>
      </c>
      <c r="C408" s="275" t="s">
        <v>1079</v>
      </c>
      <c r="D408" s="275"/>
      <c r="E408" s="284"/>
      <c r="F408" s="371">
        <f>F409+F421</f>
        <v>9081395</v>
      </c>
    </row>
    <row r="409" spans="1:6" ht="26.25">
      <c r="A409" s="370" t="s">
        <v>611</v>
      </c>
      <c r="B409" s="275" t="s">
        <v>1063</v>
      </c>
      <c r="C409" s="275" t="s">
        <v>1079</v>
      </c>
      <c r="D409" s="275" t="s">
        <v>612</v>
      </c>
      <c r="E409" s="284"/>
      <c r="F409" s="371">
        <f>F410</f>
        <v>9081395</v>
      </c>
    </row>
    <row r="410" spans="1:6" s="308" customFormat="1" ht="52.5">
      <c r="A410" s="494" t="s">
        <v>677</v>
      </c>
      <c r="B410" s="443" t="s">
        <v>1063</v>
      </c>
      <c r="C410" s="443" t="s">
        <v>1079</v>
      </c>
      <c r="D410" s="443" t="s">
        <v>678</v>
      </c>
      <c r="E410" s="448"/>
      <c r="F410" s="468">
        <f>F411+F416</f>
        <v>9081395</v>
      </c>
    </row>
    <row r="411" spans="1:6" ht="26.25">
      <c r="A411" s="373" t="s">
        <v>679</v>
      </c>
      <c r="B411" s="275" t="s">
        <v>1063</v>
      </c>
      <c r="C411" s="275" t="s">
        <v>1079</v>
      </c>
      <c r="D411" s="275" t="s">
        <v>680</v>
      </c>
      <c r="E411" s="284"/>
      <c r="F411" s="371">
        <f>F412</f>
        <v>8858343</v>
      </c>
    </row>
    <row r="412" spans="1:6" ht="26.25">
      <c r="A412" s="373" t="s">
        <v>520</v>
      </c>
      <c r="B412" s="275" t="s">
        <v>1063</v>
      </c>
      <c r="C412" s="275" t="s">
        <v>1079</v>
      </c>
      <c r="D412" s="275" t="s">
        <v>681</v>
      </c>
      <c r="E412" s="284"/>
      <c r="F412" s="371">
        <f>F413+F414+F415</f>
        <v>8858343</v>
      </c>
    </row>
    <row r="413" spans="1:6" ht="39">
      <c r="A413" s="343" t="s">
        <v>522</v>
      </c>
      <c r="B413" s="275" t="s">
        <v>1063</v>
      </c>
      <c r="C413" s="275" t="s">
        <v>1079</v>
      </c>
      <c r="D413" s="275" t="s">
        <v>681</v>
      </c>
      <c r="E413" s="284" t="s">
        <v>523</v>
      </c>
      <c r="F413" s="371">
        <v>7573300</v>
      </c>
    </row>
    <row r="414" spans="1:6" ht="26.25">
      <c r="A414" s="343" t="s">
        <v>516</v>
      </c>
      <c r="B414" s="275" t="s">
        <v>1063</v>
      </c>
      <c r="C414" s="275" t="s">
        <v>1079</v>
      </c>
      <c r="D414" s="275" t="s">
        <v>681</v>
      </c>
      <c r="E414" s="284" t="s">
        <v>517</v>
      </c>
      <c r="F414" s="371">
        <f>517200+35500+100000+467547+60000+7770+27875+25000</f>
        <v>1240892</v>
      </c>
    </row>
    <row r="415" spans="1:6" ht="13.5">
      <c r="A415" s="373" t="s">
        <v>524</v>
      </c>
      <c r="B415" s="275" t="s">
        <v>1063</v>
      </c>
      <c r="C415" s="275" t="s">
        <v>1079</v>
      </c>
      <c r="D415" s="275" t="s">
        <v>681</v>
      </c>
      <c r="E415" s="284" t="s">
        <v>525</v>
      </c>
      <c r="F415" s="371">
        <f>35314-1063+9900</f>
        <v>44151</v>
      </c>
    </row>
    <row r="416" spans="1:6" ht="26.25">
      <c r="A416" s="373" t="s">
        <v>682</v>
      </c>
      <c r="B416" s="275" t="s">
        <v>1063</v>
      </c>
      <c r="C416" s="275" t="s">
        <v>1079</v>
      </c>
      <c r="D416" s="275" t="s">
        <v>683</v>
      </c>
      <c r="E416" s="284"/>
      <c r="F416" s="371">
        <f>F417+F419</f>
        <v>223052</v>
      </c>
    </row>
    <row r="417" spans="1:6" ht="26.25">
      <c r="A417" s="409" t="s">
        <v>684</v>
      </c>
      <c r="B417" s="275" t="s">
        <v>1063</v>
      </c>
      <c r="C417" s="275" t="s">
        <v>1079</v>
      </c>
      <c r="D417" s="275" t="s">
        <v>685</v>
      </c>
      <c r="E417" s="284"/>
      <c r="F417" s="371">
        <f>F418</f>
        <v>223052</v>
      </c>
    </row>
    <row r="418" spans="1:6" ht="39">
      <c r="A418" s="343" t="s">
        <v>522</v>
      </c>
      <c r="B418" s="275" t="s">
        <v>1063</v>
      </c>
      <c r="C418" s="275" t="s">
        <v>1079</v>
      </c>
      <c r="D418" s="275" t="s">
        <v>685</v>
      </c>
      <c r="E418" s="284" t="s">
        <v>523</v>
      </c>
      <c r="F418" s="371">
        <v>223052</v>
      </c>
    </row>
    <row r="419" spans="1:6" ht="13.5" hidden="1">
      <c r="A419" s="343" t="s">
        <v>655</v>
      </c>
      <c r="B419" s="275" t="s">
        <v>1063</v>
      </c>
      <c r="C419" s="275" t="s">
        <v>1079</v>
      </c>
      <c r="D419" s="275" t="s">
        <v>686</v>
      </c>
      <c r="E419" s="284"/>
      <c r="F419" s="371">
        <f>F420</f>
        <v>0</v>
      </c>
    </row>
    <row r="420" spans="1:6" ht="26.25" hidden="1">
      <c r="A420" s="343" t="s">
        <v>516</v>
      </c>
      <c r="B420" s="275" t="s">
        <v>1063</v>
      </c>
      <c r="C420" s="275" t="s">
        <v>1079</v>
      </c>
      <c r="D420" s="275" t="s">
        <v>686</v>
      </c>
      <c r="E420" s="284" t="s">
        <v>517</v>
      </c>
      <c r="F420" s="371"/>
    </row>
    <row r="421" spans="1:6" ht="26.25" hidden="1">
      <c r="A421" s="373" t="s">
        <v>1114</v>
      </c>
      <c r="B421" s="275" t="s">
        <v>1063</v>
      </c>
      <c r="C421" s="275" t="s">
        <v>1079</v>
      </c>
      <c r="D421" s="302" t="s">
        <v>1028</v>
      </c>
      <c r="E421" s="284"/>
      <c r="F421" s="371">
        <f>F422</f>
        <v>0</v>
      </c>
    </row>
    <row r="422" spans="1:6" ht="26.25" hidden="1">
      <c r="A422" s="373" t="s">
        <v>1029</v>
      </c>
      <c r="B422" s="275" t="s">
        <v>1063</v>
      </c>
      <c r="C422" s="275" t="s">
        <v>1079</v>
      </c>
      <c r="D422" s="302" t="s">
        <v>1030</v>
      </c>
      <c r="E422" s="284"/>
      <c r="F422" s="371">
        <f>F423</f>
        <v>0</v>
      </c>
    </row>
    <row r="423" spans="1:6" ht="13.5" hidden="1">
      <c r="A423" s="373" t="s">
        <v>1031</v>
      </c>
      <c r="B423" s="275" t="s">
        <v>1063</v>
      </c>
      <c r="C423" s="275" t="s">
        <v>1079</v>
      </c>
      <c r="D423" s="410" t="s">
        <v>1032</v>
      </c>
      <c r="E423" s="284"/>
      <c r="F423" s="371">
        <f>F424</f>
        <v>0</v>
      </c>
    </row>
    <row r="424" spans="1:6" ht="26.25" hidden="1">
      <c r="A424" s="343" t="s">
        <v>516</v>
      </c>
      <c r="B424" s="275" t="s">
        <v>1063</v>
      </c>
      <c r="C424" s="275" t="s">
        <v>1079</v>
      </c>
      <c r="D424" s="302" t="s">
        <v>1032</v>
      </c>
      <c r="E424" s="284" t="s">
        <v>517</v>
      </c>
      <c r="F424" s="371"/>
    </row>
    <row r="425" spans="1:6" ht="13.5">
      <c r="A425" s="370" t="s">
        <v>1115</v>
      </c>
      <c r="B425" s="275" t="s">
        <v>1082</v>
      </c>
      <c r="C425" s="275"/>
      <c r="D425" s="275"/>
      <c r="E425" s="324"/>
      <c r="F425" s="371">
        <f>F426+F452</f>
        <v>34273618.33</v>
      </c>
    </row>
    <row r="426" spans="1:6" ht="13.5">
      <c r="A426" s="370" t="s">
        <v>1116</v>
      </c>
      <c r="B426" s="275" t="s">
        <v>1082</v>
      </c>
      <c r="C426" s="275" t="s">
        <v>1047</v>
      </c>
      <c r="D426" s="289"/>
      <c r="E426" s="324"/>
      <c r="F426" s="371">
        <f>F427+F443+F448</f>
        <v>30263446.33</v>
      </c>
    </row>
    <row r="427" spans="1:6" ht="26.25">
      <c r="A427" s="370" t="s">
        <v>508</v>
      </c>
      <c r="B427" s="275" t="s">
        <v>1082</v>
      </c>
      <c r="C427" s="275" t="s">
        <v>1047</v>
      </c>
      <c r="D427" s="275" t="s">
        <v>1117</v>
      </c>
      <c r="E427" s="324"/>
      <c r="F427" s="371">
        <f>F428+F437</f>
        <v>30158446.33</v>
      </c>
    </row>
    <row r="428" spans="1:6" s="308" customFormat="1" ht="26.25">
      <c r="A428" s="370" t="s">
        <v>510</v>
      </c>
      <c r="B428" s="443" t="s">
        <v>1118</v>
      </c>
      <c r="C428" s="443" t="s">
        <v>1047</v>
      </c>
      <c r="D428" s="443" t="s">
        <v>511</v>
      </c>
      <c r="E428" s="448"/>
      <c r="F428" s="468">
        <f>F429</f>
        <v>19571985.33</v>
      </c>
    </row>
    <row r="429" spans="1:6" ht="39">
      <c r="A429" s="376" t="s">
        <v>512</v>
      </c>
      <c r="B429" s="275" t="s">
        <v>1118</v>
      </c>
      <c r="C429" s="275" t="s">
        <v>1047</v>
      </c>
      <c r="D429" s="275" t="s">
        <v>513</v>
      </c>
      <c r="E429" s="284"/>
      <c r="F429" s="371">
        <f>F430+F435</f>
        <v>19571985.33</v>
      </c>
    </row>
    <row r="430" spans="1:6" ht="26.25">
      <c r="A430" s="370" t="s">
        <v>520</v>
      </c>
      <c r="B430" s="275" t="s">
        <v>1118</v>
      </c>
      <c r="C430" s="275" t="s">
        <v>1047</v>
      </c>
      <c r="D430" s="275" t="s">
        <v>1121</v>
      </c>
      <c r="E430" s="284"/>
      <c r="F430" s="371">
        <f>F431+F432+F434+F433</f>
        <v>18200985.33</v>
      </c>
    </row>
    <row r="431" spans="1:6" ht="39">
      <c r="A431" s="343" t="s">
        <v>522</v>
      </c>
      <c r="B431" s="275" t="s">
        <v>1118</v>
      </c>
      <c r="C431" s="275" t="s">
        <v>1047</v>
      </c>
      <c r="D431" s="275" t="s">
        <v>1121</v>
      </c>
      <c r="E431" s="284" t="s">
        <v>523</v>
      </c>
      <c r="F431" s="371">
        <f>10775600+213161</f>
        <v>10988761</v>
      </c>
    </row>
    <row r="432" spans="1:6" ht="26.25">
      <c r="A432" s="343" t="s">
        <v>516</v>
      </c>
      <c r="B432" s="275" t="s">
        <v>1118</v>
      </c>
      <c r="C432" s="275" t="s">
        <v>1047</v>
      </c>
      <c r="D432" s="275" t="s">
        <v>1121</v>
      </c>
      <c r="E432" s="284" t="s">
        <v>517</v>
      </c>
      <c r="F432" s="371">
        <f>4476890.33+140000+750000+1127800-750000+93728+750000-22000+4906+250000</f>
        <v>6821324.33</v>
      </c>
    </row>
    <row r="433" spans="1:6" ht="26.25">
      <c r="A433" s="396" t="s">
        <v>751</v>
      </c>
      <c r="B433" s="275" t="s">
        <v>1118</v>
      </c>
      <c r="C433" s="275" t="s">
        <v>1047</v>
      </c>
      <c r="D433" s="275" t="s">
        <v>1121</v>
      </c>
      <c r="E433" s="284" t="s">
        <v>752</v>
      </c>
      <c r="F433" s="371">
        <f>200000</f>
        <v>200000</v>
      </c>
    </row>
    <row r="434" spans="1:6" ht="13.5">
      <c r="A434" s="393" t="s">
        <v>524</v>
      </c>
      <c r="B434" s="275" t="s">
        <v>1118</v>
      </c>
      <c r="C434" s="275" t="s">
        <v>1047</v>
      </c>
      <c r="D434" s="275" t="s">
        <v>1121</v>
      </c>
      <c r="E434" s="284" t="s">
        <v>525</v>
      </c>
      <c r="F434" s="371">
        <f>167400+4000-2500+22000</f>
        <v>190900</v>
      </c>
    </row>
    <row r="435" spans="1:6" ht="26.25">
      <c r="A435" s="343" t="s">
        <v>1216</v>
      </c>
      <c r="B435" s="275" t="s">
        <v>1082</v>
      </c>
      <c r="C435" s="275" t="s">
        <v>1047</v>
      </c>
      <c r="D435" s="275" t="s">
        <v>1217</v>
      </c>
      <c r="E435" s="284"/>
      <c r="F435" s="371">
        <f>F436</f>
        <v>1371000</v>
      </c>
    </row>
    <row r="436" spans="1:6" ht="26.25">
      <c r="A436" s="343" t="s">
        <v>516</v>
      </c>
      <c r="B436" s="275" t="s">
        <v>1082</v>
      </c>
      <c r="C436" s="275" t="s">
        <v>1047</v>
      </c>
      <c r="D436" s="275" t="s">
        <v>1217</v>
      </c>
      <c r="E436" s="284" t="s">
        <v>517</v>
      </c>
      <c r="F436" s="371">
        <f>68550+1302450</f>
        <v>1371000</v>
      </c>
    </row>
    <row r="437" spans="1:6" s="308" customFormat="1" ht="26.25">
      <c r="A437" s="370" t="s">
        <v>530</v>
      </c>
      <c r="B437" s="443" t="s">
        <v>1118</v>
      </c>
      <c r="C437" s="443" t="s">
        <v>1047</v>
      </c>
      <c r="D437" s="453" t="s">
        <v>531</v>
      </c>
      <c r="E437" s="448"/>
      <c r="F437" s="468">
        <f>F438</f>
        <v>10586461</v>
      </c>
    </row>
    <row r="438" spans="1:6" ht="26.25">
      <c r="A438" s="373" t="s">
        <v>532</v>
      </c>
      <c r="B438" s="275" t="s">
        <v>1118</v>
      </c>
      <c r="C438" s="275" t="s">
        <v>1047</v>
      </c>
      <c r="D438" s="289" t="s">
        <v>533</v>
      </c>
      <c r="E438" s="284"/>
      <c r="F438" s="371">
        <f>F439</f>
        <v>10586461</v>
      </c>
    </row>
    <row r="439" spans="1:6" ht="26.25">
      <c r="A439" s="370" t="s">
        <v>520</v>
      </c>
      <c r="B439" s="275" t="s">
        <v>1118</v>
      </c>
      <c r="C439" s="275" t="s">
        <v>1047</v>
      </c>
      <c r="D439" s="289" t="s">
        <v>534</v>
      </c>
      <c r="E439" s="284"/>
      <c r="F439" s="371">
        <f>F440+F441+F442</f>
        <v>10586461</v>
      </c>
    </row>
    <row r="440" spans="1:6" ht="39">
      <c r="A440" s="343" t="s">
        <v>522</v>
      </c>
      <c r="B440" s="275" t="s">
        <v>1118</v>
      </c>
      <c r="C440" s="275" t="s">
        <v>1047</v>
      </c>
      <c r="D440" s="289" t="s">
        <v>534</v>
      </c>
      <c r="E440" s="284" t="s">
        <v>523</v>
      </c>
      <c r="F440" s="371">
        <f>8967000+185161</f>
        <v>9152161</v>
      </c>
    </row>
    <row r="441" spans="1:6" ht="26.25">
      <c r="A441" s="343" t="s">
        <v>516</v>
      </c>
      <c r="B441" s="275" t="s">
        <v>1118</v>
      </c>
      <c r="C441" s="275" t="s">
        <v>1047</v>
      </c>
      <c r="D441" s="289" t="s">
        <v>534</v>
      </c>
      <c r="E441" s="284" t="s">
        <v>517</v>
      </c>
      <c r="F441" s="371">
        <f>230200+4500+72000+800000+136000+187000</f>
        <v>1429700</v>
      </c>
    </row>
    <row r="442" spans="1:6" ht="13.5">
      <c r="A442" s="393" t="s">
        <v>524</v>
      </c>
      <c r="B442" s="275" t="s">
        <v>1118</v>
      </c>
      <c r="C442" s="275" t="s">
        <v>1047</v>
      </c>
      <c r="D442" s="289" t="s">
        <v>534</v>
      </c>
      <c r="E442" s="284" t="s">
        <v>525</v>
      </c>
      <c r="F442" s="371">
        <f>2100+2500</f>
        <v>4600</v>
      </c>
    </row>
    <row r="443" spans="1:6" ht="26.25">
      <c r="A443" s="494" t="s">
        <v>1122</v>
      </c>
      <c r="B443" s="275" t="s">
        <v>1118</v>
      </c>
      <c r="C443" s="275" t="s">
        <v>1047</v>
      </c>
      <c r="D443" s="275" t="s">
        <v>938</v>
      </c>
      <c r="E443" s="303"/>
      <c r="F443" s="371">
        <f>F444</f>
        <v>5000</v>
      </c>
    </row>
    <row r="444" spans="1:6" ht="39">
      <c r="A444" s="376" t="s">
        <v>939</v>
      </c>
      <c r="B444" s="275" t="s">
        <v>1118</v>
      </c>
      <c r="C444" s="275" t="s">
        <v>1047</v>
      </c>
      <c r="D444" s="275" t="s">
        <v>940</v>
      </c>
      <c r="E444" s="303"/>
      <c r="F444" s="371">
        <f>F445</f>
        <v>5000</v>
      </c>
    </row>
    <row r="445" spans="1:6" ht="26.25">
      <c r="A445" s="332" t="s">
        <v>941</v>
      </c>
      <c r="B445" s="275" t="s">
        <v>1118</v>
      </c>
      <c r="C445" s="275" t="s">
        <v>1047</v>
      </c>
      <c r="D445" s="275" t="s">
        <v>942</v>
      </c>
      <c r="E445" s="303"/>
      <c r="F445" s="371">
        <f>F446</f>
        <v>5000</v>
      </c>
    </row>
    <row r="446" spans="1:6" ht="13.5">
      <c r="A446" s="332" t="s">
        <v>943</v>
      </c>
      <c r="B446" s="275" t="s">
        <v>1118</v>
      </c>
      <c r="C446" s="275" t="s">
        <v>1047</v>
      </c>
      <c r="D446" s="275" t="s">
        <v>944</v>
      </c>
      <c r="E446" s="303"/>
      <c r="F446" s="371">
        <f>F447</f>
        <v>5000</v>
      </c>
    </row>
    <row r="447" spans="1:6" ht="26.25">
      <c r="A447" s="343" t="s">
        <v>516</v>
      </c>
      <c r="B447" s="275" t="s">
        <v>1118</v>
      </c>
      <c r="C447" s="275" t="s">
        <v>1047</v>
      </c>
      <c r="D447" s="275" t="s">
        <v>944</v>
      </c>
      <c r="E447" s="284" t="s">
        <v>517</v>
      </c>
      <c r="F447" s="371">
        <v>5000</v>
      </c>
    </row>
    <row r="448" spans="1:6" ht="26.25">
      <c r="A448" s="288" t="s">
        <v>1114</v>
      </c>
      <c r="B448" s="275" t="s">
        <v>1118</v>
      </c>
      <c r="C448" s="275" t="s">
        <v>1047</v>
      </c>
      <c r="D448" s="289" t="s">
        <v>1028</v>
      </c>
      <c r="E448" s="284"/>
      <c r="F448" s="282">
        <f>F449</f>
        <v>100000</v>
      </c>
    </row>
    <row r="449" spans="1:6" ht="26.25">
      <c r="A449" s="343" t="s">
        <v>1029</v>
      </c>
      <c r="B449" s="275" t="s">
        <v>1118</v>
      </c>
      <c r="C449" s="275" t="s">
        <v>1047</v>
      </c>
      <c r="D449" s="289" t="s">
        <v>1030</v>
      </c>
      <c r="E449" s="284"/>
      <c r="F449" s="282">
        <f>F450</f>
        <v>100000</v>
      </c>
    </row>
    <row r="450" spans="1:6" ht="13.5">
      <c r="A450" s="343" t="s">
        <v>1218</v>
      </c>
      <c r="B450" s="275" t="s">
        <v>1118</v>
      </c>
      <c r="C450" s="275" t="s">
        <v>1047</v>
      </c>
      <c r="D450" s="302" t="s">
        <v>1219</v>
      </c>
      <c r="E450" s="284"/>
      <c r="F450" s="282">
        <f>F451</f>
        <v>100000</v>
      </c>
    </row>
    <row r="451" spans="1:6" ht="13.5">
      <c r="A451" s="473" t="s">
        <v>516</v>
      </c>
      <c r="B451" s="275" t="s">
        <v>1118</v>
      </c>
      <c r="C451" s="275" t="s">
        <v>1047</v>
      </c>
      <c r="D451" s="302" t="s">
        <v>1219</v>
      </c>
      <c r="E451" s="284" t="s">
        <v>517</v>
      </c>
      <c r="F451" s="282">
        <f>100000</f>
        <v>100000</v>
      </c>
    </row>
    <row r="452" spans="1:6" ht="13.5">
      <c r="A452" s="370" t="s">
        <v>1123</v>
      </c>
      <c r="B452" s="275" t="s">
        <v>1082</v>
      </c>
      <c r="C452" s="275" t="s">
        <v>1054</v>
      </c>
      <c r="D452" s="275"/>
      <c r="E452" s="284"/>
      <c r="F452" s="371">
        <f>F453</f>
        <v>4010172</v>
      </c>
    </row>
    <row r="453" spans="1:6" ht="26.25">
      <c r="A453" s="370" t="s">
        <v>508</v>
      </c>
      <c r="B453" s="275" t="s">
        <v>1082</v>
      </c>
      <c r="C453" s="275" t="s">
        <v>1054</v>
      </c>
      <c r="D453" s="275" t="s">
        <v>1117</v>
      </c>
      <c r="E453" s="284"/>
      <c r="F453" s="371">
        <f>F454</f>
        <v>4010172</v>
      </c>
    </row>
    <row r="454" spans="1:6" ht="39">
      <c r="A454" s="370" t="s">
        <v>537</v>
      </c>
      <c r="B454" s="275" t="s">
        <v>1082</v>
      </c>
      <c r="C454" s="275" t="s">
        <v>1054</v>
      </c>
      <c r="D454" s="275" t="s">
        <v>538</v>
      </c>
      <c r="E454" s="284"/>
      <c r="F454" s="371">
        <f>F455+F460</f>
        <v>4010172</v>
      </c>
    </row>
    <row r="455" spans="1:6" ht="26.25">
      <c r="A455" s="411" t="s">
        <v>539</v>
      </c>
      <c r="B455" s="275" t="s">
        <v>1082</v>
      </c>
      <c r="C455" s="275" t="s">
        <v>1054</v>
      </c>
      <c r="D455" s="275" t="s">
        <v>540</v>
      </c>
      <c r="E455" s="284"/>
      <c r="F455" s="371">
        <f>F456</f>
        <v>3957300</v>
      </c>
    </row>
    <row r="456" spans="1:6" ht="26.25">
      <c r="A456" s="370" t="s">
        <v>520</v>
      </c>
      <c r="B456" s="275" t="s">
        <v>1082</v>
      </c>
      <c r="C456" s="275" t="s">
        <v>1054</v>
      </c>
      <c r="D456" s="275" t="s">
        <v>541</v>
      </c>
      <c r="E456" s="284"/>
      <c r="F456" s="371">
        <f>F457+F458+F459</f>
        <v>3957300</v>
      </c>
    </row>
    <row r="457" spans="1:6" ht="39">
      <c r="A457" s="343" t="s">
        <v>522</v>
      </c>
      <c r="B457" s="275" t="s">
        <v>1082</v>
      </c>
      <c r="C457" s="275" t="s">
        <v>1054</v>
      </c>
      <c r="D457" s="275" t="s">
        <v>541</v>
      </c>
      <c r="E457" s="284" t="s">
        <v>523</v>
      </c>
      <c r="F457" s="371">
        <v>3411200</v>
      </c>
    </row>
    <row r="458" spans="1:6" ht="26.25">
      <c r="A458" s="343" t="s">
        <v>516</v>
      </c>
      <c r="B458" s="275" t="s">
        <v>1082</v>
      </c>
      <c r="C458" s="275" t="s">
        <v>1054</v>
      </c>
      <c r="D458" s="275" t="s">
        <v>541</v>
      </c>
      <c r="E458" s="284" t="s">
        <v>517</v>
      </c>
      <c r="F458" s="371">
        <f>230100-80000+15000+310000+19000+50000</f>
        <v>544100</v>
      </c>
    </row>
    <row r="459" spans="1:6" ht="13.5">
      <c r="A459" s="393" t="s">
        <v>524</v>
      </c>
      <c r="B459" s="275" t="s">
        <v>1082</v>
      </c>
      <c r="C459" s="275" t="s">
        <v>1054</v>
      </c>
      <c r="D459" s="275" t="s">
        <v>541</v>
      </c>
      <c r="E459" s="284" t="s">
        <v>525</v>
      </c>
      <c r="F459" s="371">
        <v>2000</v>
      </c>
    </row>
    <row r="460" spans="1:6" ht="39">
      <c r="A460" s="412" t="s">
        <v>542</v>
      </c>
      <c r="B460" s="275" t="s">
        <v>1082</v>
      </c>
      <c r="C460" s="275" t="s">
        <v>1054</v>
      </c>
      <c r="D460" s="275" t="s">
        <v>543</v>
      </c>
      <c r="E460" s="284"/>
      <c r="F460" s="371">
        <f>F461</f>
        <v>52872</v>
      </c>
    </row>
    <row r="461" spans="1:6" ht="39">
      <c r="A461" s="372" t="s">
        <v>544</v>
      </c>
      <c r="B461" s="275" t="s">
        <v>1082</v>
      </c>
      <c r="C461" s="275" t="s">
        <v>1054</v>
      </c>
      <c r="D461" s="275" t="s">
        <v>545</v>
      </c>
      <c r="E461" s="284"/>
      <c r="F461" s="371">
        <f>F462</f>
        <v>52872</v>
      </c>
    </row>
    <row r="462" spans="1:6" ht="39">
      <c r="A462" s="343" t="s">
        <v>522</v>
      </c>
      <c r="B462" s="275" t="s">
        <v>1082</v>
      </c>
      <c r="C462" s="275" t="s">
        <v>1054</v>
      </c>
      <c r="D462" s="275" t="s">
        <v>545</v>
      </c>
      <c r="E462" s="284" t="s">
        <v>523</v>
      </c>
      <c r="F462" s="371">
        <v>52872</v>
      </c>
    </row>
    <row r="463" spans="1:6" ht="13.5">
      <c r="A463" s="370" t="s">
        <v>1124</v>
      </c>
      <c r="B463" s="275" t="s">
        <v>1079</v>
      </c>
      <c r="C463" s="275"/>
      <c r="D463" s="289"/>
      <c r="E463" s="324"/>
      <c r="F463" s="371">
        <f>F464</f>
        <v>280884</v>
      </c>
    </row>
    <row r="464" spans="1:6" ht="13.5">
      <c r="A464" s="413" t="s">
        <v>1125</v>
      </c>
      <c r="B464" s="275" t="s">
        <v>1079</v>
      </c>
      <c r="C464" s="275" t="s">
        <v>1063</v>
      </c>
      <c r="D464" s="275"/>
      <c r="E464" s="284"/>
      <c r="F464" s="371">
        <f>F465</f>
        <v>280884</v>
      </c>
    </row>
    <row r="465" spans="1:6" ht="13.5">
      <c r="A465" s="370" t="s">
        <v>995</v>
      </c>
      <c r="B465" s="275" t="s">
        <v>1079</v>
      </c>
      <c r="C465" s="275" t="s">
        <v>1063</v>
      </c>
      <c r="D465" s="298" t="s">
        <v>996</v>
      </c>
      <c r="E465" s="303"/>
      <c r="F465" s="371">
        <f>F466</f>
        <v>280884</v>
      </c>
    </row>
    <row r="466" spans="1:6" ht="13.5">
      <c r="A466" s="370" t="s">
        <v>1001</v>
      </c>
      <c r="B466" s="275" t="s">
        <v>1079</v>
      </c>
      <c r="C466" s="275" t="s">
        <v>1063</v>
      </c>
      <c r="D466" s="275" t="s">
        <v>1002</v>
      </c>
      <c r="E466" s="284"/>
      <c r="F466" s="371">
        <f>F467</f>
        <v>280884</v>
      </c>
    </row>
    <row r="467" spans="1:6" ht="26.25">
      <c r="A467" s="378" t="s">
        <v>1003</v>
      </c>
      <c r="B467" s="275" t="s">
        <v>1079</v>
      </c>
      <c r="C467" s="275" t="s">
        <v>1063</v>
      </c>
      <c r="D467" s="275" t="s">
        <v>1004</v>
      </c>
      <c r="E467" s="284"/>
      <c r="F467" s="371">
        <f>F468</f>
        <v>280884</v>
      </c>
    </row>
    <row r="468" spans="1:6" ht="26.25">
      <c r="A468" s="343" t="s">
        <v>516</v>
      </c>
      <c r="B468" s="275" t="s">
        <v>1079</v>
      </c>
      <c r="C468" s="275" t="s">
        <v>1063</v>
      </c>
      <c r="D468" s="275" t="s">
        <v>1004</v>
      </c>
      <c r="E468" s="303" t="s">
        <v>517</v>
      </c>
      <c r="F468" s="371">
        <f>5758+275126</f>
        <v>280884</v>
      </c>
    </row>
    <row r="469" spans="1:6" ht="13.5">
      <c r="A469" s="370" t="s">
        <v>1127</v>
      </c>
      <c r="B469" s="275" t="s">
        <v>1128</v>
      </c>
      <c r="C469" s="275"/>
      <c r="D469" s="289"/>
      <c r="E469" s="324"/>
      <c r="F469" s="371">
        <f>F470+F476+F508</f>
        <v>45120034</v>
      </c>
    </row>
    <row r="470" spans="1:6" ht="13.5">
      <c r="A470" s="370" t="s">
        <v>1129</v>
      </c>
      <c r="B470" s="275" t="s">
        <v>1128</v>
      </c>
      <c r="C470" s="275" t="s">
        <v>1047</v>
      </c>
      <c r="D470" s="275"/>
      <c r="E470" s="284"/>
      <c r="F470" s="371">
        <f>F471</f>
        <v>268900</v>
      </c>
    </row>
    <row r="471" spans="1:6" ht="26.25">
      <c r="A471" s="370" t="s">
        <v>555</v>
      </c>
      <c r="B471" s="275" t="s">
        <v>1128</v>
      </c>
      <c r="C471" s="275" t="s">
        <v>1047</v>
      </c>
      <c r="D471" s="275" t="s">
        <v>556</v>
      </c>
      <c r="E471" s="284"/>
      <c r="F471" s="371">
        <f>F472</f>
        <v>268900</v>
      </c>
    </row>
    <row r="472" spans="1:6" s="308" customFormat="1" ht="39">
      <c r="A472" s="501" t="s">
        <v>1130</v>
      </c>
      <c r="B472" s="443" t="s">
        <v>1128</v>
      </c>
      <c r="C472" s="443" t="s">
        <v>1047</v>
      </c>
      <c r="D472" s="443" t="s">
        <v>558</v>
      </c>
      <c r="E472" s="448"/>
      <c r="F472" s="468">
        <f>F474</f>
        <v>268900</v>
      </c>
    </row>
    <row r="473" spans="1:6" ht="26.25">
      <c r="A473" s="389" t="s">
        <v>575</v>
      </c>
      <c r="B473" s="275" t="s">
        <v>1128</v>
      </c>
      <c r="C473" s="275" t="s">
        <v>1047</v>
      </c>
      <c r="D473" s="275" t="s">
        <v>576</v>
      </c>
      <c r="E473" s="284"/>
      <c r="F473" s="371">
        <f>F474</f>
        <v>268900</v>
      </c>
    </row>
    <row r="474" spans="1:6" ht="13.5">
      <c r="A474" s="501" t="s">
        <v>577</v>
      </c>
      <c r="B474" s="275" t="s">
        <v>1131</v>
      </c>
      <c r="C474" s="275" t="s">
        <v>1047</v>
      </c>
      <c r="D474" s="275" t="s">
        <v>1132</v>
      </c>
      <c r="E474" s="284"/>
      <c r="F474" s="371">
        <f>F475</f>
        <v>268900</v>
      </c>
    </row>
    <row r="475" spans="1:6" ht="13.5">
      <c r="A475" s="393" t="s">
        <v>550</v>
      </c>
      <c r="B475" s="275" t="s">
        <v>1131</v>
      </c>
      <c r="C475" s="275" t="s">
        <v>1047</v>
      </c>
      <c r="D475" s="275" t="s">
        <v>1132</v>
      </c>
      <c r="E475" s="284" t="s">
        <v>551</v>
      </c>
      <c r="F475" s="371">
        <f>148731+120169</f>
        <v>268900</v>
      </c>
    </row>
    <row r="476" spans="1:6" ht="13.5">
      <c r="A476" s="370" t="s">
        <v>1133</v>
      </c>
      <c r="B476" s="275">
        <v>10</v>
      </c>
      <c r="C476" s="275" t="s">
        <v>1051</v>
      </c>
      <c r="D476" s="275"/>
      <c r="E476" s="284"/>
      <c r="F476" s="371">
        <f>F482+F497+F477</f>
        <v>32312079</v>
      </c>
    </row>
    <row r="477" spans="1:6" ht="26.25">
      <c r="A477" s="370" t="s">
        <v>508</v>
      </c>
      <c r="B477" s="275">
        <v>10</v>
      </c>
      <c r="C477" s="275" t="s">
        <v>1051</v>
      </c>
      <c r="D477" s="275" t="s">
        <v>1117</v>
      </c>
      <c r="E477" s="284"/>
      <c r="F477" s="371">
        <f>F478</f>
        <v>1575907</v>
      </c>
    </row>
    <row r="478" spans="1:6" s="308" customFormat="1" ht="39">
      <c r="A478" s="370" t="s">
        <v>537</v>
      </c>
      <c r="B478" s="443">
        <v>10</v>
      </c>
      <c r="C478" s="443" t="s">
        <v>1051</v>
      </c>
      <c r="D478" s="443" t="s">
        <v>538</v>
      </c>
      <c r="E478" s="448"/>
      <c r="F478" s="468">
        <f>F479</f>
        <v>1575907</v>
      </c>
    </row>
    <row r="479" spans="1:6" ht="26.25">
      <c r="A479" s="389" t="s">
        <v>546</v>
      </c>
      <c r="B479" s="275">
        <v>10</v>
      </c>
      <c r="C479" s="275" t="s">
        <v>1051</v>
      </c>
      <c r="D479" s="275" t="s">
        <v>547</v>
      </c>
      <c r="E479" s="284"/>
      <c r="F479" s="371">
        <f>F480</f>
        <v>1575907</v>
      </c>
    </row>
    <row r="480" spans="1:6" ht="26.25">
      <c r="A480" s="493" t="s">
        <v>548</v>
      </c>
      <c r="B480" s="275">
        <v>10</v>
      </c>
      <c r="C480" s="275" t="s">
        <v>1051</v>
      </c>
      <c r="D480" s="298" t="s">
        <v>549</v>
      </c>
      <c r="E480" s="284"/>
      <c r="F480" s="371">
        <f>F481</f>
        <v>1575907</v>
      </c>
    </row>
    <row r="481" spans="1:6" ht="13.5">
      <c r="A481" s="393" t="s">
        <v>550</v>
      </c>
      <c r="B481" s="275">
        <v>10</v>
      </c>
      <c r="C481" s="275" t="s">
        <v>1051</v>
      </c>
      <c r="D481" s="298" t="s">
        <v>549</v>
      </c>
      <c r="E481" s="284" t="s">
        <v>551</v>
      </c>
      <c r="F481" s="371">
        <v>1575907</v>
      </c>
    </row>
    <row r="482" spans="1:6" ht="26.25">
      <c r="A482" s="370" t="s">
        <v>1226</v>
      </c>
      <c r="B482" s="275">
        <v>10</v>
      </c>
      <c r="C482" s="275" t="s">
        <v>1051</v>
      </c>
      <c r="D482" s="275" t="s">
        <v>556</v>
      </c>
      <c r="E482" s="284"/>
      <c r="F482" s="371">
        <f>F483</f>
        <v>10270164</v>
      </c>
    </row>
    <row r="483" spans="1:8" s="308" customFormat="1" ht="39">
      <c r="A483" s="382" t="s">
        <v>557</v>
      </c>
      <c r="B483" s="443">
        <v>10</v>
      </c>
      <c r="C483" s="443" t="s">
        <v>1051</v>
      </c>
      <c r="D483" s="443" t="s">
        <v>558</v>
      </c>
      <c r="E483" s="448"/>
      <c r="F483" s="468">
        <f>F484</f>
        <v>10270164</v>
      </c>
      <c r="H483" s="398"/>
    </row>
    <row r="484" spans="1:6" ht="26.25">
      <c r="A484" s="382" t="s">
        <v>559</v>
      </c>
      <c r="B484" s="275">
        <v>10</v>
      </c>
      <c r="C484" s="275" t="s">
        <v>1051</v>
      </c>
      <c r="D484" s="275" t="s">
        <v>560</v>
      </c>
      <c r="E484" s="284"/>
      <c r="F484" s="371">
        <f>F485+F488+F491+F494</f>
        <v>10270164</v>
      </c>
    </row>
    <row r="485" spans="1:6" ht="26.25">
      <c r="A485" s="372" t="s">
        <v>563</v>
      </c>
      <c r="B485" s="275">
        <v>10</v>
      </c>
      <c r="C485" s="275" t="s">
        <v>1051</v>
      </c>
      <c r="D485" s="275" t="s">
        <v>564</v>
      </c>
      <c r="E485" s="284"/>
      <c r="F485" s="371">
        <f>F487+F486</f>
        <v>63415</v>
      </c>
    </row>
    <row r="486" spans="1:6" ht="26.25">
      <c r="A486" s="343" t="s">
        <v>516</v>
      </c>
      <c r="B486" s="275">
        <v>10</v>
      </c>
      <c r="C486" s="275" t="s">
        <v>1051</v>
      </c>
      <c r="D486" s="275" t="s">
        <v>564</v>
      </c>
      <c r="E486" s="284" t="s">
        <v>517</v>
      </c>
      <c r="F486" s="371">
        <v>980</v>
      </c>
    </row>
    <row r="487" spans="1:6" ht="13.5">
      <c r="A487" s="415" t="s">
        <v>550</v>
      </c>
      <c r="B487" s="275">
        <v>10</v>
      </c>
      <c r="C487" s="275" t="s">
        <v>1051</v>
      </c>
      <c r="D487" s="275" t="s">
        <v>564</v>
      </c>
      <c r="E487" s="284" t="s">
        <v>551</v>
      </c>
      <c r="F487" s="371">
        <v>62435</v>
      </c>
    </row>
    <row r="488" spans="1:6" ht="26.25">
      <c r="A488" s="372" t="s">
        <v>565</v>
      </c>
      <c r="B488" s="275">
        <v>10</v>
      </c>
      <c r="C488" s="275" t="s">
        <v>1051</v>
      </c>
      <c r="D488" s="275" t="s">
        <v>566</v>
      </c>
      <c r="E488" s="284"/>
      <c r="F488" s="371">
        <f>F490+F489</f>
        <v>261767</v>
      </c>
    </row>
    <row r="489" spans="1:6" ht="26.25">
      <c r="A489" s="343" t="s">
        <v>516</v>
      </c>
      <c r="B489" s="275">
        <v>10</v>
      </c>
      <c r="C489" s="275" t="s">
        <v>1051</v>
      </c>
      <c r="D489" s="275" t="s">
        <v>566</v>
      </c>
      <c r="E489" s="284" t="s">
        <v>517</v>
      </c>
      <c r="F489" s="371">
        <v>5240</v>
      </c>
    </row>
    <row r="490" spans="1:6" ht="13.5">
      <c r="A490" s="415" t="s">
        <v>550</v>
      </c>
      <c r="B490" s="275">
        <v>10</v>
      </c>
      <c r="C490" s="275" t="s">
        <v>1051</v>
      </c>
      <c r="D490" s="275" t="s">
        <v>566</v>
      </c>
      <c r="E490" s="284" t="s">
        <v>551</v>
      </c>
      <c r="F490" s="371">
        <f>290609-34082</f>
        <v>256527</v>
      </c>
    </row>
    <row r="491" spans="1:6" ht="13.5">
      <c r="A491" s="370" t="s">
        <v>567</v>
      </c>
      <c r="B491" s="275">
        <v>10</v>
      </c>
      <c r="C491" s="275" t="s">
        <v>1051</v>
      </c>
      <c r="D491" s="275" t="s">
        <v>568</v>
      </c>
      <c r="E491" s="284"/>
      <c r="F491" s="371">
        <f>F493+F492</f>
        <v>8804982</v>
      </c>
    </row>
    <row r="492" spans="1:6" ht="26.25">
      <c r="A492" s="343" t="s">
        <v>516</v>
      </c>
      <c r="B492" s="275">
        <v>10</v>
      </c>
      <c r="C492" s="275" t="s">
        <v>1051</v>
      </c>
      <c r="D492" s="275" t="s">
        <v>568</v>
      </c>
      <c r="E492" s="284" t="s">
        <v>517</v>
      </c>
      <c r="F492" s="371">
        <f>90140+58300</f>
        <v>148440</v>
      </c>
    </row>
    <row r="493" spans="1:6" ht="13.5">
      <c r="A493" s="415" t="s">
        <v>550</v>
      </c>
      <c r="B493" s="275">
        <v>10</v>
      </c>
      <c r="C493" s="275" t="s">
        <v>1051</v>
      </c>
      <c r="D493" s="275" t="s">
        <v>568</v>
      </c>
      <c r="E493" s="284" t="s">
        <v>551</v>
      </c>
      <c r="F493" s="371">
        <f>8914137-257595</f>
        <v>8656542</v>
      </c>
    </row>
    <row r="494" spans="1:6" ht="13.5">
      <c r="A494" s="370" t="s">
        <v>569</v>
      </c>
      <c r="B494" s="275">
        <v>10</v>
      </c>
      <c r="C494" s="275" t="s">
        <v>1051</v>
      </c>
      <c r="D494" s="275" t="s">
        <v>570</v>
      </c>
      <c r="E494" s="284"/>
      <c r="F494" s="371">
        <f>F496+F495</f>
        <v>1140000</v>
      </c>
    </row>
    <row r="495" spans="1:6" ht="26.25">
      <c r="A495" s="343" t="s">
        <v>516</v>
      </c>
      <c r="B495" s="275">
        <v>10</v>
      </c>
      <c r="C495" s="275" t="s">
        <v>1051</v>
      </c>
      <c r="D495" s="275" t="s">
        <v>570</v>
      </c>
      <c r="E495" s="284" t="s">
        <v>517</v>
      </c>
      <c r="F495" s="371">
        <f>19920+4570-4290</f>
        <v>20200</v>
      </c>
    </row>
    <row r="496" spans="1:6" ht="13.5">
      <c r="A496" s="415" t="s">
        <v>550</v>
      </c>
      <c r="B496" s="275">
        <v>10</v>
      </c>
      <c r="C496" s="275" t="s">
        <v>1051</v>
      </c>
      <c r="D496" s="275" t="s">
        <v>570</v>
      </c>
      <c r="E496" s="284" t="s">
        <v>551</v>
      </c>
      <c r="F496" s="371">
        <f>1450810-331010</f>
        <v>1119800</v>
      </c>
    </row>
    <row r="497" spans="1:6" ht="26.25">
      <c r="A497" s="370" t="s">
        <v>611</v>
      </c>
      <c r="B497" s="275">
        <v>10</v>
      </c>
      <c r="C497" s="275" t="s">
        <v>1051</v>
      </c>
      <c r="D497" s="275" t="s">
        <v>612</v>
      </c>
      <c r="E497" s="284"/>
      <c r="F497" s="371">
        <f>F498+F503</f>
        <v>20466008</v>
      </c>
    </row>
    <row r="498" spans="1:6" s="308" customFormat="1" ht="39">
      <c r="A498" s="367" t="s">
        <v>613</v>
      </c>
      <c r="B498" s="443">
        <v>10</v>
      </c>
      <c r="C498" s="443" t="s">
        <v>1051</v>
      </c>
      <c r="D498" s="443" t="s">
        <v>614</v>
      </c>
      <c r="E498" s="448"/>
      <c r="F498" s="468">
        <f>F499</f>
        <v>18966008</v>
      </c>
    </row>
    <row r="499" spans="1:6" ht="26.25">
      <c r="A499" s="373" t="s">
        <v>657</v>
      </c>
      <c r="B499" s="275">
        <v>10</v>
      </c>
      <c r="C499" s="275" t="s">
        <v>1051</v>
      </c>
      <c r="D499" s="275" t="s">
        <v>658</v>
      </c>
      <c r="E499" s="284"/>
      <c r="F499" s="371">
        <f>F500</f>
        <v>18966008</v>
      </c>
    </row>
    <row r="500" spans="1:6" ht="52.5">
      <c r="A500" s="493" t="s">
        <v>663</v>
      </c>
      <c r="B500" s="275">
        <v>10</v>
      </c>
      <c r="C500" s="275" t="s">
        <v>1051</v>
      </c>
      <c r="D500" s="275" t="s">
        <v>664</v>
      </c>
      <c r="E500" s="284"/>
      <c r="F500" s="371">
        <f>F501+F502</f>
        <v>18966008</v>
      </c>
    </row>
    <row r="501" spans="1:6" ht="26.25">
      <c r="A501" s="343" t="s">
        <v>516</v>
      </c>
      <c r="B501" s="275">
        <v>10</v>
      </c>
      <c r="C501" s="275" t="s">
        <v>1051</v>
      </c>
      <c r="D501" s="275" t="s">
        <v>664</v>
      </c>
      <c r="E501" s="284" t="s">
        <v>517</v>
      </c>
      <c r="F501" s="371"/>
    </row>
    <row r="502" spans="1:6" ht="13.5">
      <c r="A502" s="415" t="s">
        <v>550</v>
      </c>
      <c r="B502" s="275">
        <v>10</v>
      </c>
      <c r="C502" s="275" t="s">
        <v>1051</v>
      </c>
      <c r="D502" s="275" t="s">
        <v>664</v>
      </c>
      <c r="E502" s="284" t="s">
        <v>551</v>
      </c>
      <c r="F502" s="371">
        <v>18966008</v>
      </c>
    </row>
    <row r="503" spans="1:6" s="308" customFormat="1" ht="39">
      <c r="A503" s="343" t="s">
        <v>665</v>
      </c>
      <c r="B503" s="443">
        <v>10</v>
      </c>
      <c r="C503" s="443" t="s">
        <v>1051</v>
      </c>
      <c r="D503" s="443" t="s">
        <v>666</v>
      </c>
      <c r="E503" s="448"/>
      <c r="F503" s="468">
        <f>F504</f>
        <v>1500000</v>
      </c>
    </row>
    <row r="504" spans="1:6" ht="26.25">
      <c r="A504" s="416" t="s">
        <v>673</v>
      </c>
      <c r="B504" s="275">
        <v>10</v>
      </c>
      <c r="C504" s="275" t="s">
        <v>1051</v>
      </c>
      <c r="D504" s="275" t="s">
        <v>674</v>
      </c>
      <c r="E504" s="284"/>
      <c r="F504" s="371">
        <f>F505</f>
        <v>1500000</v>
      </c>
    </row>
    <row r="505" spans="1:6" ht="52.5">
      <c r="A505" s="401" t="s">
        <v>675</v>
      </c>
      <c r="B505" s="275">
        <v>10</v>
      </c>
      <c r="C505" s="275" t="s">
        <v>1051</v>
      </c>
      <c r="D505" s="275" t="s">
        <v>676</v>
      </c>
      <c r="E505" s="284"/>
      <c r="F505" s="371">
        <f>F507</f>
        <v>1500000</v>
      </c>
    </row>
    <row r="506" spans="1:6" ht="26.25">
      <c r="A506" s="343" t="s">
        <v>516</v>
      </c>
      <c r="B506" s="275">
        <v>10</v>
      </c>
      <c r="C506" s="275" t="s">
        <v>1051</v>
      </c>
      <c r="D506" s="275" t="s">
        <v>676</v>
      </c>
      <c r="E506" s="284" t="s">
        <v>517</v>
      </c>
      <c r="F506" s="371"/>
    </row>
    <row r="507" spans="1:6" ht="13.5">
      <c r="A507" s="415" t="s">
        <v>550</v>
      </c>
      <c r="B507" s="275">
        <v>10</v>
      </c>
      <c r="C507" s="275" t="s">
        <v>1051</v>
      </c>
      <c r="D507" s="275" t="s">
        <v>676</v>
      </c>
      <c r="E507" s="284" t="s">
        <v>551</v>
      </c>
      <c r="F507" s="502">
        <f>400000+1100000</f>
        <v>1500000</v>
      </c>
    </row>
    <row r="508" spans="1:6" ht="13.5">
      <c r="A508" s="370" t="s">
        <v>1135</v>
      </c>
      <c r="B508" s="275">
        <v>10</v>
      </c>
      <c r="C508" s="275" t="s">
        <v>1054</v>
      </c>
      <c r="D508" s="275"/>
      <c r="E508" s="284"/>
      <c r="F508" s="371">
        <f>F519+F509</f>
        <v>12539055</v>
      </c>
    </row>
    <row r="509" spans="1:6" ht="26.25">
      <c r="A509" s="370" t="s">
        <v>1163</v>
      </c>
      <c r="B509" s="275">
        <v>10</v>
      </c>
      <c r="C509" s="275" t="s">
        <v>1054</v>
      </c>
      <c r="D509" s="309" t="s">
        <v>556</v>
      </c>
      <c r="E509" s="284"/>
      <c r="F509" s="371">
        <f>F515+F510</f>
        <v>10458245</v>
      </c>
    </row>
    <row r="510" spans="1:6" ht="39">
      <c r="A510" s="382" t="s">
        <v>557</v>
      </c>
      <c r="B510" s="275">
        <v>10</v>
      </c>
      <c r="C510" s="275" t="s">
        <v>1054</v>
      </c>
      <c r="D510" s="443" t="s">
        <v>558</v>
      </c>
      <c r="E510" s="448"/>
      <c r="F510" s="468">
        <f>F511</f>
        <v>1404078</v>
      </c>
    </row>
    <row r="511" spans="1:6" ht="26.25">
      <c r="A511" s="382" t="s">
        <v>559</v>
      </c>
      <c r="B511" s="275">
        <v>10</v>
      </c>
      <c r="C511" s="275" t="s">
        <v>1054</v>
      </c>
      <c r="D511" s="275" t="s">
        <v>560</v>
      </c>
      <c r="E511" s="284"/>
      <c r="F511" s="371">
        <f>F512</f>
        <v>1404078</v>
      </c>
    </row>
    <row r="512" spans="1:6" ht="13.5">
      <c r="A512" s="370" t="s">
        <v>561</v>
      </c>
      <c r="B512" s="275">
        <v>10</v>
      </c>
      <c r="C512" s="275" t="s">
        <v>1054</v>
      </c>
      <c r="D512" s="275" t="s">
        <v>562</v>
      </c>
      <c r="E512" s="284"/>
      <c r="F512" s="371">
        <f>F514+F513</f>
        <v>1404078</v>
      </c>
    </row>
    <row r="513" spans="1:6" ht="26.25">
      <c r="A513" s="343" t="s">
        <v>516</v>
      </c>
      <c r="B513" s="275">
        <v>10</v>
      </c>
      <c r="C513" s="275" t="s">
        <v>1054</v>
      </c>
      <c r="D513" s="275" t="s">
        <v>562</v>
      </c>
      <c r="E513" s="284" t="s">
        <v>517</v>
      </c>
      <c r="F513" s="371">
        <v>280</v>
      </c>
    </row>
    <row r="514" spans="1:6" ht="13.5">
      <c r="A514" s="415" t="s">
        <v>550</v>
      </c>
      <c r="B514" s="275">
        <v>10</v>
      </c>
      <c r="C514" s="275" t="s">
        <v>1054</v>
      </c>
      <c r="D514" s="275" t="s">
        <v>562</v>
      </c>
      <c r="E514" s="284" t="s">
        <v>551</v>
      </c>
      <c r="F514" s="371">
        <f>1556604-152806</f>
        <v>1403798</v>
      </c>
    </row>
    <row r="515" spans="1:6" ht="52.5">
      <c r="A515" s="479" t="s">
        <v>579</v>
      </c>
      <c r="B515" s="275">
        <v>10</v>
      </c>
      <c r="C515" s="275" t="s">
        <v>1054</v>
      </c>
      <c r="D515" s="275" t="s">
        <v>580</v>
      </c>
      <c r="E515" s="284"/>
      <c r="F515" s="371">
        <f>F517</f>
        <v>9054167</v>
      </c>
    </row>
    <row r="516" spans="1:6" ht="39">
      <c r="A516" s="373" t="s">
        <v>581</v>
      </c>
      <c r="B516" s="275">
        <v>10</v>
      </c>
      <c r="C516" s="275" t="s">
        <v>1054</v>
      </c>
      <c r="D516" s="275" t="s">
        <v>582</v>
      </c>
      <c r="E516" s="284"/>
      <c r="F516" s="371">
        <f>F517</f>
        <v>9054167</v>
      </c>
    </row>
    <row r="517" spans="1:6" ht="26.25">
      <c r="A517" s="372" t="s">
        <v>583</v>
      </c>
      <c r="B517" s="275">
        <v>10</v>
      </c>
      <c r="C517" s="275" t="s">
        <v>1054</v>
      </c>
      <c r="D517" s="275" t="s">
        <v>584</v>
      </c>
      <c r="E517" s="284"/>
      <c r="F517" s="371">
        <f>F518</f>
        <v>9054167</v>
      </c>
    </row>
    <row r="518" spans="1:6" ht="13.5">
      <c r="A518" s="415" t="s">
        <v>550</v>
      </c>
      <c r="B518" s="275">
        <v>10</v>
      </c>
      <c r="C518" s="275" t="s">
        <v>1054</v>
      </c>
      <c r="D518" s="275" t="s">
        <v>584</v>
      </c>
      <c r="E518" s="284" t="s">
        <v>551</v>
      </c>
      <c r="F518" s="371">
        <v>9054167</v>
      </c>
    </row>
    <row r="519" spans="1:6" ht="26.25">
      <c r="A519" s="370" t="s">
        <v>1136</v>
      </c>
      <c r="B519" s="275">
        <v>10</v>
      </c>
      <c r="C519" s="275" t="s">
        <v>1054</v>
      </c>
      <c r="D519" s="309" t="s">
        <v>612</v>
      </c>
      <c r="E519" s="284"/>
      <c r="F519" s="371">
        <f>F520</f>
        <v>2080810</v>
      </c>
    </row>
    <row r="520" spans="1:6" s="308" customFormat="1" ht="39">
      <c r="A520" s="367" t="s">
        <v>613</v>
      </c>
      <c r="B520" s="443">
        <v>10</v>
      </c>
      <c r="C520" s="443" t="s">
        <v>1054</v>
      </c>
      <c r="D520" s="503" t="s">
        <v>614</v>
      </c>
      <c r="E520" s="448"/>
      <c r="F520" s="468">
        <f>F522</f>
        <v>2080810</v>
      </c>
    </row>
    <row r="521" spans="1:6" ht="26.25">
      <c r="A521" s="373" t="s">
        <v>615</v>
      </c>
      <c r="B521" s="275">
        <v>10</v>
      </c>
      <c r="C521" s="275" t="s">
        <v>1054</v>
      </c>
      <c r="D521" s="309" t="s">
        <v>616</v>
      </c>
      <c r="E521" s="284"/>
      <c r="F521" s="371">
        <f>F522</f>
        <v>2080810</v>
      </c>
    </row>
    <row r="522" spans="1:6" ht="13.5">
      <c r="A522" s="419" t="s">
        <v>617</v>
      </c>
      <c r="B522" s="275">
        <v>10</v>
      </c>
      <c r="C522" s="275" t="s">
        <v>1054</v>
      </c>
      <c r="D522" s="309" t="s">
        <v>618</v>
      </c>
      <c r="E522" s="284"/>
      <c r="F522" s="371">
        <f>F523</f>
        <v>2080810</v>
      </c>
    </row>
    <row r="523" spans="1:6" ht="13.5">
      <c r="A523" s="415" t="s">
        <v>550</v>
      </c>
      <c r="B523" s="275">
        <v>10</v>
      </c>
      <c r="C523" s="275" t="s">
        <v>1054</v>
      </c>
      <c r="D523" s="309" t="s">
        <v>618</v>
      </c>
      <c r="E523" s="284" t="s">
        <v>551</v>
      </c>
      <c r="F523" s="371">
        <v>2080810</v>
      </c>
    </row>
    <row r="524" spans="1:6" ht="13.5">
      <c r="A524" s="370" t="s">
        <v>1137</v>
      </c>
      <c r="B524" s="275" t="s">
        <v>1065</v>
      </c>
      <c r="C524" s="275"/>
      <c r="D524" s="275"/>
      <c r="E524" s="284"/>
      <c r="F524" s="371">
        <f aca="true" t="shared" si="0" ref="F524:F529">F525</f>
        <v>545440</v>
      </c>
    </row>
    <row r="525" spans="1:6" ht="13.5">
      <c r="A525" s="370" t="s">
        <v>1138</v>
      </c>
      <c r="B525" s="275" t="s">
        <v>1065</v>
      </c>
      <c r="C525" s="275" t="s">
        <v>1047</v>
      </c>
      <c r="D525" s="275"/>
      <c r="E525" s="284"/>
      <c r="F525" s="371">
        <f t="shared" si="0"/>
        <v>545440</v>
      </c>
    </row>
    <row r="526" spans="1:6" ht="52.5">
      <c r="A526" s="373" t="s">
        <v>771</v>
      </c>
      <c r="B526" s="275" t="s">
        <v>1065</v>
      </c>
      <c r="C526" s="275" t="s">
        <v>1047</v>
      </c>
      <c r="D526" s="289" t="s">
        <v>772</v>
      </c>
      <c r="E526" s="284"/>
      <c r="F526" s="371">
        <f t="shared" si="0"/>
        <v>545440</v>
      </c>
    </row>
    <row r="527" spans="1:6" s="308" customFormat="1" ht="66">
      <c r="A527" s="479" t="s">
        <v>779</v>
      </c>
      <c r="B527" s="443" t="s">
        <v>1065</v>
      </c>
      <c r="C527" s="443" t="s">
        <v>1047</v>
      </c>
      <c r="D527" s="453" t="s">
        <v>780</v>
      </c>
      <c r="E527" s="448"/>
      <c r="F527" s="468">
        <f>F528+F531</f>
        <v>545440</v>
      </c>
    </row>
    <row r="528" spans="1:6" ht="39">
      <c r="A528" s="479" t="s">
        <v>781</v>
      </c>
      <c r="B528" s="275" t="s">
        <v>1065</v>
      </c>
      <c r="C528" s="275" t="s">
        <v>1047</v>
      </c>
      <c r="D528" s="289" t="s">
        <v>782</v>
      </c>
      <c r="E528" s="284"/>
      <c r="F528" s="371">
        <f t="shared" si="0"/>
        <v>150000</v>
      </c>
    </row>
    <row r="529" spans="1:6" ht="39">
      <c r="A529" s="370" t="s">
        <v>783</v>
      </c>
      <c r="B529" s="275" t="s">
        <v>1065</v>
      </c>
      <c r="C529" s="275" t="s">
        <v>1047</v>
      </c>
      <c r="D529" s="289" t="s">
        <v>784</v>
      </c>
      <c r="E529" s="284"/>
      <c r="F529" s="371">
        <f t="shared" si="0"/>
        <v>150000</v>
      </c>
    </row>
    <row r="530" spans="1:6" ht="26.25">
      <c r="A530" s="343" t="s">
        <v>516</v>
      </c>
      <c r="B530" s="275" t="s">
        <v>1065</v>
      </c>
      <c r="C530" s="275" t="s">
        <v>1047</v>
      </c>
      <c r="D530" s="289" t="s">
        <v>784</v>
      </c>
      <c r="E530" s="284" t="s">
        <v>517</v>
      </c>
      <c r="F530" s="371">
        <f>100000+50000</f>
        <v>150000</v>
      </c>
    </row>
    <row r="531" spans="1:6" ht="26.25">
      <c r="A531" s="479" t="s">
        <v>1208</v>
      </c>
      <c r="B531" s="275" t="s">
        <v>1065</v>
      </c>
      <c r="C531" s="275" t="s">
        <v>1047</v>
      </c>
      <c r="D531" s="289" t="s">
        <v>1209</v>
      </c>
      <c r="E531" s="284"/>
      <c r="F531" s="371">
        <f>F532</f>
        <v>395440</v>
      </c>
    </row>
    <row r="532" spans="1:6" ht="26.25">
      <c r="A532" s="370" t="s">
        <v>520</v>
      </c>
      <c r="B532" s="275" t="s">
        <v>1065</v>
      </c>
      <c r="C532" s="275" t="s">
        <v>1047</v>
      </c>
      <c r="D532" s="289" t="s">
        <v>1227</v>
      </c>
      <c r="E532" s="284"/>
      <c r="F532" s="371">
        <f>F534+F533+F535</f>
        <v>395440</v>
      </c>
    </row>
    <row r="533" spans="1:6" ht="39">
      <c r="A533" s="343" t="s">
        <v>522</v>
      </c>
      <c r="B533" s="275" t="s">
        <v>1065</v>
      </c>
      <c r="C533" s="275" t="s">
        <v>1047</v>
      </c>
      <c r="D533" s="289" t="s">
        <v>1227</v>
      </c>
      <c r="E533" s="284" t="s">
        <v>523</v>
      </c>
      <c r="F533" s="371">
        <f>92350+27890</f>
        <v>120240</v>
      </c>
    </row>
    <row r="534" spans="1:6" ht="26.25">
      <c r="A534" s="343" t="s">
        <v>516</v>
      </c>
      <c r="B534" s="275" t="s">
        <v>1065</v>
      </c>
      <c r="C534" s="275" t="s">
        <v>1047</v>
      </c>
      <c r="D534" s="289" t="s">
        <v>1227</v>
      </c>
      <c r="E534" s="284" t="s">
        <v>517</v>
      </c>
      <c r="F534" s="371">
        <f>115000+160200</f>
        <v>275200</v>
      </c>
    </row>
    <row r="535" spans="1:6" ht="13.5">
      <c r="A535" s="393" t="s">
        <v>524</v>
      </c>
      <c r="B535" s="275" t="s">
        <v>1065</v>
      </c>
      <c r="C535" s="275" t="s">
        <v>1047</v>
      </c>
      <c r="D535" s="289" t="s">
        <v>1227</v>
      </c>
      <c r="E535" s="284" t="s">
        <v>525</v>
      </c>
      <c r="F535" s="371"/>
    </row>
    <row r="536" spans="1:6" ht="13.5">
      <c r="A536" s="370" t="s">
        <v>1140</v>
      </c>
      <c r="B536" s="275" t="s">
        <v>1067</v>
      </c>
      <c r="C536" s="275"/>
      <c r="D536" s="275"/>
      <c r="E536" s="284"/>
      <c r="F536" s="371">
        <f>F537</f>
        <v>9602.76</v>
      </c>
    </row>
    <row r="537" spans="1:6" ht="13.5">
      <c r="A537" s="370" t="s">
        <v>1141</v>
      </c>
      <c r="B537" s="275" t="s">
        <v>1067</v>
      </c>
      <c r="C537" s="275" t="s">
        <v>1047</v>
      </c>
      <c r="D537" s="275"/>
      <c r="E537" s="284"/>
      <c r="F537" s="371">
        <f>F538</f>
        <v>9602.76</v>
      </c>
    </row>
    <row r="538" spans="1:6" ht="66">
      <c r="A538" s="376" t="s">
        <v>1142</v>
      </c>
      <c r="B538" s="275" t="s">
        <v>1067</v>
      </c>
      <c r="C538" s="275" t="s">
        <v>1047</v>
      </c>
      <c r="D538" s="298" t="s">
        <v>888</v>
      </c>
      <c r="E538" s="284"/>
      <c r="F538" s="371">
        <f>F539</f>
        <v>9602.76</v>
      </c>
    </row>
    <row r="539" spans="1:6" s="308" customFormat="1" ht="52.5">
      <c r="A539" s="367" t="s">
        <v>889</v>
      </c>
      <c r="B539" s="443" t="s">
        <v>1067</v>
      </c>
      <c r="C539" s="443" t="s">
        <v>1047</v>
      </c>
      <c r="D539" s="298" t="s">
        <v>890</v>
      </c>
      <c r="E539" s="448"/>
      <c r="F539" s="468">
        <f>F541</f>
        <v>9602.76</v>
      </c>
    </row>
    <row r="540" spans="1:6" s="308" customFormat="1" ht="39">
      <c r="A540" s="367" t="s">
        <v>891</v>
      </c>
      <c r="B540" s="275" t="s">
        <v>1067</v>
      </c>
      <c r="C540" s="275" t="s">
        <v>1047</v>
      </c>
      <c r="D540" s="298" t="s">
        <v>892</v>
      </c>
      <c r="E540" s="448"/>
      <c r="F540" s="468">
        <f>F541</f>
        <v>9602.76</v>
      </c>
    </row>
    <row r="541" spans="1:6" ht="13.5">
      <c r="A541" s="370" t="s">
        <v>893</v>
      </c>
      <c r="B541" s="275" t="s">
        <v>1067</v>
      </c>
      <c r="C541" s="275" t="s">
        <v>1047</v>
      </c>
      <c r="D541" s="298" t="s">
        <v>894</v>
      </c>
      <c r="E541" s="284"/>
      <c r="F541" s="371">
        <f>F542</f>
        <v>9602.76</v>
      </c>
    </row>
    <row r="542" spans="1:6" ht="13.5">
      <c r="A542" s="367" t="s">
        <v>895</v>
      </c>
      <c r="B542" s="275" t="s">
        <v>1067</v>
      </c>
      <c r="C542" s="275" t="s">
        <v>1047</v>
      </c>
      <c r="D542" s="298" t="s">
        <v>894</v>
      </c>
      <c r="E542" s="284" t="s">
        <v>896</v>
      </c>
      <c r="F542" s="371">
        <v>9602.76</v>
      </c>
    </row>
    <row r="543" spans="1:6" ht="26.25">
      <c r="A543" s="370" t="s">
        <v>1143</v>
      </c>
      <c r="B543" s="275" t="s">
        <v>1144</v>
      </c>
      <c r="C543" s="275"/>
      <c r="D543" s="275"/>
      <c r="E543" s="284"/>
      <c r="F543" s="371">
        <f aca="true" t="shared" si="1" ref="F543:F548">F544</f>
        <v>7768331</v>
      </c>
    </row>
    <row r="544" spans="1:6" ht="26.25">
      <c r="A544" s="370" t="s">
        <v>1145</v>
      </c>
      <c r="B544" s="275" t="s">
        <v>1144</v>
      </c>
      <c r="C544" s="275" t="s">
        <v>1047</v>
      </c>
      <c r="D544" s="275"/>
      <c r="E544" s="284"/>
      <c r="F544" s="371">
        <f t="shared" si="1"/>
        <v>7768331</v>
      </c>
    </row>
    <row r="545" spans="1:6" ht="66">
      <c r="A545" s="376" t="s">
        <v>887</v>
      </c>
      <c r="B545" s="275" t="s">
        <v>1144</v>
      </c>
      <c r="C545" s="275" t="s">
        <v>1047</v>
      </c>
      <c r="D545" s="275" t="s">
        <v>888</v>
      </c>
      <c r="E545" s="284"/>
      <c r="F545" s="371">
        <f t="shared" si="1"/>
        <v>7768331</v>
      </c>
    </row>
    <row r="546" spans="1:6" s="308" customFormat="1" ht="52.5">
      <c r="A546" s="367" t="s">
        <v>897</v>
      </c>
      <c r="B546" s="443" t="s">
        <v>1144</v>
      </c>
      <c r="C546" s="443" t="s">
        <v>1047</v>
      </c>
      <c r="D546" s="443" t="s">
        <v>898</v>
      </c>
      <c r="E546" s="448"/>
      <c r="F546" s="468">
        <f t="shared" si="1"/>
        <v>7768331</v>
      </c>
    </row>
    <row r="547" spans="1:6" ht="26.25">
      <c r="A547" s="376" t="s">
        <v>899</v>
      </c>
      <c r="B547" s="275" t="s">
        <v>1144</v>
      </c>
      <c r="C547" s="275" t="s">
        <v>1047</v>
      </c>
      <c r="D547" s="275" t="s">
        <v>900</v>
      </c>
      <c r="E547" s="284"/>
      <c r="F547" s="371">
        <f t="shared" si="1"/>
        <v>7768331</v>
      </c>
    </row>
    <row r="548" spans="1:6" ht="39">
      <c r="A548" s="493" t="s">
        <v>901</v>
      </c>
      <c r="B548" s="275" t="s">
        <v>1144</v>
      </c>
      <c r="C548" s="275" t="s">
        <v>1047</v>
      </c>
      <c r="D548" s="275" t="s">
        <v>902</v>
      </c>
      <c r="E548" s="284"/>
      <c r="F548" s="371">
        <f t="shared" si="1"/>
        <v>7768331</v>
      </c>
    </row>
    <row r="549" spans="1:6" ht="14.25" thickBot="1">
      <c r="A549" s="420" t="s">
        <v>713</v>
      </c>
      <c r="B549" s="421" t="s">
        <v>1144</v>
      </c>
      <c r="C549" s="421" t="s">
        <v>1047</v>
      </c>
      <c r="D549" s="421" t="s">
        <v>902</v>
      </c>
      <c r="E549" s="422" t="s">
        <v>714</v>
      </c>
      <c r="F549" s="424">
        <v>7768331</v>
      </c>
    </row>
    <row r="550" spans="2:6" ht="13.5">
      <c r="B550" s="263"/>
      <c r="C550" s="263"/>
      <c r="D550" s="263"/>
      <c r="E550" s="425"/>
      <c r="F550" s="426"/>
    </row>
    <row r="551" spans="2:6" ht="13.5">
      <c r="B551" s="263"/>
      <c r="C551" s="263"/>
      <c r="D551" s="263"/>
      <c r="E551" s="425"/>
      <c r="F551" s="426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74" r:id="rId1" display="consultantplus://offline/ref=C6EF3AE28B6C46D1117CBBA251A07B11C6C7C5768D606C8B0E322DA1BBA42282C9440EEF08E6CC43400230U6VFM"/>
  </hyperlinks>
  <printOptions/>
  <pageMargins left="0.7" right="0.7" top="0.75" bottom="0.75" header="0.3" footer="0.3"/>
  <pageSetup horizontalDpi="600" verticalDpi="600" orientation="portrait" paperSize="9" scale="7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4"/>
  <sheetViews>
    <sheetView view="pageBreakPreview" zoomScale="60" zoomScalePageLayoutView="0" workbookViewId="0" topLeftCell="A1">
      <selection activeCell="A10" sqref="A10"/>
    </sheetView>
  </sheetViews>
  <sheetFormatPr defaultColWidth="9.140625" defaultRowHeight="15"/>
  <cols>
    <col min="1" max="1" width="64.8515625" style="248" customWidth="1"/>
    <col min="2" max="2" width="4.8515625" style="360" customWidth="1"/>
    <col min="3" max="3" width="5.00390625" style="360" customWidth="1"/>
    <col min="4" max="4" width="15.421875" style="360" customWidth="1"/>
    <col min="5" max="5" width="7.140625" style="354" customWidth="1"/>
    <col min="6" max="6" width="17.00390625" style="427" customWidth="1"/>
    <col min="7" max="7" width="16.28125" style="427" customWidth="1"/>
    <col min="8" max="8" width="22.8515625" style="252" customWidth="1"/>
    <col min="9" max="9" width="16.140625" style="252" customWidth="1"/>
    <col min="10" max="10" width="18.00390625" style="252" bestFit="1" customWidth="1"/>
    <col min="11" max="11" width="20.00390625" style="252" customWidth="1"/>
    <col min="12" max="16384" width="9.140625" style="252" customWidth="1"/>
  </cols>
  <sheetData>
    <row r="1" spans="2:8" ht="12.75">
      <c r="B1" s="250"/>
      <c r="C1" s="250"/>
      <c r="D1" s="250" t="s">
        <v>1039</v>
      </c>
      <c r="E1" s="250"/>
      <c r="F1" s="250"/>
      <c r="G1" s="352"/>
      <c r="H1" s="355"/>
    </row>
    <row r="2" spans="2:8" ht="29.25" customHeight="1">
      <c r="B2" s="356"/>
      <c r="C2" s="250"/>
      <c r="D2" s="597" t="s">
        <v>1040</v>
      </c>
      <c r="E2" s="597"/>
      <c r="F2" s="597"/>
      <c r="G2" s="597"/>
      <c r="H2" s="357"/>
    </row>
    <row r="3" spans="1:8" ht="30" customHeight="1">
      <c r="A3" s="258"/>
      <c r="B3" s="257"/>
      <c r="C3" s="257"/>
      <c r="D3" s="582" t="s">
        <v>494</v>
      </c>
      <c r="E3" s="582"/>
      <c r="F3" s="582"/>
      <c r="G3" s="582"/>
      <c r="H3" s="257"/>
    </row>
    <row r="4" spans="1:7" ht="27.75" customHeight="1">
      <c r="A4" s="258"/>
      <c r="B4" s="248"/>
      <c r="C4" s="248"/>
      <c r="D4" s="583" t="s">
        <v>1041</v>
      </c>
      <c r="E4" s="583"/>
      <c r="F4" s="583"/>
      <c r="G4" s="583"/>
    </row>
    <row r="5" spans="1:7" ht="69.75" customHeight="1">
      <c r="A5" s="598" t="s">
        <v>1042</v>
      </c>
      <c r="B5" s="598"/>
      <c r="C5" s="598"/>
      <c r="D5" s="598"/>
      <c r="E5" s="598"/>
      <c r="F5" s="598"/>
      <c r="G5" s="598"/>
    </row>
    <row r="6" spans="1:7" ht="6" customHeight="1">
      <c r="A6" s="358"/>
      <c r="B6" s="358"/>
      <c r="C6" s="358"/>
      <c r="D6" s="358"/>
      <c r="E6" s="358"/>
      <c r="F6" s="359"/>
      <c r="G6" s="306"/>
    </row>
    <row r="7" spans="5:7" ht="21" customHeight="1" thickBot="1">
      <c r="E7" s="361"/>
      <c r="F7" s="265"/>
      <c r="G7" s="265" t="s">
        <v>497</v>
      </c>
    </row>
    <row r="8" spans="1:11" ht="33.75" customHeight="1">
      <c r="A8" s="585" t="s">
        <v>498</v>
      </c>
      <c r="B8" s="587" t="s">
        <v>1043</v>
      </c>
      <c r="C8" s="587" t="s">
        <v>1044</v>
      </c>
      <c r="D8" s="589" t="s">
        <v>499</v>
      </c>
      <c r="E8" s="589" t="s">
        <v>500</v>
      </c>
      <c r="F8" s="593" t="s">
        <v>501</v>
      </c>
      <c r="G8" s="595" t="s">
        <v>502</v>
      </c>
      <c r="K8" s="253"/>
    </row>
    <row r="9" spans="1:7" ht="3.75" customHeight="1" thickBot="1">
      <c r="A9" s="586"/>
      <c r="B9" s="588"/>
      <c r="C9" s="588"/>
      <c r="D9" s="590"/>
      <c r="E9" s="590"/>
      <c r="F9" s="594"/>
      <c r="G9" s="596"/>
    </row>
    <row r="10" spans="1:7" s="273" customFormat="1" ht="18.75" customHeight="1">
      <c r="A10" s="362">
        <v>1</v>
      </c>
      <c r="B10" s="363" t="s">
        <v>503</v>
      </c>
      <c r="C10" s="363" t="s">
        <v>504</v>
      </c>
      <c r="D10" s="364" t="s">
        <v>505</v>
      </c>
      <c r="E10" s="364" t="s">
        <v>1045</v>
      </c>
      <c r="F10" s="365">
        <v>6</v>
      </c>
      <c r="G10" s="366">
        <v>7</v>
      </c>
    </row>
    <row r="11" spans="1:11" s="280" customFormat="1" ht="21">
      <c r="A11" s="367" t="s">
        <v>506</v>
      </c>
      <c r="B11" s="275"/>
      <c r="C11" s="275"/>
      <c r="D11" s="275"/>
      <c r="E11" s="284"/>
      <c r="F11" s="282">
        <f>F13+F185+F237+F293+F425+F474+F539+F550+F557+F466+F169+F12+F287</f>
        <v>465236434</v>
      </c>
      <c r="G11" s="282">
        <f>G13+G185+G237+G293+G425+G474+G539+G550+G557+G466+G169+G12+G287</f>
        <v>443791859</v>
      </c>
      <c r="H11" s="368"/>
      <c r="J11" s="368"/>
      <c r="K11" s="369"/>
    </row>
    <row r="12" spans="1:7" ht="13.5">
      <c r="A12" s="370" t="s">
        <v>507</v>
      </c>
      <c r="B12" s="275"/>
      <c r="C12" s="275"/>
      <c r="D12" s="275"/>
      <c r="E12" s="284"/>
      <c r="F12" s="282">
        <v>4400000</v>
      </c>
      <c r="G12" s="371">
        <v>8900000</v>
      </c>
    </row>
    <row r="13" spans="1:7" ht="13.5">
      <c r="A13" s="370" t="s">
        <v>1046</v>
      </c>
      <c r="B13" s="275" t="s">
        <v>1047</v>
      </c>
      <c r="C13" s="275"/>
      <c r="D13" s="275"/>
      <c r="E13" s="284"/>
      <c r="F13" s="282">
        <f>F14+F19+F28+F86+F91+F74+F69+F81</f>
        <v>35934564.78</v>
      </c>
      <c r="G13" s="371">
        <f>G14+G19+G28+G86+G91+G74+G69+G81</f>
        <v>35088760</v>
      </c>
    </row>
    <row r="14" spans="1:8" ht="28.5" customHeight="1">
      <c r="A14" s="372" t="s">
        <v>1048</v>
      </c>
      <c r="B14" s="275" t="s">
        <v>1047</v>
      </c>
      <c r="C14" s="275" t="s">
        <v>1049</v>
      </c>
      <c r="D14" s="275"/>
      <c r="E14" s="284"/>
      <c r="F14" s="282">
        <f>F16</f>
        <v>1537000</v>
      </c>
      <c r="G14" s="371">
        <f>G16</f>
        <v>1537000</v>
      </c>
      <c r="H14" s="306"/>
    </row>
    <row r="15" spans="1:7" ht="19.5" customHeight="1">
      <c r="A15" s="343" t="s">
        <v>966</v>
      </c>
      <c r="B15" s="275" t="s">
        <v>1047</v>
      </c>
      <c r="C15" s="275" t="s">
        <v>1049</v>
      </c>
      <c r="D15" s="302" t="s">
        <v>967</v>
      </c>
      <c r="E15" s="284"/>
      <c r="F15" s="282">
        <f>F16</f>
        <v>1537000</v>
      </c>
      <c r="G15" s="371">
        <f>G16</f>
        <v>1537000</v>
      </c>
    </row>
    <row r="16" spans="1:7" ht="17.25" customHeight="1">
      <c r="A16" s="370" t="s">
        <v>968</v>
      </c>
      <c r="B16" s="275" t="s">
        <v>1047</v>
      </c>
      <c r="C16" s="275" t="s">
        <v>1049</v>
      </c>
      <c r="D16" s="302" t="s">
        <v>969</v>
      </c>
      <c r="E16" s="284"/>
      <c r="F16" s="282">
        <f>F18</f>
        <v>1537000</v>
      </c>
      <c r="G16" s="371">
        <f>G18</f>
        <v>1537000</v>
      </c>
    </row>
    <row r="17" spans="1:7" ht="30" customHeight="1">
      <c r="A17" s="372" t="s">
        <v>970</v>
      </c>
      <c r="B17" s="275" t="s">
        <v>1047</v>
      </c>
      <c r="C17" s="275" t="s">
        <v>1049</v>
      </c>
      <c r="D17" s="302" t="s">
        <v>971</v>
      </c>
      <c r="E17" s="284"/>
      <c r="F17" s="282">
        <f>F18</f>
        <v>1537000</v>
      </c>
      <c r="G17" s="371">
        <f>G18</f>
        <v>1537000</v>
      </c>
    </row>
    <row r="18" spans="1:7" ht="41.25" customHeight="1">
      <c r="A18" s="343" t="s">
        <v>522</v>
      </c>
      <c r="B18" s="275" t="s">
        <v>1047</v>
      </c>
      <c r="C18" s="275" t="s">
        <v>1049</v>
      </c>
      <c r="D18" s="302" t="s">
        <v>971</v>
      </c>
      <c r="E18" s="303" t="s">
        <v>523</v>
      </c>
      <c r="F18" s="282">
        <v>1537000</v>
      </c>
      <c r="G18" s="371">
        <v>1537000</v>
      </c>
    </row>
    <row r="19" spans="1:7" ht="42" customHeight="1">
      <c r="A19" s="372" t="s">
        <v>1050</v>
      </c>
      <c r="B19" s="275" t="s">
        <v>1047</v>
      </c>
      <c r="C19" s="275" t="s">
        <v>1051</v>
      </c>
      <c r="D19" s="275"/>
      <c r="E19" s="284"/>
      <c r="F19" s="282">
        <f>F20</f>
        <v>1942800</v>
      </c>
      <c r="G19" s="371">
        <f>G20</f>
        <v>1942800</v>
      </c>
    </row>
    <row r="20" spans="1:7" ht="29.25" customHeight="1">
      <c r="A20" s="343" t="s">
        <v>982</v>
      </c>
      <c r="B20" s="275" t="s">
        <v>1047</v>
      </c>
      <c r="C20" s="275" t="s">
        <v>1051</v>
      </c>
      <c r="D20" s="302" t="s">
        <v>983</v>
      </c>
      <c r="E20" s="284"/>
      <c r="F20" s="282">
        <f>F21+F24</f>
        <v>1942800</v>
      </c>
      <c r="G20" s="371">
        <f>G21+G24</f>
        <v>1942800</v>
      </c>
    </row>
    <row r="21" spans="1:7" ht="18.75" customHeight="1">
      <c r="A21" s="370" t="s">
        <v>984</v>
      </c>
      <c r="B21" s="275" t="s">
        <v>1047</v>
      </c>
      <c r="C21" s="275" t="s">
        <v>1051</v>
      </c>
      <c r="D21" s="302" t="s">
        <v>985</v>
      </c>
      <c r="E21" s="284"/>
      <c r="F21" s="282">
        <f>F22</f>
        <v>880000</v>
      </c>
      <c r="G21" s="371">
        <f>G22</f>
        <v>880000</v>
      </c>
    </row>
    <row r="22" spans="1:7" ht="26.25">
      <c r="A22" s="372" t="s">
        <v>970</v>
      </c>
      <c r="B22" s="275" t="s">
        <v>1047</v>
      </c>
      <c r="C22" s="275" t="s">
        <v>1051</v>
      </c>
      <c r="D22" s="302" t="s">
        <v>986</v>
      </c>
      <c r="E22" s="303"/>
      <c r="F22" s="282">
        <f>F23</f>
        <v>880000</v>
      </c>
      <c r="G22" s="371">
        <f>G23</f>
        <v>880000</v>
      </c>
    </row>
    <row r="23" spans="1:7" ht="44.25" customHeight="1">
      <c r="A23" s="343" t="s">
        <v>522</v>
      </c>
      <c r="B23" s="275" t="s">
        <v>1047</v>
      </c>
      <c r="C23" s="275" t="s">
        <v>1051</v>
      </c>
      <c r="D23" s="302" t="s">
        <v>986</v>
      </c>
      <c r="E23" s="303" t="s">
        <v>523</v>
      </c>
      <c r="F23" s="282">
        <v>880000</v>
      </c>
      <c r="G23" s="371">
        <v>880000</v>
      </c>
    </row>
    <row r="24" spans="1:7" ht="18" customHeight="1">
      <c r="A24" s="370" t="s">
        <v>987</v>
      </c>
      <c r="B24" s="275" t="s">
        <v>1047</v>
      </c>
      <c r="C24" s="275" t="s">
        <v>1051</v>
      </c>
      <c r="D24" s="302" t="s">
        <v>988</v>
      </c>
      <c r="E24" s="303"/>
      <c r="F24" s="282">
        <f>F25</f>
        <v>1062800</v>
      </c>
      <c r="G24" s="371">
        <f>G25</f>
        <v>1062800</v>
      </c>
    </row>
    <row r="25" spans="1:7" ht="27.75" customHeight="1">
      <c r="A25" s="372" t="s">
        <v>970</v>
      </c>
      <c r="B25" s="275" t="s">
        <v>1047</v>
      </c>
      <c r="C25" s="275" t="s">
        <v>1051</v>
      </c>
      <c r="D25" s="302" t="s">
        <v>989</v>
      </c>
      <c r="E25" s="303"/>
      <c r="F25" s="282">
        <f>F26+F27</f>
        <v>1062800</v>
      </c>
      <c r="G25" s="371">
        <f>G26+G27</f>
        <v>1062800</v>
      </c>
    </row>
    <row r="26" spans="1:7" ht="40.5" customHeight="1">
      <c r="A26" s="343" t="s">
        <v>522</v>
      </c>
      <c r="B26" s="275" t="s">
        <v>1047</v>
      </c>
      <c r="C26" s="275" t="s">
        <v>1051</v>
      </c>
      <c r="D26" s="302" t="s">
        <v>989</v>
      </c>
      <c r="E26" s="303" t="s">
        <v>523</v>
      </c>
      <c r="F26" s="282">
        <v>1062800</v>
      </c>
      <c r="G26" s="371">
        <v>1062800</v>
      </c>
    </row>
    <row r="27" spans="1:7" ht="13.5" hidden="1">
      <c r="A27" s="373" t="s">
        <v>524</v>
      </c>
      <c r="B27" s="275" t="s">
        <v>1047</v>
      </c>
      <c r="C27" s="275" t="s">
        <v>1051</v>
      </c>
      <c r="D27" s="302" t="s">
        <v>989</v>
      </c>
      <c r="E27" s="303" t="s">
        <v>525</v>
      </c>
      <c r="F27" s="282"/>
      <c r="G27" s="371"/>
    </row>
    <row r="28" spans="1:7" ht="42" customHeight="1">
      <c r="A28" s="372" t="s">
        <v>1052</v>
      </c>
      <c r="B28" s="275" t="s">
        <v>1053</v>
      </c>
      <c r="C28" s="275" t="s">
        <v>1054</v>
      </c>
      <c r="D28" s="275"/>
      <c r="E28" s="284"/>
      <c r="F28" s="282">
        <f>F29+F46+F61+F55+F40</f>
        <v>20264214</v>
      </c>
      <c r="G28" s="371">
        <f>G29+G46+G61+G55+G40</f>
        <v>20264214</v>
      </c>
    </row>
    <row r="29" spans="1:7" ht="30.75" customHeight="1">
      <c r="A29" s="370" t="s">
        <v>1055</v>
      </c>
      <c r="B29" s="275" t="s">
        <v>1053</v>
      </c>
      <c r="C29" s="275" t="s">
        <v>1054</v>
      </c>
      <c r="D29" s="302" t="s">
        <v>556</v>
      </c>
      <c r="E29" s="303"/>
      <c r="F29" s="282">
        <f>F35+F30</f>
        <v>2960000</v>
      </c>
      <c r="G29" s="371">
        <f>G35+G30</f>
        <v>2960000</v>
      </c>
    </row>
    <row r="30" spans="1:7" s="308" customFormat="1" ht="57.75" customHeight="1">
      <c r="A30" s="343" t="s">
        <v>1056</v>
      </c>
      <c r="B30" s="275" t="s">
        <v>1047</v>
      </c>
      <c r="C30" s="275" t="s">
        <v>1054</v>
      </c>
      <c r="D30" s="302" t="s">
        <v>580</v>
      </c>
      <c r="E30" s="303"/>
      <c r="F30" s="282">
        <f>F32</f>
        <v>888000</v>
      </c>
      <c r="G30" s="371">
        <f>G32</f>
        <v>888000</v>
      </c>
    </row>
    <row r="31" spans="1:7" ht="42" customHeight="1">
      <c r="A31" s="374" t="s">
        <v>585</v>
      </c>
      <c r="B31" s="275" t="s">
        <v>1047</v>
      </c>
      <c r="C31" s="275" t="s">
        <v>1054</v>
      </c>
      <c r="D31" s="302" t="s">
        <v>586</v>
      </c>
      <c r="E31" s="303"/>
      <c r="F31" s="282">
        <f>F32</f>
        <v>888000</v>
      </c>
      <c r="G31" s="371">
        <f>G32</f>
        <v>888000</v>
      </c>
    </row>
    <row r="32" spans="1:7" ht="42.75" customHeight="1">
      <c r="A32" s="375" t="s">
        <v>587</v>
      </c>
      <c r="B32" s="275" t="s">
        <v>1047</v>
      </c>
      <c r="C32" s="275" t="s">
        <v>1054</v>
      </c>
      <c r="D32" s="302" t="s">
        <v>588</v>
      </c>
      <c r="E32" s="303"/>
      <c r="F32" s="282">
        <f>F33+F34</f>
        <v>888000</v>
      </c>
      <c r="G32" s="371">
        <f>G33+G34</f>
        <v>888000</v>
      </c>
    </row>
    <row r="33" spans="1:7" ht="44.25" customHeight="1">
      <c r="A33" s="343" t="s">
        <v>522</v>
      </c>
      <c r="B33" s="275" t="s">
        <v>1047</v>
      </c>
      <c r="C33" s="275" t="s">
        <v>1054</v>
      </c>
      <c r="D33" s="302" t="s">
        <v>588</v>
      </c>
      <c r="E33" s="303" t="s">
        <v>523</v>
      </c>
      <c r="F33" s="282">
        <f>864600+11400</f>
        <v>876000</v>
      </c>
      <c r="G33" s="282">
        <f>864600+11400</f>
        <v>876000</v>
      </c>
    </row>
    <row r="34" spans="1:7" ht="30" customHeight="1">
      <c r="A34" s="343" t="s">
        <v>516</v>
      </c>
      <c r="B34" s="275" t="s">
        <v>1047</v>
      </c>
      <c r="C34" s="275" t="s">
        <v>1054</v>
      </c>
      <c r="D34" s="302" t="s">
        <v>588</v>
      </c>
      <c r="E34" s="303" t="s">
        <v>517</v>
      </c>
      <c r="F34" s="282">
        <v>12000</v>
      </c>
      <c r="G34" s="371">
        <v>12000</v>
      </c>
    </row>
    <row r="35" spans="1:7" s="308" customFormat="1" ht="54.75" customHeight="1">
      <c r="A35" s="372" t="s">
        <v>1057</v>
      </c>
      <c r="B35" s="275" t="s">
        <v>1047</v>
      </c>
      <c r="C35" s="275" t="s">
        <v>1054</v>
      </c>
      <c r="D35" s="302" t="s">
        <v>596</v>
      </c>
      <c r="E35" s="284"/>
      <c r="F35" s="282">
        <f>F36</f>
        <v>2072000</v>
      </c>
      <c r="G35" s="371">
        <f>G36</f>
        <v>2072000</v>
      </c>
    </row>
    <row r="36" spans="1:7" ht="29.25" customHeight="1">
      <c r="A36" s="376" t="s">
        <v>605</v>
      </c>
      <c r="B36" s="275" t="s">
        <v>1047</v>
      </c>
      <c r="C36" s="275" t="s">
        <v>1054</v>
      </c>
      <c r="D36" s="302" t="s">
        <v>606</v>
      </c>
      <c r="E36" s="284"/>
      <c r="F36" s="282">
        <f>F37</f>
        <v>2072000</v>
      </c>
      <c r="G36" s="371">
        <f>G37</f>
        <v>2072000</v>
      </c>
    </row>
    <row r="37" spans="1:7" ht="30" customHeight="1">
      <c r="A37" s="372" t="s">
        <v>607</v>
      </c>
      <c r="B37" s="275" t="s">
        <v>1047</v>
      </c>
      <c r="C37" s="275" t="s">
        <v>1054</v>
      </c>
      <c r="D37" s="302" t="s">
        <v>608</v>
      </c>
      <c r="E37" s="284"/>
      <c r="F37" s="282">
        <f>F38+F39</f>
        <v>2072000</v>
      </c>
      <c r="G37" s="371">
        <f>G38+G39</f>
        <v>2072000</v>
      </c>
    </row>
    <row r="38" spans="1:7" ht="43.5" customHeight="1">
      <c r="A38" s="343" t="s">
        <v>522</v>
      </c>
      <c r="B38" s="275" t="s">
        <v>1047</v>
      </c>
      <c r="C38" s="275" t="s">
        <v>1054</v>
      </c>
      <c r="D38" s="302" t="s">
        <v>608</v>
      </c>
      <c r="E38" s="303" t="s">
        <v>523</v>
      </c>
      <c r="F38" s="282">
        <f>1524168+460299+300+46799+14134-300+26600</f>
        <v>2072000</v>
      </c>
      <c r="G38" s="282">
        <f>1524168+460299+300+46799+14134-300+26600</f>
        <v>2072000</v>
      </c>
    </row>
    <row r="39" spans="1:7" ht="48" customHeight="1" hidden="1">
      <c r="A39" s="343" t="s">
        <v>516</v>
      </c>
      <c r="B39" s="275" t="s">
        <v>1047</v>
      </c>
      <c r="C39" s="275" t="s">
        <v>1054</v>
      </c>
      <c r="D39" s="302" t="s">
        <v>608</v>
      </c>
      <c r="E39" s="303" t="s">
        <v>517</v>
      </c>
      <c r="F39" s="282">
        <f>60633-60633</f>
        <v>0</v>
      </c>
      <c r="G39" s="371">
        <f>60633-60633</f>
        <v>0</v>
      </c>
    </row>
    <row r="40" spans="1:7" ht="42.75" customHeight="1">
      <c r="A40" s="367" t="s">
        <v>812</v>
      </c>
      <c r="B40" s="275" t="s">
        <v>1047</v>
      </c>
      <c r="C40" s="275" t="s">
        <v>1054</v>
      </c>
      <c r="D40" s="302" t="s">
        <v>813</v>
      </c>
      <c r="E40" s="284"/>
      <c r="F40" s="282">
        <f>F41</f>
        <v>329014</v>
      </c>
      <c r="G40" s="371">
        <f>G41</f>
        <v>329014</v>
      </c>
    </row>
    <row r="41" spans="1:7" s="308" customFormat="1" ht="70.5" customHeight="1">
      <c r="A41" s="376" t="s">
        <v>814</v>
      </c>
      <c r="B41" s="275" t="s">
        <v>1047</v>
      </c>
      <c r="C41" s="275" t="s">
        <v>1054</v>
      </c>
      <c r="D41" s="302" t="s">
        <v>815</v>
      </c>
      <c r="E41" s="284"/>
      <c r="F41" s="282">
        <f>F43</f>
        <v>329014</v>
      </c>
      <c r="G41" s="371">
        <f>G43</f>
        <v>329014</v>
      </c>
    </row>
    <row r="42" spans="1:7" ht="31.5" customHeight="1">
      <c r="A42" s="373" t="s">
        <v>816</v>
      </c>
      <c r="B42" s="275" t="s">
        <v>1047</v>
      </c>
      <c r="C42" s="275" t="s">
        <v>1054</v>
      </c>
      <c r="D42" s="302" t="s">
        <v>817</v>
      </c>
      <c r="E42" s="284"/>
      <c r="F42" s="282">
        <f>F43</f>
        <v>329014</v>
      </c>
      <c r="G42" s="371">
        <f>G43</f>
        <v>329014</v>
      </c>
    </row>
    <row r="43" spans="1:7" ht="26.25">
      <c r="A43" s="375" t="s">
        <v>818</v>
      </c>
      <c r="B43" s="275" t="s">
        <v>1047</v>
      </c>
      <c r="C43" s="275" t="s">
        <v>1054</v>
      </c>
      <c r="D43" s="302" t="s">
        <v>819</v>
      </c>
      <c r="E43" s="284"/>
      <c r="F43" s="282">
        <f>F44+F45</f>
        <v>329014</v>
      </c>
      <c r="G43" s="371">
        <f>G44+G45</f>
        <v>329014</v>
      </c>
    </row>
    <row r="44" spans="1:7" ht="44.25" customHeight="1">
      <c r="A44" s="343" t="s">
        <v>522</v>
      </c>
      <c r="B44" s="275" t="s">
        <v>1047</v>
      </c>
      <c r="C44" s="275" t="s">
        <v>1054</v>
      </c>
      <c r="D44" s="302" t="s">
        <v>819</v>
      </c>
      <c r="E44" s="303" t="s">
        <v>523</v>
      </c>
      <c r="F44" s="282">
        <v>295773</v>
      </c>
      <c r="G44" s="371">
        <v>295773</v>
      </c>
    </row>
    <row r="45" spans="1:7" ht="29.25" customHeight="1">
      <c r="A45" s="343" t="s">
        <v>516</v>
      </c>
      <c r="B45" s="275" t="s">
        <v>1047</v>
      </c>
      <c r="C45" s="275" t="s">
        <v>1054</v>
      </c>
      <c r="D45" s="302" t="s">
        <v>819</v>
      </c>
      <c r="E45" s="303" t="s">
        <v>517</v>
      </c>
      <c r="F45" s="282">
        <v>33241</v>
      </c>
      <c r="G45" s="371">
        <v>33241</v>
      </c>
    </row>
    <row r="46" spans="1:7" ht="43.5" customHeight="1">
      <c r="A46" s="370" t="s">
        <v>852</v>
      </c>
      <c r="B46" s="275" t="s">
        <v>1047</v>
      </c>
      <c r="C46" s="275" t="s">
        <v>1054</v>
      </c>
      <c r="D46" s="302" t="s">
        <v>853</v>
      </c>
      <c r="E46" s="303"/>
      <c r="F46" s="282">
        <f>F47</f>
        <v>592000</v>
      </c>
      <c r="G46" s="371">
        <f>G47</f>
        <v>592000</v>
      </c>
    </row>
    <row r="47" spans="1:7" s="308" customFormat="1" ht="69.75" customHeight="1">
      <c r="A47" s="370" t="s">
        <v>862</v>
      </c>
      <c r="B47" s="275" t="s">
        <v>1047</v>
      </c>
      <c r="C47" s="275" t="s">
        <v>1054</v>
      </c>
      <c r="D47" s="302" t="s">
        <v>863</v>
      </c>
      <c r="E47" s="303"/>
      <c r="F47" s="282">
        <f>F49+F52</f>
        <v>592000</v>
      </c>
      <c r="G47" s="371">
        <f>G49+G52</f>
        <v>592000</v>
      </c>
    </row>
    <row r="48" spans="1:7" ht="41.25" customHeight="1">
      <c r="A48" s="376" t="s">
        <v>864</v>
      </c>
      <c r="B48" s="275" t="s">
        <v>1047</v>
      </c>
      <c r="C48" s="275" t="s">
        <v>1054</v>
      </c>
      <c r="D48" s="302" t="s">
        <v>865</v>
      </c>
      <c r="E48" s="303"/>
      <c r="F48" s="282">
        <f>F49+F52</f>
        <v>592000</v>
      </c>
      <c r="G48" s="371">
        <f>G49+G52</f>
        <v>592000</v>
      </c>
    </row>
    <row r="49" spans="1:7" ht="40.5" customHeight="1">
      <c r="A49" s="375" t="s">
        <v>866</v>
      </c>
      <c r="B49" s="275" t="s">
        <v>1047</v>
      </c>
      <c r="C49" s="275" t="s">
        <v>1054</v>
      </c>
      <c r="D49" s="275" t="s">
        <v>867</v>
      </c>
      <c r="E49" s="284"/>
      <c r="F49" s="282">
        <f>F50+F51</f>
        <v>296000</v>
      </c>
      <c r="G49" s="371">
        <f>G50+G51</f>
        <v>296000</v>
      </c>
    </row>
    <row r="50" spans="1:7" ht="41.25" customHeight="1">
      <c r="A50" s="343" t="s">
        <v>522</v>
      </c>
      <c r="B50" s="275" t="s">
        <v>1047</v>
      </c>
      <c r="C50" s="275" t="s">
        <v>1054</v>
      </c>
      <c r="D50" s="275" t="s">
        <v>867</v>
      </c>
      <c r="E50" s="303" t="s">
        <v>523</v>
      </c>
      <c r="F50" s="282">
        <f>292200+3800</f>
        <v>296000</v>
      </c>
      <c r="G50" s="282">
        <f>292200+3800</f>
        <v>296000</v>
      </c>
    </row>
    <row r="51" spans="1:7" ht="26.25">
      <c r="A51" s="343" t="s">
        <v>516</v>
      </c>
      <c r="B51" s="275" t="s">
        <v>1047</v>
      </c>
      <c r="C51" s="275" t="s">
        <v>1054</v>
      </c>
      <c r="D51" s="275" t="s">
        <v>867</v>
      </c>
      <c r="E51" s="303" t="s">
        <v>517</v>
      </c>
      <c r="F51" s="282"/>
      <c r="G51" s="371"/>
    </row>
    <row r="52" spans="1:7" ht="29.25" customHeight="1">
      <c r="A52" s="375" t="s">
        <v>868</v>
      </c>
      <c r="B52" s="275" t="s">
        <v>1047</v>
      </c>
      <c r="C52" s="275" t="s">
        <v>1054</v>
      </c>
      <c r="D52" s="275" t="s">
        <v>869</v>
      </c>
      <c r="E52" s="284"/>
      <c r="F52" s="282">
        <f>F53+F54</f>
        <v>296000</v>
      </c>
      <c r="G52" s="371">
        <f>G53+G54</f>
        <v>296000</v>
      </c>
    </row>
    <row r="53" spans="1:7" ht="38.25" customHeight="1">
      <c r="A53" s="343" t="s">
        <v>522</v>
      </c>
      <c r="B53" s="275" t="s">
        <v>1047</v>
      </c>
      <c r="C53" s="275" t="s">
        <v>1054</v>
      </c>
      <c r="D53" s="275" t="s">
        <v>869</v>
      </c>
      <c r="E53" s="303" t="s">
        <v>523</v>
      </c>
      <c r="F53" s="282">
        <f>193920+58564+30503+9213+3800</f>
        <v>296000</v>
      </c>
      <c r="G53" s="282">
        <f>193920+58564+30503+9213+3800</f>
        <v>296000</v>
      </c>
    </row>
    <row r="54" spans="1:7" ht="26.25" hidden="1">
      <c r="A54" s="343" t="s">
        <v>516</v>
      </c>
      <c r="B54" s="275" t="s">
        <v>1047</v>
      </c>
      <c r="C54" s="275" t="s">
        <v>1054</v>
      </c>
      <c r="D54" s="275" t="s">
        <v>869</v>
      </c>
      <c r="E54" s="303" t="s">
        <v>517</v>
      </c>
      <c r="F54" s="282">
        <f>39716-39716</f>
        <v>0</v>
      </c>
      <c r="G54" s="371">
        <f>39716-39716</f>
        <v>0</v>
      </c>
    </row>
    <row r="55" spans="1:7" ht="21" customHeight="1">
      <c r="A55" s="343" t="s">
        <v>972</v>
      </c>
      <c r="B55" s="275" t="s">
        <v>1047</v>
      </c>
      <c r="C55" s="275" t="s">
        <v>1054</v>
      </c>
      <c r="D55" s="275" t="s">
        <v>973</v>
      </c>
      <c r="E55" s="284"/>
      <c r="F55" s="282">
        <f>F56</f>
        <v>16057600</v>
      </c>
      <c r="G55" s="371">
        <f>G56</f>
        <v>16057600</v>
      </c>
    </row>
    <row r="56" spans="1:7" ht="18" customHeight="1">
      <c r="A56" s="372" t="s">
        <v>974</v>
      </c>
      <c r="B56" s="275" t="s">
        <v>1047</v>
      </c>
      <c r="C56" s="275" t="s">
        <v>1054</v>
      </c>
      <c r="D56" s="275" t="s">
        <v>975</v>
      </c>
      <c r="E56" s="284"/>
      <c r="F56" s="282">
        <f>F57</f>
        <v>16057600</v>
      </c>
      <c r="G56" s="371">
        <f>G57</f>
        <v>16057600</v>
      </c>
    </row>
    <row r="57" spans="1:7" ht="26.25">
      <c r="A57" s="372" t="s">
        <v>970</v>
      </c>
      <c r="B57" s="275" t="s">
        <v>1047</v>
      </c>
      <c r="C57" s="275" t="s">
        <v>1054</v>
      </c>
      <c r="D57" s="275" t="s">
        <v>976</v>
      </c>
      <c r="E57" s="284"/>
      <c r="F57" s="282">
        <f>F58+F59+F60</f>
        <v>16057600</v>
      </c>
      <c r="G57" s="371">
        <f>G58+G59+G60</f>
        <v>16057600</v>
      </c>
    </row>
    <row r="58" spans="1:7" ht="43.5" customHeight="1">
      <c r="A58" s="343" t="s">
        <v>522</v>
      </c>
      <c r="B58" s="275" t="s">
        <v>1047</v>
      </c>
      <c r="C58" s="275" t="s">
        <v>1054</v>
      </c>
      <c r="D58" s="275" t="s">
        <v>976</v>
      </c>
      <c r="E58" s="303" t="s">
        <v>523</v>
      </c>
      <c r="F58" s="282">
        <v>15918200</v>
      </c>
      <c r="G58" s="371">
        <v>15918200</v>
      </c>
    </row>
    <row r="59" spans="1:7" ht="27.75" customHeight="1">
      <c r="A59" s="343" t="s">
        <v>516</v>
      </c>
      <c r="B59" s="275" t="s">
        <v>1047</v>
      </c>
      <c r="C59" s="275" t="s">
        <v>1054</v>
      </c>
      <c r="D59" s="275" t="s">
        <v>976</v>
      </c>
      <c r="E59" s="303" t="s">
        <v>517</v>
      </c>
      <c r="F59" s="334">
        <v>58500</v>
      </c>
      <c r="G59" s="377">
        <v>58500</v>
      </c>
    </row>
    <row r="60" spans="1:7" ht="21.75" customHeight="1">
      <c r="A60" s="373" t="s">
        <v>524</v>
      </c>
      <c r="B60" s="275" t="s">
        <v>1047</v>
      </c>
      <c r="C60" s="275" t="s">
        <v>1054</v>
      </c>
      <c r="D60" s="275" t="s">
        <v>976</v>
      </c>
      <c r="E60" s="303" t="s">
        <v>525</v>
      </c>
      <c r="F60" s="282">
        <v>80900</v>
      </c>
      <c r="G60" s="371">
        <v>80900</v>
      </c>
    </row>
    <row r="61" spans="1:7" ht="17.25" customHeight="1">
      <c r="A61" s="370" t="s">
        <v>995</v>
      </c>
      <c r="B61" s="275" t="s">
        <v>1047</v>
      </c>
      <c r="C61" s="275" t="s">
        <v>1054</v>
      </c>
      <c r="D61" s="275" t="s">
        <v>996</v>
      </c>
      <c r="E61" s="284"/>
      <c r="F61" s="282">
        <f>F62+F66</f>
        <v>325600</v>
      </c>
      <c r="G61" s="371">
        <f>G62+G66</f>
        <v>325600</v>
      </c>
    </row>
    <row r="62" spans="1:7" ht="27.75" customHeight="1">
      <c r="A62" s="376" t="s">
        <v>997</v>
      </c>
      <c r="B62" s="275" t="s">
        <v>1047</v>
      </c>
      <c r="C62" s="275" t="s">
        <v>1054</v>
      </c>
      <c r="D62" s="275" t="s">
        <v>998</v>
      </c>
      <c r="E62" s="284"/>
      <c r="F62" s="282">
        <f>F63</f>
        <v>296000</v>
      </c>
      <c r="G62" s="371">
        <f>G63</f>
        <v>296000</v>
      </c>
    </row>
    <row r="63" spans="1:7" ht="27" customHeight="1">
      <c r="A63" s="372" t="s">
        <v>999</v>
      </c>
      <c r="B63" s="275" t="s">
        <v>1047</v>
      </c>
      <c r="C63" s="275" t="s">
        <v>1054</v>
      </c>
      <c r="D63" s="275" t="s">
        <v>1000</v>
      </c>
      <c r="E63" s="284"/>
      <c r="F63" s="282">
        <f>F64+F65</f>
        <v>296000</v>
      </c>
      <c r="G63" s="371">
        <f>G64+G65</f>
        <v>296000</v>
      </c>
    </row>
    <row r="64" spans="1:7" ht="39">
      <c r="A64" s="343" t="s">
        <v>522</v>
      </c>
      <c r="B64" s="275" t="s">
        <v>1047</v>
      </c>
      <c r="C64" s="275" t="s">
        <v>1054</v>
      </c>
      <c r="D64" s="275" t="s">
        <v>1000</v>
      </c>
      <c r="E64" s="303" t="s">
        <v>523</v>
      </c>
      <c r="F64" s="282">
        <f>208320+62913+16104+4863+3800</f>
        <v>296000</v>
      </c>
      <c r="G64" s="282">
        <f>208320+62913+16104+4863+3800</f>
        <v>296000</v>
      </c>
    </row>
    <row r="65" spans="1:7" ht="13.5" hidden="1">
      <c r="A65" s="343" t="s">
        <v>554</v>
      </c>
      <c r="B65" s="275" t="s">
        <v>1047</v>
      </c>
      <c r="C65" s="275" t="s">
        <v>1054</v>
      </c>
      <c r="D65" s="275" t="s">
        <v>1000</v>
      </c>
      <c r="E65" s="303" t="s">
        <v>517</v>
      </c>
      <c r="F65" s="282">
        <f>20967-20967</f>
        <v>0</v>
      </c>
      <c r="G65" s="371">
        <f>20967-20967</f>
        <v>0</v>
      </c>
    </row>
    <row r="66" spans="1:7" ht="17.25" customHeight="1">
      <c r="A66" s="370" t="s">
        <v>1001</v>
      </c>
      <c r="B66" s="275" t="s">
        <v>1047</v>
      </c>
      <c r="C66" s="275" t="s">
        <v>1054</v>
      </c>
      <c r="D66" s="275" t="s">
        <v>1002</v>
      </c>
      <c r="E66" s="284"/>
      <c r="F66" s="282">
        <f>F67</f>
        <v>29600</v>
      </c>
      <c r="G66" s="371">
        <f>G67</f>
        <v>29600</v>
      </c>
    </row>
    <row r="67" spans="1:7" ht="42" customHeight="1">
      <c r="A67" s="378" t="s">
        <v>1005</v>
      </c>
      <c r="B67" s="275" t="s">
        <v>1047</v>
      </c>
      <c r="C67" s="275" t="s">
        <v>1054</v>
      </c>
      <c r="D67" s="275" t="s">
        <v>1006</v>
      </c>
      <c r="E67" s="284"/>
      <c r="F67" s="282">
        <f>F68</f>
        <v>29600</v>
      </c>
      <c r="G67" s="371">
        <f>G68</f>
        <v>29600</v>
      </c>
    </row>
    <row r="68" spans="1:7" ht="25.5" customHeight="1">
      <c r="A68" s="343" t="s">
        <v>516</v>
      </c>
      <c r="B68" s="275" t="s">
        <v>1047</v>
      </c>
      <c r="C68" s="275" t="s">
        <v>1054</v>
      </c>
      <c r="D68" s="275" t="s">
        <v>1006</v>
      </c>
      <c r="E68" s="303" t="s">
        <v>523</v>
      </c>
      <c r="F68" s="282">
        <f>22442+6778+380</f>
        <v>29600</v>
      </c>
      <c r="G68" s="282">
        <f>22442+6778+380</f>
        <v>29600</v>
      </c>
    </row>
    <row r="69" spans="1:7" ht="48" customHeight="1" hidden="1">
      <c r="A69" s="379" t="s">
        <v>1058</v>
      </c>
      <c r="B69" s="275" t="s">
        <v>1047</v>
      </c>
      <c r="C69" s="275" t="s">
        <v>1059</v>
      </c>
      <c r="D69" s="275"/>
      <c r="E69" s="303"/>
      <c r="F69" s="282">
        <f aca="true" t="shared" si="0" ref="F69:G72">F70</f>
        <v>0</v>
      </c>
      <c r="G69" s="371">
        <f t="shared" si="0"/>
        <v>0</v>
      </c>
    </row>
    <row r="70" spans="1:7" ht="48" customHeight="1" hidden="1">
      <c r="A70" s="370" t="s">
        <v>995</v>
      </c>
      <c r="B70" s="275" t="s">
        <v>1047</v>
      </c>
      <c r="C70" s="275" t="s">
        <v>1059</v>
      </c>
      <c r="D70" s="275" t="s">
        <v>996</v>
      </c>
      <c r="E70" s="303"/>
      <c r="F70" s="282">
        <f t="shared" si="0"/>
        <v>0</v>
      </c>
      <c r="G70" s="371">
        <f t="shared" si="0"/>
        <v>0</v>
      </c>
    </row>
    <row r="71" spans="1:7" ht="48" customHeight="1" hidden="1">
      <c r="A71" s="370" t="s">
        <v>1001</v>
      </c>
      <c r="B71" s="275" t="s">
        <v>1047</v>
      </c>
      <c r="C71" s="275" t="s">
        <v>1059</v>
      </c>
      <c r="D71" s="275" t="s">
        <v>1002</v>
      </c>
      <c r="E71" s="303"/>
      <c r="F71" s="282">
        <f t="shared" si="0"/>
        <v>0</v>
      </c>
      <c r="G71" s="371">
        <f t="shared" si="0"/>
        <v>0</v>
      </c>
    </row>
    <row r="72" spans="1:7" ht="48" customHeight="1" hidden="1">
      <c r="A72" s="375" t="s">
        <v>1007</v>
      </c>
      <c r="B72" s="275" t="s">
        <v>1047</v>
      </c>
      <c r="C72" s="275" t="s">
        <v>1059</v>
      </c>
      <c r="D72" s="275" t="s">
        <v>1008</v>
      </c>
      <c r="E72" s="303"/>
      <c r="F72" s="282">
        <f t="shared" si="0"/>
        <v>0</v>
      </c>
      <c r="G72" s="371">
        <f t="shared" si="0"/>
        <v>0</v>
      </c>
    </row>
    <row r="73" spans="1:7" ht="48" customHeight="1" hidden="1">
      <c r="A73" s="343" t="s">
        <v>554</v>
      </c>
      <c r="B73" s="275" t="s">
        <v>1047</v>
      </c>
      <c r="C73" s="275" t="s">
        <v>1059</v>
      </c>
      <c r="D73" s="275" t="s">
        <v>1008</v>
      </c>
      <c r="E73" s="303" t="s">
        <v>517</v>
      </c>
      <c r="F73" s="282"/>
      <c r="G73" s="371"/>
    </row>
    <row r="74" spans="1:7" ht="26.25">
      <c r="A74" s="370" t="s">
        <v>1060</v>
      </c>
      <c r="B74" s="275" t="s">
        <v>1047</v>
      </c>
      <c r="C74" s="275" t="s">
        <v>1061</v>
      </c>
      <c r="D74" s="275"/>
      <c r="E74" s="284"/>
      <c r="F74" s="282">
        <f aca="true" t="shared" si="1" ref="F74:G76">F75</f>
        <v>559000</v>
      </c>
      <c r="G74" s="371">
        <f t="shared" si="1"/>
        <v>559000</v>
      </c>
    </row>
    <row r="75" spans="1:7" ht="26.25">
      <c r="A75" s="380" t="s">
        <v>977</v>
      </c>
      <c r="B75" s="275" t="s">
        <v>1047</v>
      </c>
      <c r="C75" s="275" t="s">
        <v>1061</v>
      </c>
      <c r="D75" s="298" t="s">
        <v>978</v>
      </c>
      <c r="E75" s="303"/>
      <c r="F75" s="282">
        <f t="shared" si="1"/>
        <v>559000</v>
      </c>
      <c r="G75" s="371">
        <f t="shared" si="1"/>
        <v>559000</v>
      </c>
    </row>
    <row r="76" spans="1:7" ht="13.5">
      <c r="A76" s="380" t="s">
        <v>979</v>
      </c>
      <c r="B76" s="275" t="s">
        <v>1047</v>
      </c>
      <c r="C76" s="275" t="s">
        <v>1061</v>
      </c>
      <c r="D76" s="298" t="s">
        <v>980</v>
      </c>
      <c r="E76" s="303"/>
      <c r="F76" s="282">
        <f t="shared" si="1"/>
        <v>559000</v>
      </c>
      <c r="G76" s="371">
        <f t="shared" si="1"/>
        <v>559000</v>
      </c>
    </row>
    <row r="77" spans="1:7" ht="26.25">
      <c r="A77" s="372" t="s">
        <v>970</v>
      </c>
      <c r="B77" s="275" t="s">
        <v>1047</v>
      </c>
      <c r="C77" s="275" t="s">
        <v>1061</v>
      </c>
      <c r="D77" s="298" t="s">
        <v>981</v>
      </c>
      <c r="E77" s="284"/>
      <c r="F77" s="282">
        <f>F78+F79+F80</f>
        <v>559000</v>
      </c>
      <c r="G77" s="371">
        <f>G78+G79+G80</f>
        <v>559000</v>
      </c>
    </row>
    <row r="78" spans="1:7" ht="39">
      <c r="A78" s="343" t="s">
        <v>522</v>
      </c>
      <c r="B78" s="275" t="s">
        <v>1047</v>
      </c>
      <c r="C78" s="275" t="s">
        <v>1061</v>
      </c>
      <c r="D78" s="298" t="s">
        <v>981</v>
      </c>
      <c r="E78" s="303" t="s">
        <v>523</v>
      </c>
      <c r="F78" s="282">
        <v>559000</v>
      </c>
      <c r="G78" s="371">
        <v>559000</v>
      </c>
    </row>
    <row r="79" spans="1:7" ht="13.5">
      <c r="A79" s="343" t="s">
        <v>554</v>
      </c>
      <c r="B79" s="275" t="s">
        <v>1047</v>
      </c>
      <c r="C79" s="275" t="s">
        <v>1061</v>
      </c>
      <c r="D79" s="298" t="s">
        <v>981</v>
      </c>
      <c r="E79" s="303" t="s">
        <v>517</v>
      </c>
      <c r="F79" s="282">
        <v>0</v>
      </c>
      <c r="G79" s="371">
        <v>0</v>
      </c>
    </row>
    <row r="80" spans="1:7" ht="48" customHeight="1" hidden="1">
      <c r="A80" s="373" t="s">
        <v>524</v>
      </c>
      <c r="B80" s="275" t="s">
        <v>1047</v>
      </c>
      <c r="C80" s="275" t="s">
        <v>1061</v>
      </c>
      <c r="D80" s="298" t="s">
        <v>981</v>
      </c>
      <c r="E80" s="303" t="s">
        <v>525</v>
      </c>
      <c r="F80" s="282"/>
      <c r="G80" s="371"/>
    </row>
    <row r="81" spans="1:7" ht="48" customHeight="1" hidden="1">
      <c r="A81" s="381" t="s">
        <v>1062</v>
      </c>
      <c r="B81" s="275" t="s">
        <v>1047</v>
      </c>
      <c r="C81" s="275" t="s">
        <v>1063</v>
      </c>
      <c r="D81" s="298"/>
      <c r="E81" s="303"/>
      <c r="F81" s="282">
        <f aca="true" t="shared" si="2" ref="F81:G84">F82</f>
        <v>0</v>
      </c>
      <c r="G81" s="371">
        <f t="shared" si="2"/>
        <v>0</v>
      </c>
    </row>
    <row r="82" spans="1:7" ht="48" customHeight="1" hidden="1">
      <c r="A82" s="370" t="s">
        <v>995</v>
      </c>
      <c r="B82" s="275" t="s">
        <v>1047</v>
      </c>
      <c r="C82" s="275" t="s">
        <v>1063</v>
      </c>
      <c r="D82" s="298" t="s">
        <v>996</v>
      </c>
      <c r="E82" s="303"/>
      <c r="F82" s="282">
        <f t="shared" si="2"/>
        <v>0</v>
      </c>
      <c r="G82" s="371">
        <f t="shared" si="2"/>
        <v>0</v>
      </c>
    </row>
    <row r="83" spans="1:7" ht="48" customHeight="1" hidden="1">
      <c r="A83" s="373" t="s">
        <v>1017</v>
      </c>
      <c r="B83" s="275" t="s">
        <v>1047</v>
      </c>
      <c r="C83" s="275" t="s">
        <v>1063</v>
      </c>
      <c r="D83" s="298" t="s">
        <v>1018</v>
      </c>
      <c r="E83" s="303"/>
      <c r="F83" s="282">
        <f t="shared" si="2"/>
        <v>0</v>
      </c>
      <c r="G83" s="371">
        <f t="shared" si="2"/>
        <v>0</v>
      </c>
    </row>
    <row r="84" spans="1:7" ht="48" customHeight="1" hidden="1">
      <c r="A84" s="373" t="s">
        <v>1019</v>
      </c>
      <c r="B84" s="275" t="s">
        <v>1047</v>
      </c>
      <c r="C84" s="275" t="s">
        <v>1063</v>
      </c>
      <c r="D84" s="298" t="s">
        <v>1064</v>
      </c>
      <c r="E84" s="303"/>
      <c r="F84" s="282">
        <f t="shared" si="2"/>
        <v>0</v>
      </c>
      <c r="G84" s="371">
        <f t="shared" si="2"/>
        <v>0</v>
      </c>
    </row>
    <row r="85" spans="1:7" ht="48" customHeight="1" hidden="1">
      <c r="A85" s="373" t="s">
        <v>524</v>
      </c>
      <c r="B85" s="275" t="s">
        <v>1047</v>
      </c>
      <c r="C85" s="275" t="s">
        <v>1063</v>
      </c>
      <c r="D85" s="298" t="s">
        <v>1064</v>
      </c>
      <c r="E85" s="303" t="s">
        <v>525</v>
      </c>
      <c r="F85" s="282"/>
      <c r="G85" s="371"/>
    </row>
    <row r="86" spans="1:7" ht="18" customHeight="1">
      <c r="A86" s="370" t="s">
        <v>1024</v>
      </c>
      <c r="B86" s="275" t="s">
        <v>1047</v>
      </c>
      <c r="C86" s="275" t="s">
        <v>1065</v>
      </c>
      <c r="D86" s="275"/>
      <c r="E86" s="284"/>
      <c r="F86" s="282">
        <f>F88</f>
        <v>50000</v>
      </c>
      <c r="G86" s="371">
        <f>G88</f>
        <v>50000</v>
      </c>
    </row>
    <row r="87" spans="1:7" ht="15.75" customHeight="1">
      <c r="A87" s="343" t="s">
        <v>1021</v>
      </c>
      <c r="B87" s="275" t="s">
        <v>1047</v>
      </c>
      <c r="C87" s="275" t="s">
        <v>1065</v>
      </c>
      <c r="D87" s="302" t="s">
        <v>1022</v>
      </c>
      <c r="E87" s="338" t="s">
        <v>1023</v>
      </c>
      <c r="F87" s="282">
        <f aca="true" t="shared" si="3" ref="F87:G89">F88</f>
        <v>50000</v>
      </c>
      <c r="G87" s="371">
        <f t="shared" si="3"/>
        <v>50000</v>
      </c>
    </row>
    <row r="88" spans="1:7" ht="16.5" customHeight="1">
      <c r="A88" s="343" t="s">
        <v>1024</v>
      </c>
      <c r="B88" s="275" t="s">
        <v>1047</v>
      </c>
      <c r="C88" s="275" t="s">
        <v>1065</v>
      </c>
      <c r="D88" s="302" t="s">
        <v>1025</v>
      </c>
      <c r="E88" s="338" t="s">
        <v>1023</v>
      </c>
      <c r="F88" s="282">
        <f t="shared" si="3"/>
        <v>50000</v>
      </c>
      <c r="G88" s="371">
        <f t="shared" si="3"/>
        <v>50000</v>
      </c>
    </row>
    <row r="89" spans="1:7" ht="15.75" customHeight="1">
      <c r="A89" s="372" t="s">
        <v>1026</v>
      </c>
      <c r="B89" s="275" t="s">
        <v>1047</v>
      </c>
      <c r="C89" s="275" t="s">
        <v>1065</v>
      </c>
      <c r="D89" s="302" t="s">
        <v>1027</v>
      </c>
      <c r="E89" s="338" t="s">
        <v>1023</v>
      </c>
      <c r="F89" s="282">
        <f t="shared" si="3"/>
        <v>50000</v>
      </c>
      <c r="G89" s="371">
        <f t="shared" si="3"/>
        <v>50000</v>
      </c>
    </row>
    <row r="90" spans="1:7" ht="13.5">
      <c r="A90" s="343" t="s">
        <v>524</v>
      </c>
      <c r="B90" s="275" t="s">
        <v>1047</v>
      </c>
      <c r="C90" s="275" t="s">
        <v>1065</v>
      </c>
      <c r="D90" s="302" t="s">
        <v>1027</v>
      </c>
      <c r="E90" s="338" t="s">
        <v>525</v>
      </c>
      <c r="F90" s="282">
        <f>50000</f>
        <v>50000</v>
      </c>
      <c r="G90" s="371">
        <f>50000</f>
        <v>50000</v>
      </c>
    </row>
    <row r="91" spans="1:11" ht="13.5">
      <c r="A91" s="370" t="s">
        <v>1066</v>
      </c>
      <c r="B91" s="275" t="s">
        <v>1047</v>
      </c>
      <c r="C91" s="275" t="s">
        <v>1067</v>
      </c>
      <c r="D91" s="275"/>
      <c r="E91" s="284"/>
      <c r="F91" s="282">
        <f>F92+F113+F144+F150+F155+F165+F123+F135+F128+F118</f>
        <v>11581550.78</v>
      </c>
      <c r="G91" s="371">
        <f>G92+G113+G144+G150+G155+G165+G123+G135+G128+G118</f>
        <v>10735746</v>
      </c>
      <c r="K91" s="306"/>
    </row>
    <row r="92" spans="1:7" ht="44.25" customHeight="1">
      <c r="A92" s="370" t="s">
        <v>1068</v>
      </c>
      <c r="B92" s="275" t="s">
        <v>1047</v>
      </c>
      <c r="C92" s="275" t="s">
        <v>1067</v>
      </c>
      <c r="D92" s="275" t="s">
        <v>556</v>
      </c>
      <c r="E92" s="284"/>
      <c r="F92" s="282">
        <f>F104+F97+F93</f>
        <v>166300</v>
      </c>
      <c r="G92" s="371">
        <f>G104+G97+G93</f>
        <v>166300</v>
      </c>
    </row>
    <row r="93" spans="1:7" ht="54" customHeight="1">
      <c r="A93" s="382" t="s">
        <v>1069</v>
      </c>
      <c r="B93" s="275" t="s">
        <v>1047</v>
      </c>
      <c r="C93" s="275" t="s">
        <v>1067</v>
      </c>
      <c r="D93" s="275" t="s">
        <v>558</v>
      </c>
      <c r="E93" s="284"/>
      <c r="F93" s="282">
        <f aca="true" t="shared" si="4" ref="F93:G95">F94</f>
        <v>14000</v>
      </c>
      <c r="G93" s="371">
        <f t="shared" si="4"/>
        <v>14000</v>
      </c>
    </row>
    <row r="94" spans="1:7" ht="32.25" customHeight="1">
      <c r="A94" s="382" t="s">
        <v>571</v>
      </c>
      <c r="B94" s="275" t="s">
        <v>1047</v>
      </c>
      <c r="C94" s="275" t="s">
        <v>1067</v>
      </c>
      <c r="D94" s="275" t="s">
        <v>572</v>
      </c>
      <c r="E94" s="284"/>
      <c r="F94" s="282">
        <f t="shared" si="4"/>
        <v>14000</v>
      </c>
      <c r="G94" s="371">
        <f t="shared" si="4"/>
        <v>14000</v>
      </c>
    </row>
    <row r="95" spans="1:7" ht="13.5">
      <c r="A95" s="343" t="s">
        <v>573</v>
      </c>
      <c r="B95" s="275" t="s">
        <v>1047</v>
      </c>
      <c r="C95" s="275" t="s">
        <v>1067</v>
      </c>
      <c r="D95" s="289" t="s">
        <v>574</v>
      </c>
      <c r="E95" s="284"/>
      <c r="F95" s="282">
        <f t="shared" si="4"/>
        <v>14000</v>
      </c>
      <c r="G95" s="371">
        <f t="shared" si="4"/>
        <v>14000</v>
      </c>
    </row>
    <row r="96" spans="1:7" ht="26.25">
      <c r="A96" s="343" t="s">
        <v>516</v>
      </c>
      <c r="B96" s="275" t="s">
        <v>1047</v>
      </c>
      <c r="C96" s="275" t="s">
        <v>1067</v>
      </c>
      <c r="D96" s="289" t="s">
        <v>574</v>
      </c>
      <c r="E96" s="284" t="s">
        <v>517</v>
      </c>
      <c r="F96" s="282">
        <v>14000</v>
      </c>
      <c r="G96" s="371">
        <v>14000</v>
      </c>
    </row>
    <row r="97" spans="1:7" s="308" customFormat="1" ht="58.5" customHeight="1">
      <c r="A97" s="343" t="s">
        <v>1056</v>
      </c>
      <c r="B97" s="275" t="s">
        <v>1047</v>
      </c>
      <c r="C97" s="275" t="s">
        <v>1067</v>
      </c>
      <c r="D97" s="275" t="s">
        <v>580</v>
      </c>
      <c r="E97" s="284"/>
      <c r="F97" s="282">
        <f>F98+F101</f>
        <v>15000</v>
      </c>
      <c r="G97" s="371">
        <f>G98+G101</f>
        <v>15000</v>
      </c>
    </row>
    <row r="98" spans="1:7" ht="48" customHeight="1" hidden="1">
      <c r="A98" s="374" t="s">
        <v>585</v>
      </c>
      <c r="B98" s="275" t="s">
        <v>1047</v>
      </c>
      <c r="C98" s="275" t="s">
        <v>1067</v>
      </c>
      <c r="D98" s="275" t="s">
        <v>586</v>
      </c>
      <c r="E98" s="284"/>
      <c r="F98" s="282">
        <f>F100</f>
        <v>0</v>
      </c>
      <c r="G98" s="371">
        <f>G100</f>
        <v>0</v>
      </c>
    </row>
    <row r="99" spans="1:7" ht="48" customHeight="1" hidden="1">
      <c r="A99" s="383" t="s">
        <v>1070</v>
      </c>
      <c r="B99" s="275" t="s">
        <v>1047</v>
      </c>
      <c r="C99" s="275" t="s">
        <v>1067</v>
      </c>
      <c r="D99" s="384" t="s">
        <v>1071</v>
      </c>
      <c r="E99" s="284"/>
      <c r="F99" s="282">
        <f>F100</f>
        <v>0</v>
      </c>
      <c r="G99" s="371">
        <f>G100</f>
        <v>0</v>
      </c>
    </row>
    <row r="100" spans="1:7" ht="48" customHeight="1" hidden="1">
      <c r="A100" s="343" t="s">
        <v>516</v>
      </c>
      <c r="B100" s="275" t="s">
        <v>1047</v>
      </c>
      <c r="C100" s="275" t="s">
        <v>1067</v>
      </c>
      <c r="D100" s="384" t="s">
        <v>1071</v>
      </c>
      <c r="E100" s="284" t="s">
        <v>517</v>
      </c>
      <c r="F100" s="282"/>
      <c r="G100" s="371"/>
    </row>
    <row r="101" spans="1:7" ht="30.75" customHeight="1">
      <c r="A101" s="383" t="s">
        <v>591</v>
      </c>
      <c r="B101" s="275" t="s">
        <v>1047</v>
      </c>
      <c r="C101" s="275" t="s">
        <v>1067</v>
      </c>
      <c r="D101" s="275" t="s">
        <v>592</v>
      </c>
      <c r="E101" s="284"/>
      <c r="F101" s="282">
        <f>F102</f>
        <v>15000</v>
      </c>
      <c r="G101" s="371">
        <f>G102</f>
        <v>15000</v>
      </c>
    </row>
    <row r="102" spans="1:7" ht="30.75" customHeight="1">
      <c r="A102" s="382" t="s">
        <v>593</v>
      </c>
      <c r="B102" s="275" t="s">
        <v>1047</v>
      </c>
      <c r="C102" s="275" t="s">
        <v>1067</v>
      </c>
      <c r="D102" s="289" t="s">
        <v>594</v>
      </c>
      <c r="E102" s="284"/>
      <c r="F102" s="282">
        <f>F103</f>
        <v>15000</v>
      </c>
      <c r="G102" s="371">
        <f>G103</f>
        <v>15000</v>
      </c>
    </row>
    <row r="103" spans="1:7" ht="28.5" customHeight="1">
      <c r="A103" s="343" t="s">
        <v>516</v>
      </c>
      <c r="B103" s="275" t="s">
        <v>1047</v>
      </c>
      <c r="C103" s="275" t="s">
        <v>1067</v>
      </c>
      <c r="D103" s="289" t="s">
        <v>594</v>
      </c>
      <c r="E103" s="284" t="s">
        <v>517</v>
      </c>
      <c r="F103" s="282">
        <v>15000</v>
      </c>
      <c r="G103" s="371">
        <v>15000</v>
      </c>
    </row>
    <row r="104" spans="1:7" s="308" customFormat="1" ht="53.25" customHeight="1">
      <c r="A104" s="372" t="s">
        <v>595</v>
      </c>
      <c r="B104" s="275" t="s">
        <v>1047</v>
      </c>
      <c r="C104" s="275" t="s">
        <v>1067</v>
      </c>
      <c r="D104" s="275" t="s">
        <v>596</v>
      </c>
      <c r="E104" s="284"/>
      <c r="F104" s="282">
        <f>F105+F110</f>
        <v>137300</v>
      </c>
      <c r="G104" s="371">
        <f>G105+G110</f>
        <v>137300</v>
      </c>
    </row>
    <row r="105" spans="1:7" ht="28.5" customHeight="1">
      <c r="A105" s="372" t="s">
        <v>597</v>
      </c>
      <c r="B105" s="275" t="s">
        <v>1047</v>
      </c>
      <c r="C105" s="275" t="s">
        <v>1067</v>
      </c>
      <c r="D105" s="275" t="s">
        <v>598</v>
      </c>
      <c r="E105" s="284"/>
      <c r="F105" s="282">
        <f>F106+F108</f>
        <v>127300</v>
      </c>
      <c r="G105" s="371">
        <f>G106+G108</f>
        <v>127300</v>
      </c>
    </row>
    <row r="106" spans="1:7" ht="27.75" customHeight="1">
      <c r="A106" s="372" t="s">
        <v>599</v>
      </c>
      <c r="B106" s="275" t="s">
        <v>1047</v>
      </c>
      <c r="C106" s="275" t="s">
        <v>1067</v>
      </c>
      <c r="D106" s="275" t="s">
        <v>600</v>
      </c>
      <c r="E106" s="284"/>
      <c r="F106" s="282">
        <f>F107</f>
        <v>124300</v>
      </c>
      <c r="G106" s="371">
        <f>G107</f>
        <v>124300</v>
      </c>
    </row>
    <row r="107" spans="1:7" ht="28.5" customHeight="1">
      <c r="A107" s="343" t="s">
        <v>601</v>
      </c>
      <c r="B107" s="275" t="s">
        <v>1047</v>
      </c>
      <c r="C107" s="275" t="s">
        <v>1067</v>
      </c>
      <c r="D107" s="275" t="s">
        <v>600</v>
      </c>
      <c r="E107" s="303" t="s">
        <v>602</v>
      </c>
      <c r="F107" s="282">
        <f>122900+1400</f>
        <v>124300</v>
      </c>
      <c r="G107" s="282">
        <f>122900+1400</f>
        <v>124300</v>
      </c>
    </row>
    <row r="108" spans="1:7" ht="22.5" customHeight="1">
      <c r="A108" s="372" t="s">
        <v>603</v>
      </c>
      <c r="B108" s="275" t="s">
        <v>1047</v>
      </c>
      <c r="C108" s="275" t="s">
        <v>1067</v>
      </c>
      <c r="D108" s="275" t="s">
        <v>604</v>
      </c>
      <c r="E108" s="303"/>
      <c r="F108" s="282">
        <f>F109</f>
        <v>3000</v>
      </c>
      <c r="G108" s="371">
        <f>G109</f>
        <v>3000</v>
      </c>
    </row>
    <row r="109" spans="1:7" ht="29.25" customHeight="1">
      <c r="A109" s="343" t="s">
        <v>601</v>
      </c>
      <c r="B109" s="275" t="s">
        <v>1047</v>
      </c>
      <c r="C109" s="275" t="s">
        <v>1067</v>
      </c>
      <c r="D109" s="275" t="s">
        <v>604</v>
      </c>
      <c r="E109" s="303" t="s">
        <v>602</v>
      </c>
      <c r="F109" s="282">
        <v>3000</v>
      </c>
      <c r="G109" s="371">
        <v>3000</v>
      </c>
    </row>
    <row r="110" spans="1:7" ht="29.25" customHeight="1">
      <c r="A110" s="376" t="s">
        <v>605</v>
      </c>
      <c r="B110" s="275" t="s">
        <v>1047</v>
      </c>
      <c r="C110" s="275" t="s">
        <v>1067</v>
      </c>
      <c r="D110" s="275" t="s">
        <v>606</v>
      </c>
      <c r="E110" s="303"/>
      <c r="F110" s="282">
        <f>F111</f>
        <v>10000</v>
      </c>
      <c r="G110" s="371">
        <f>G111</f>
        <v>10000</v>
      </c>
    </row>
    <row r="111" spans="1:7" ht="29.25" customHeight="1">
      <c r="A111" s="383" t="s">
        <v>609</v>
      </c>
      <c r="B111" s="275" t="s">
        <v>1047</v>
      </c>
      <c r="C111" s="275" t="s">
        <v>1067</v>
      </c>
      <c r="D111" s="275" t="s">
        <v>610</v>
      </c>
      <c r="E111" s="303"/>
      <c r="F111" s="282">
        <f>F112</f>
        <v>10000</v>
      </c>
      <c r="G111" s="371">
        <f>G112</f>
        <v>10000</v>
      </c>
    </row>
    <row r="112" spans="1:7" ht="29.25" customHeight="1">
      <c r="A112" s="343" t="s">
        <v>516</v>
      </c>
      <c r="B112" s="275" t="s">
        <v>1047</v>
      </c>
      <c r="C112" s="275" t="s">
        <v>1067</v>
      </c>
      <c r="D112" s="275" t="s">
        <v>610</v>
      </c>
      <c r="E112" s="303" t="s">
        <v>517</v>
      </c>
      <c r="F112" s="282">
        <v>10000</v>
      </c>
      <c r="G112" s="371">
        <v>10000</v>
      </c>
    </row>
    <row r="113" spans="1:7" ht="45.75" customHeight="1">
      <c r="A113" s="385" t="s">
        <v>1072</v>
      </c>
      <c r="B113" s="275" t="s">
        <v>1047</v>
      </c>
      <c r="C113" s="275" t="s">
        <v>1067</v>
      </c>
      <c r="D113" s="275" t="s">
        <v>805</v>
      </c>
      <c r="E113" s="303"/>
      <c r="F113" s="282">
        <f aca="true" t="shared" si="5" ref="F113:G116">F114</f>
        <v>657100</v>
      </c>
      <c r="G113" s="371">
        <f t="shared" si="5"/>
        <v>657100</v>
      </c>
    </row>
    <row r="114" spans="1:7" s="308" customFormat="1" ht="54" customHeight="1">
      <c r="A114" s="386" t="s">
        <v>806</v>
      </c>
      <c r="B114" s="275" t="s">
        <v>1047</v>
      </c>
      <c r="C114" s="275" t="s">
        <v>1067</v>
      </c>
      <c r="D114" s="275" t="s">
        <v>807</v>
      </c>
      <c r="E114" s="303"/>
      <c r="F114" s="282">
        <f t="shared" si="5"/>
        <v>657100</v>
      </c>
      <c r="G114" s="371">
        <f t="shared" si="5"/>
        <v>657100</v>
      </c>
    </row>
    <row r="115" spans="1:7" ht="31.5" customHeight="1">
      <c r="A115" s="386" t="s">
        <v>808</v>
      </c>
      <c r="B115" s="275" t="s">
        <v>1047</v>
      </c>
      <c r="C115" s="275" t="s">
        <v>1067</v>
      </c>
      <c r="D115" s="275" t="s">
        <v>809</v>
      </c>
      <c r="E115" s="303"/>
      <c r="F115" s="282">
        <f t="shared" si="5"/>
        <v>657100</v>
      </c>
      <c r="G115" s="371">
        <f t="shared" si="5"/>
        <v>657100</v>
      </c>
    </row>
    <row r="116" spans="1:7" ht="21.75" customHeight="1">
      <c r="A116" s="386" t="s">
        <v>810</v>
      </c>
      <c r="B116" s="275" t="s">
        <v>1047</v>
      </c>
      <c r="C116" s="275" t="s">
        <v>1067</v>
      </c>
      <c r="D116" s="275" t="s">
        <v>811</v>
      </c>
      <c r="E116" s="303"/>
      <c r="F116" s="282">
        <f t="shared" si="5"/>
        <v>657100</v>
      </c>
      <c r="G116" s="371">
        <f t="shared" si="5"/>
        <v>657100</v>
      </c>
    </row>
    <row r="117" spans="1:7" ht="24.75" customHeight="1">
      <c r="A117" s="343" t="s">
        <v>516</v>
      </c>
      <c r="B117" s="275" t="s">
        <v>1047</v>
      </c>
      <c r="C117" s="275" t="s">
        <v>1067</v>
      </c>
      <c r="D117" s="275" t="s">
        <v>811</v>
      </c>
      <c r="E117" s="284" t="s">
        <v>517</v>
      </c>
      <c r="F117" s="282">
        <v>657100</v>
      </c>
      <c r="G117" s="371">
        <v>657100</v>
      </c>
    </row>
    <row r="118" spans="1:7" ht="48" customHeight="1" hidden="1">
      <c r="A118" s="367" t="s">
        <v>1073</v>
      </c>
      <c r="B118" s="275" t="s">
        <v>1047</v>
      </c>
      <c r="C118" s="275" t="s">
        <v>1067</v>
      </c>
      <c r="D118" s="302" t="s">
        <v>813</v>
      </c>
      <c r="E118" s="284"/>
      <c r="F118" s="282">
        <f aca="true" t="shared" si="6" ref="F118:G121">F119</f>
        <v>0</v>
      </c>
      <c r="G118" s="371">
        <f t="shared" si="6"/>
        <v>0</v>
      </c>
    </row>
    <row r="119" spans="1:7" s="308" customFormat="1" ht="48" customHeight="1" hidden="1">
      <c r="A119" s="376" t="s">
        <v>1074</v>
      </c>
      <c r="B119" s="275" t="s">
        <v>1047</v>
      </c>
      <c r="C119" s="275" t="s">
        <v>1067</v>
      </c>
      <c r="D119" s="302" t="s">
        <v>815</v>
      </c>
      <c r="E119" s="284"/>
      <c r="F119" s="282">
        <f t="shared" si="6"/>
        <v>0</v>
      </c>
      <c r="G119" s="371">
        <f t="shared" si="6"/>
        <v>0</v>
      </c>
    </row>
    <row r="120" spans="1:7" ht="48" customHeight="1" hidden="1">
      <c r="A120" s="373" t="s">
        <v>816</v>
      </c>
      <c r="B120" s="275" t="s">
        <v>1047</v>
      </c>
      <c r="C120" s="275" t="s">
        <v>1067</v>
      </c>
      <c r="D120" s="302" t="s">
        <v>817</v>
      </c>
      <c r="E120" s="284"/>
      <c r="F120" s="282">
        <f t="shared" si="6"/>
        <v>0</v>
      </c>
      <c r="G120" s="371">
        <f t="shared" si="6"/>
        <v>0</v>
      </c>
    </row>
    <row r="121" spans="1:7" ht="48" customHeight="1" hidden="1">
      <c r="A121" s="343" t="s">
        <v>820</v>
      </c>
      <c r="B121" s="275" t="s">
        <v>1047</v>
      </c>
      <c r="C121" s="275" t="s">
        <v>1067</v>
      </c>
      <c r="D121" s="302" t="s">
        <v>821</v>
      </c>
      <c r="E121" s="284"/>
      <c r="F121" s="282">
        <f t="shared" si="6"/>
        <v>0</v>
      </c>
      <c r="G121" s="371">
        <f t="shared" si="6"/>
        <v>0</v>
      </c>
    </row>
    <row r="122" spans="1:7" ht="48" customHeight="1" hidden="1">
      <c r="A122" s="343" t="s">
        <v>516</v>
      </c>
      <c r="B122" s="275" t="s">
        <v>1047</v>
      </c>
      <c r="C122" s="275" t="s">
        <v>1067</v>
      </c>
      <c r="D122" s="302" t="s">
        <v>821</v>
      </c>
      <c r="E122" s="303" t="s">
        <v>517</v>
      </c>
      <c r="F122" s="282"/>
      <c r="G122" s="371"/>
    </row>
    <row r="123" spans="1:7" ht="48" customHeight="1" hidden="1">
      <c r="A123" s="385" t="s">
        <v>822</v>
      </c>
      <c r="B123" s="275" t="s">
        <v>1047</v>
      </c>
      <c r="C123" s="275" t="s">
        <v>1067</v>
      </c>
      <c r="D123" s="275" t="s">
        <v>823</v>
      </c>
      <c r="E123" s="284"/>
      <c r="F123" s="282">
        <f aca="true" t="shared" si="7" ref="F123:G126">F124</f>
        <v>0</v>
      </c>
      <c r="G123" s="371">
        <f t="shared" si="7"/>
        <v>0</v>
      </c>
    </row>
    <row r="124" spans="1:7" ht="48" customHeight="1" hidden="1">
      <c r="A124" s="386" t="s">
        <v>843</v>
      </c>
      <c r="B124" s="275" t="s">
        <v>1047</v>
      </c>
      <c r="C124" s="275" t="s">
        <v>1067</v>
      </c>
      <c r="D124" s="275" t="s">
        <v>844</v>
      </c>
      <c r="E124" s="284"/>
      <c r="F124" s="282">
        <f t="shared" si="7"/>
        <v>0</v>
      </c>
      <c r="G124" s="371">
        <f t="shared" si="7"/>
        <v>0</v>
      </c>
    </row>
    <row r="125" spans="1:7" ht="48" customHeight="1" hidden="1">
      <c r="A125" s="387" t="s">
        <v>845</v>
      </c>
      <c r="B125" s="275" t="s">
        <v>1047</v>
      </c>
      <c r="C125" s="275" t="s">
        <v>1067</v>
      </c>
      <c r="D125" s="275" t="s">
        <v>846</v>
      </c>
      <c r="E125" s="284"/>
      <c r="F125" s="282">
        <f t="shared" si="7"/>
        <v>0</v>
      </c>
      <c r="G125" s="371">
        <f t="shared" si="7"/>
        <v>0</v>
      </c>
    </row>
    <row r="126" spans="1:7" ht="48" customHeight="1" hidden="1">
      <c r="A126" s="373" t="s">
        <v>847</v>
      </c>
      <c r="B126" s="275" t="s">
        <v>1047</v>
      </c>
      <c r="C126" s="275" t="s">
        <v>1067</v>
      </c>
      <c r="D126" s="275" t="s">
        <v>848</v>
      </c>
      <c r="E126" s="284"/>
      <c r="F126" s="282">
        <f t="shared" si="7"/>
        <v>0</v>
      </c>
      <c r="G126" s="371">
        <f t="shared" si="7"/>
        <v>0</v>
      </c>
    </row>
    <row r="127" spans="1:7" ht="48" customHeight="1" hidden="1">
      <c r="A127" s="343" t="s">
        <v>516</v>
      </c>
      <c r="B127" s="275" t="s">
        <v>1047</v>
      </c>
      <c r="C127" s="275" t="s">
        <v>1067</v>
      </c>
      <c r="D127" s="275" t="s">
        <v>848</v>
      </c>
      <c r="E127" s="284" t="s">
        <v>517</v>
      </c>
      <c r="F127" s="282"/>
      <c r="G127" s="371"/>
    </row>
    <row r="128" spans="1:7" ht="39">
      <c r="A128" s="370" t="s">
        <v>852</v>
      </c>
      <c r="B128" s="275" t="s">
        <v>1047</v>
      </c>
      <c r="C128" s="275" t="s">
        <v>1067</v>
      </c>
      <c r="D128" s="302" t="s">
        <v>853</v>
      </c>
      <c r="E128" s="284"/>
      <c r="F128" s="282">
        <f>F129</f>
        <v>70000</v>
      </c>
      <c r="G128" s="371">
        <f>G129</f>
        <v>70000</v>
      </c>
    </row>
    <row r="129" spans="1:7" ht="72" customHeight="1">
      <c r="A129" s="388" t="s">
        <v>854</v>
      </c>
      <c r="B129" s="275" t="s">
        <v>1047</v>
      </c>
      <c r="C129" s="275" t="s">
        <v>1067</v>
      </c>
      <c r="D129" s="302" t="s">
        <v>855</v>
      </c>
      <c r="E129" s="284"/>
      <c r="F129" s="282">
        <f>F130</f>
        <v>70000</v>
      </c>
      <c r="G129" s="371">
        <f>G130</f>
        <v>70000</v>
      </c>
    </row>
    <row r="130" spans="1:7" ht="29.25" customHeight="1">
      <c r="A130" s="376" t="s">
        <v>856</v>
      </c>
      <c r="B130" s="275" t="s">
        <v>1047</v>
      </c>
      <c r="C130" s="275" t="s">
        <v>1067</v>
      </c>
      <c r="D130" s="298" t="s">
        <v>857</v>
      </c>
      <c r="E130" s="284"/>
      <c r="F130" s="282">
        <f>F131+F133</f>
        <v>70000</v>
      </c>
      <c r="G130" s="371">
        <f>G131+G133</f>
        <v>70000</v>
      </c>
    </row>
    <row r="131" spans="1:7" ht="26.25">
      <c r="A131" s="343" t="s">
        <v>858</v>
      </c>
      <c r="B131" s="275" t="s">
        <v>1047</v>
      </c>
      <c r="C131" s="275" t="s">
        <v>1067</v>
      </c>
      <c r="D131" s="298" t="s">
        <v>859</v>
      </c>
      <c r="E131" s="284"/>
      <c r="F131" s="282">
        <f>F132</f>
        <v>30000</v>
      </c>
      <c r="G131" s="371">
        <f>G132</f>
        <v>30000</v>
      </c>
    </row>
    <row r="132" spans="1:7" ht="26.25">
      <c r="A132" s="343" t="s">
        <v>516</v>
      </c>
      <c r="B132" s="275" t="s">
        <v>1047</v>
      </c>
      <c r="C132" s="275" t="s">
        <v>1067</v>
      </c>
      <c r="D132" s="298" t="s">
        <v>859</v>
      </c>
      <c r="E132" s="284" t="s">
        <v>517</v>
      </c>
      <c r="F132" s="282">
        <v>30000</v>
      </c>
      <c r="G132" s="371">
        <v>30000</v>
      </c>
    </row>
    <row r="133" spans="1:7" ht="29.25" customHeight="1">
      <c r="A133" s="343" t="s">
        <v>860</v>
      </c>
      <c r="B133" s="275" t="s">
        <v>1047</v>
      </c>
      <c r="C133" s="275" t="s">
        <v>1067</v>
      </c>
      <c r="D133" s="298" t="s">
        <v>861</v>
      </c>
      <c r="E133" s="284"/>
      <c r="F133" s="282">
        <f>F134</f>
        <v>40000</v>
      </c>
      <c r="G133" s="371">
        <f>G134</f>
        <v>40000</v>
      </c>
    </row>
    <row r="134" spans="1:7" ht="26.25">
      <c r="A134" s="343" t="s">
        <v>516</v>
      </c>
      <c r="B134" s="275" t="s">
        <v>1047</v>
      </c>
      <c r="C134" s="275" t="s">
        <v>1067</v>
      </c>
      <c r="D134" s="298" t="s">
        <v>861</v>
      </c>
      <c r="E134" s="284" t="s">
        <v>517</v>
      </c>
      <c r="F134" s="282">
        <f>40000</f>
        <v>40000</v>
      </c>
      <c r="G134" s="371">
        <f>40000</f>
        <v>40000</v>
      </c>
    </row>
    <row r="135" spans="1:7" ht="47.25" customHeight="1">
      <c r="A135" s="389" t="s">
        <v>945</v>
      </c>
      <c r="B135" s="275" t="s">
        <v>1047</v>
      </c>
      <c r="C135" s="275" t="s">
        <v>1067</v>
      </c>
      <c r="D135" s="289" t="s">
        <v>946</v>
      </c>
      <c r="E135" s="284"/>
      <c r="F135" s="282">
        <f>F136+F140</f>
        <v>196500</v>
      </c>
      <c r="G135" s="371">
        <f>G136+G140</f>
        <v>196500</v>
      </c>
    </row>
    <row r="136" spans="1:7" ht="45" customHeight="1">
      <c r="A136" s="383" t="s">
        <v>947</v>
      </c>
      <c r="B136" s="275" t="s">
        <v>1047</v>
      </c>
      <c r="C136" s="275" t="s">
        <v>1067</v>
      </c>
      <c r="D136" s="289" t="s">
        <v>948</v>
      </c>
      <c r="E136" s="284"/>
      <c r="F136" s="282">
        <f aca="true" t="shared" si="8" ref="F136:G138">F137</f>
        <v>0</v>
      </c>
      <c r="G136" s="371">
        <f t="shared" si="8"/>
        <v>0</v>
      </c>
    </row>
    <row r="137" spans="1:7" ht="26.25">
      <c r="A137" s="383" t="s">
        <v>949</v>
      </c>
      <c r="B137" s="275" t="s">
        <v>1047</v>
      </c>
      <c r="C137" s="275" t="s">
        <v>1067</v>
      </c>
      <c r="D137" s="289" t="s">
        <v>950</v>
      </c>
      <c r="E137" s="284"/>
      <c r="F137" s="282">
        <f t="shared" si="8"/>
        <v>0</v>
      </c>
      <c r="G137" s="371">
        <f t="shared" si="8"/>
        <v>0</v>
      </c>
    </row>
    <row r="138" spans="1:7" ht="26.25">
      <c r="A138" s="343" t="s">
        <v>951</v>
      </c>
      <c r="B138" s="275" t="s">
        <v>1047</v>
      </c>
      <c r="C138" s="275" t="s">
        <v>1067</v>
      </c>
      <c r="D138" s="289" t="s">
        <v>952</v>
      </c>
      <c r="E138" s="284"/>
      <c r="F138" s="282">
        <f t="shared" si="8"/>
        <v>0</v>
      </c>
      <c r="G138" s="371">
        <f t="shared" si="8"/>
        <v>0</v>
      </c>
    </row>
    <row r="139" spans="1:7" ht="26.25">
      <c r="A139" s="343" t="s">
        <v>516</v>
      </c>
      <c r="B139" s="275" t="s">
        <v>1047</v>
      </c>
      <c r="C139" s="275" t="s">
        <v>1067</v>
      </c>
      <c r="D139" s="289" t="s">
        <v>952</v>
      </c>
      <c r="E139" s="284" t="s">
        <v>517</v>
      </c>
      <c r="F139" s="282">
        <f>15000-15000</f>
        <v>0</v>
      </c>
      <c r="G139" s="371">
        <f>15000-15000</f>
        <v>0</v>
      </c>
    </row>
    <row r="140" spans="1:7" ht="58.5" customHeight="1">
      <c r="A140" s="383" t="s">
        <v>953</v>
      </c>
      <c r="B140" s="275" t="s">
        <v>1047</v>
      </c>
      <c r="C140" s="275" t="s">
        <v>1067</v>
      </c>
      <c r="D140" s="289" t="s">
        <v>954</v>
      </c>
      <c r="E140" s="284"/>
      <c r="F140" s="282">
        <f aca="true" t="shared" si="9" ref="F140:G142">F141</f>
        <v>196500</v>
      </c>
      <c r="G140" s="371">
        <f t="shared" si="9"/>
        <v>196500</v>
      </c>
    </row>
    <row r="141" spans="1:7" ht="22.5" customHeight="1">
      <c r="A141" s="383" t="s">
        <v>955</v>
      </c>
      <c r="B141" s="275" t="s">
        <v>1047</v>
      </c>
      <c r="C141" s="275" t="s">
        <v>1067</v>
      </c>
      <c r="D141" s="289" t="s">
        <v>956</v>
      </c>
      <c r="E141" s="284"/>
      <c r="F141" s="282">
        <f t="shared" si="9"/>
        <v>196500</v>
      </c>
      <c r="G141" s="371">
        <f t="shared" si="9"/>
        <v>196500</v>
      </c>
    </row>
    <row r="142" spans="1:7" ht="20.25" customHeight="1">
      <c r="A142" s="383" t="s">
        <v>609</v>
      </c>
      <c r="B142" s="275" t="s">
        <v>1047</v>
      </c>
      <c r="C142" s="275" t="s">
        <v>1067</v>
      </c>
      <c r="D142" s="289" t="s">
        <v>957</v>
      </c>
      <c r="E142" s="284"/>
      <c r="F142" s="282">
        <f t="shared" si="9"/>
        <v>196500</v>
      </c>
      <c r="G142" s="371">
        <f t="shared" si="9"/>
        <v>196500</v>
      </c>
    </row>
    <row r="143" spans="1:7" ht="28.5" customHeight="1">
      <c r="A143" s="343" t="s">
        <v>516</v>
      </c>
      <c r="B143" s="275" t="s">
        <v>1047</v>
      </c>
      <c r="C143" s="275" t="s">
        <v>1067</v>
      </c>
      <c r="D143" s="289" t="s">
        <v>957</v>
      </c>
      <c r="E143" s="284" t="s">
        <v>517</v>
      </c>
      <c r="F143" s="282">
        <f>181500+15000</f>
        <v>196500</v>
      </c>
      <c r="G143" s="390">
        <f>181500+15000</f>
        <v>196500</v>
      </c>
    </row>
    <row r="144" spans="1:7" ht="47.25" customHeight="1">
      <c r="A144" s="343" t="s">
        <v>1075</v>
      </c>
      <c r="B144" s="275" t="s">
        <v>1047</v>
      </c>
      <c r="C144" s="275" t="s">
        <v>1067</v>
      </c>
      <c r="D144" s="289" t="s">
        <v>959</v>
      </c>
      <c r="E144" s="324"/>
      <c r="F144" s="282">
        <f>F145</f>
        <v>1867940</v>
      </c>
      <c r="G144" s="391">
        <f>G145</f>
        <v>1022136</v>
      </c>
    </row>
    <row r="145" spans="1:7" s="308" customFormat="1" ht="56.25" customHeight="1">
      <c r="A145" s="343" t="s">
        <v>960</v>
      </c>
      <c r="B145" s="275" t="s">
        <v>1047</v>
      </c>
      <c r="C145" s="275" t="s">
        <v>1067</v>
      </c>
      <c r="D145" s="289" t="s">
        <v>961</v>
      </c>
      <c r="E145" s="324"/>
      <c r="F145" s="282">
        <f>F147</f>
        <v>1867940</v>
      </c>
      <c r="G145" s="371">
        <f>G147</f>
        <v>1022136</v>
      </c>
    </row>
    <row r="146" spans="1:7" ht="63.75" customHeight="1">
      <c r="A146" s="392" t="s">
        <v>962</v>
      </c>
      <c r="B146" s="275" t="s">
        <v>1047</v>
      </c>
      <c r="C146" s="275" t="s">
        <v>1067</v>
      </c>
      <c r="D146" s="289" t="s">
        <v>963</v>
      </c>
      <c r="E146" s="324"/>
      <c r="F146" s="282">
        <f>F147</f>
        <v>1867940</v>
      </c>
      <c r="G146" s="371">
        <f>G147</f>
        <v>1022136</v>
      </c>
    </row>
    <row r="147" spans="1:7" ht="41.25" customHeight="1">
      <c r="A147" s="372" t="s">
        <v>964</v>
      </c>
      <c r="B147" s="275" t="s">
        <v>1047</v>
      </c>
      <c r="C147" s="275" t="s">
        <v>1067</v>
      </c>
      <c r="D147" s="289" t="s">
        <v>965</v>
      </c>
      <c r="E147" s="324"/>
      <c r="F147" s="282">
        <f>F148+F149</f>
        <v>1867940</v>
      </c>
      <c r="G147" s="371">
        <f>G148+G149</f>
        <v>1022136</v>
      </c>
    </row>
    <row r="148" spans="1:7" ht="39" customHeight="1">
      <c r="A148" s="343" t="s">
        <v>522</v>
      </c>
      <c r="B148" s="275" t="s">
        <v>1047</v>
      </c>
      <c r="C148" s="275" t="s">
        <v>1067</v>
      </c>
      <c r="D148" s="289" t="s">
        <v>965</v>
      </c>
      <c r="E148" s="324" t="s">
        <v>523</v>
      </c>
      <c r="F148" s="282">
        <v>765394</v>
      </c>
      <c r="G148" s="371">
        <v>765394</v>
      </c>
    </row>
    <row r="149" spans="1:7" ht="26.25" customHeight="1">
      <c r="A149" s="343" t="s">
        <v>516</v>
      </c>
      <c r="B149" s="275" t="s">
        <v>1047</v>
      </c>
      <c r="C149" s="275" t="s">
        <v>1067</v>
      </c>
      <c r="D149" s="289" t="s">
        <v>965</v>
      </c>
      <c r="E149" s="324" t="s">
        <v>517</v>
      </c>
      <c r="F149" s="282">
        <v>1102546</v>
      </c>
      <c r="G149" s="371">
        <v>256742</v>
      </c>
    </row>
    <row r="150" spans="1:7" ht="28.5" customHeight="1">
      <c r="A150" s="343" t="s">
        <v>990</v>
      </c>
      <c r="B150" s="275" t="s">
        <v>1047</v>
      </c>
      <c r="C150" s="275" t="s">
        <v>1067</v>
      </c>
      <c r="D150" s="302" t="s">
        <v>991</v>
      </c>
      <c r="E150" s="324"/>
      <c r="F150" s="282">
        <f>F151</f>
        <v>177900.78</v>
      </c>
      <c r="G150" s="371">
        <f>G151</f>
        <v>177900</v>
      </c>
    </row>
    <row r="151" spans="1:7" ht="20.25" customHeight="1">
      <c r="A151" s="343" t="s">
        <v>992</v>
      </c>
      <c r="B151" s="275" t="s">
        <v>1047</v>
      </c>
      <c r="C151" s="275" t="s">
        <v>1067</v>
      </c>
      <c r="D151" s="302" t="s">
        <v>993</v>
      </c>
      <c r="E151" s="324"/>
      <c r="F151" s="282">
        <f>F152</f>
        <v>177900.78</v>
      </c>
      <c r="G151" s="371">
        <f>G152</f>
        <v>177900</v>
      </c>
    </row>
    <row r="152" spans="1:8" ht="22.5" customHeight="1">
      <c r="A152" s="370" t="s">
        <v>609</v>
      </c>
      <c r="B152" s="275" t="s">
        <v>1047</v>
      </c>
      <c r="C152" s="275" t="s">
        <v>1067</v>
      </c>
      <c r="D152" s="302" t="s">
        <v>994</v>
      </c>
      <c r="E152" s="324"/>
      <c r="F152" s="282">
        <f>F153+F154</f>
        <v>177900.78</v>
      </c>
      <c r="G152" s="371">
        <f>G153+G154</f>
        <v>177900</v>
      </c>
      <c r="H152" s="253"/>
    </row>
    <row r="153" spans="1:7" ht="28.5" customHeight="1">
      <c r="A153" s="343" t="s">
        <v>516</v>
      </c>
      <c r="B153" s="275" t="s">
        <v>1047</v>
      </c>
      <c r="C153" s="275" t="s">
        <v>1067</v>
      </c>
      <c r="D153" s="302" t="s">
        <v>994</v>
      </c>
      <c r="E153" s="324" t="s">
        <v>517</v>
      </c>
      <c r="F153" s="282">
        <v>10000.78</v>
      </c>
      <c r="G153" s="371">
        <v>10000</v>
      </c>
    </row>
    <row r="154" spans="1:7" ht="16.5" customHeight="1">
      <c r="A154" s="373" t="s">
        <v>524</v>
      </c>
      <c r="B154" s="275" t="s">
        <v>1047</v>
      </c>
      <c r="C154" s="275" t="s">
        <v>1067</v>
      </c>
      <c r="D154" s="302" t="s">
        <v>994</v>
      </c>
      <c r="E154" s="324" t="s">
        <v>525</v>
      </c>
      <c r="F154" s="282">
        <v>167900</v>
      </c>
      <c r="G154" s="371">
        <v>167900</v>
      </c>
    </row>
    <row r="155" spans="1:7" ht="18" customHeight="1">
      <c r="A155" s="370" t="s">
        <v>995</v>
      </c>
      <c r="B155" s="319" t="s">
        <v>1047</v>
      </c>
      <c r="C155" s="275" t="s">
        <v>1067</v>
      </c>
      <c r="D155" s="298" t="s">
        <v>996</v>
      </c>
      <c r="E155" s="303"/>
      <c r="F155" s="282">
        <f>F156</f>
        <v>8445810</v>
      </c>
      <c r="G155" s="371">
        <f>G156</f>
        <v>8445810</v>
      </c>
    </row>
    <row r="156" spans="1:7" ht="17.25" customHeight="1">
      <c r="A156" s="370" t="s">
        <v>1001</v>
      </c>
      <c r="B156" s="275" t="s">
        <v>1047</v>
      </c>
      <c r="C156" s="275" t="s">
        <v>1067</v>
      </c>
      <c r="D156" s="275" t="s">
        <v>1002</v>
      </c>
      <c r="E156" s="284"/>
      <c r="F156" s="282">
        <f>F157+F161+F163</f>
        <v>8445810</v>
      </c>
      <c r="G156" s="371">
        <f>G157+G161+G163</f>
        <v>8445810</v>
      </c>
    </row>
    <row r="157" spans="1:7" ht="26.25">
      <c r="A157" s="373" t="s">
        <v>520</v>
      </c>
      <c r="B157" s="275" t="s">
        <v>1047</v>
      </c>
      <c r="C157" s="275" t="s">
        <v>1067</v>
      </c>
      <c r="D157" s="275" t="s">
        <v>1013</v>
      </c>
      <c r="E157" s="284"/>
      <c r="F157" s="282">
        <f>F158+F159+F160</f>
        <v>8170490</v>
      </c>
      <c r="G157" s="371">
        <f>G158+G159+G160</f>
        <v>8170490</v>
      </c>
    </row>
    <row r="158" spans="1:7" ht="45.75" customHeight="1">
      <c r="A158" s="343" t="s">
        <v>522</v>
      </c>
      <c r="B158" s="275" t="s">
        <v>1047</v>
      </c>
      <c r="C158" s="275" t="s">
        <v>1067</v>
      </c>
      <c r="D158" s="275" t="s">
        <v>1013</v>
      </c>
      <c r="E158" s="303" t="s">
        <v>523</v>
      </c>
      <c r="F158" s="282">
        <v>5520500</v>
      </c>
      <c r="G158" s="371">
        <v>5520500</v>
      </c>
    </row>
    <row r="159" spans="1:7" ht="30.75" customHeight="1">
      <c r="A159" s="343" t="s">
        <v>516</v>
      </c>
      <c r="B159" s="275" t="s">
        <v>1047</v>
      </c>
      <c r="C159" s="275" t="s">
        <v>1067</v>
      </c>
      <c r="D159" s="275" t="s">
        <v>1013</v>
      </c>
      <c r="E159" s="303" t="s">
        <v>517</v>
      </c>
      <c r="F159" s="282">
        <v>2631850</v>
      </c>
      <c r="G159" s="371">
        <v>2631850</v>
      </c>
    </row>
    <row r="160" spans="1:7" ht="13.5">
      <c r="A160" s="373" t="s">
        <v>524</v>
      </c>
      <c r="B160" s="275" t="s">
        <v>1047</v>
      </c>
      <c r="C160" s="275" t="s">
        <v>1067</v>
      </c>
      <c r="D160" s="275" t="s">
        <v>1013</v>
      </c>
      <c r="E160" s="303" t="s">
        <v>525</v>
      </c>
      <c r="F160" s="282">
        <v>18140</v>
      </c>
      <c r="G160" s="371">
        <v>18140</v>
      </c>
    </row>
    <row r="161" spans="1:7" ht="13.5">
      <c r="A161" s="386" t="s">
        <v>1014</v>
      </c>
      <c r="B161" s="275" t="s">
        <v>1047</v>
      </c>
      <c r="C161" s="275" t="s">
        <v>1067</v>
      </c>
      <c r="D161" s="275" t="s">
        <v>1015</v>
      </c>
      <c r="E161" s="303"/>
      <c r="F161" s="282">
        <f>F162</f>
        <v>100000</v>
      </c>
      <c r="G161" s="371">
        <f>G162</f>
        <v>100000</v>
      </c>
    </row>
    <row r="162" spans="1:7" ht="26.25">
      <c r="A162" s="343" t="s">
        <v>516</v>
      </c>
      <c r="B162" s="275" t="s">
        <v>1047</v>
      </c>
      <c r="C162" s="275" t="s">
        <v>1067</v>
      </c>
      <c r="D162" s="275" t="s">
        <v>1015</v>
      </c>
      <c r="E162" s="303" t="s">
        <v>517</v>
      </c>
      <c r="F162" s="282">
        <v>100000</v>
      </c>
      <c r="G162" s="371">
        <v>100000</v>
      </c>
    </row>
    <row r="163" spans="1:7" ht="26.25">
      <c r="A163" s="343" t="s">
        <v>1011</v>
      </c>
      <c r="B163" s="275" t="s">
        <v>1047</v>
      </c>
      <c r="C163" s="275" t="s">
        <v>1067</v>
      </c>
      <c r="D163" s="275" t="s">
        <v>1012</v>
      </c>
      <c r="E163" s="303"/>
      <c r="F163" s="282">
        <f>F164</f>
        <v>175320</v>
      </c>
      <c r="G163" s="371">
        <f>G164</f>
        <v>175320</v>
      </c>
    </row>
    <row r="164" spans="1:7" ht="13.5">
      <c r="A164" s="343" t="s">
        <v>713</v>
      </c>
      <c r="B164" s="275" t="s">
        <v>1047</v>
      </c>
      <c r="C164" s="275" t="s">
        <v>1067</v>
      </c>
      <c r="D164" s="275" t="s">
        <v>1012</v>
      </c>
      <c r="E164" s="303" t="s">
        <v>714</v>
      </c>
      <c r="F164" s="282">
        <f>175320</f>
        <v>175320</v>
      </c>
      <c r="G164" s="371">
        <f>175320</f>
        <v>175320</v>
      </c>
    </row>
    <row r="165" spans="1:7" ht="48" customHeight="1" hidden="1">
      <c r="A165" s="370" t="s">
        <v>1034</v>
      </c>
      <c r="B165" s="319" t="s">
        <v>1047</v>
      </c>
      <c r="C165" s="275" t="s">
        <v>1067</v>
      </c>
      <c r="D165" s="298" t="s">
        <v>1035</v>
      </c>
      <c r="E165" s="303"/>
      <c r="F165" s="282">
        <f aca="true" t="shared" si="10" ref="F165:G167">F166</f>
        <v>0</v>
      </c>
      <c r="G165" s="371">
        <f t="shared" si="10"/>
        <v>0</v>
      </c>
    </row>
    <row r="166" spans="1:7" ht="48" customHeight="1" hidden="1">
      <c r="A166" s="343" t="s">
        <v>1024</v>
      </c>
      <c r="B166" s="319" t="s">
        <v>1047</v>
      </c>
      <c r="C166" s="275" t="s">
        <v>1067</v>
      </c>
      <c r="D166" s="298" t="s">
        <v>1036</v>
      </c>
      <c r="E166" s="303"/>
      <c r="F166" s="282">
        <f t="shared" si="10"/>
        <v>0</v>
      </c>
      <c r="G166" s="371">
        <f t="shared" si="10"/>
        <v>0</v>
      </c>
    </row>
    <row r="167" spans="1:7" ht="48" customHeight="1" hidden="1">
      <c r="A167" s="343" t="s">
        <v>1037</v>
      </c>
      <c r="B167" s="319" t="s">
        <v>1047</v>
      </c>
      <c r="C167" s="275" t="s">
        <v>1067</v>
      </c>
      <c r="D167" s="298" t="s">
        <v>1038</v>
      </c>
      <c r="E167" s="303"/>
      <c r="F167" s="282">
        <f t="shared" si="10"/>
        <v>0</v>
      </c>
      <c r="G167" s="371">
        <f t="shared" si="10"/>
        <v>0</v>
      </c>
    </row>
    <row r="168" spans="1:7" ht="48" customHeight="1" hidden="1">
      <c r="A168" s="393" t="s">
        <v>550</v>
      </c>
      <c r="B168" s="319" t="s">
        <v>1047</v>
      </c>
      <c r="C168" s="275" t="s">
        <v>1067</v>
      </c>
      <c r="D168" s="298" t="s">
        <v>1038</v>
      </c>
      <c r="E168" s="303" t="s">
        <v>551</v>
      </c>
      <c r="F168" s="282"/>
      <c r="G168" s="371"/>
    </row>
    <row r="169" spans="1:7" ht="13.5">
      <c r="A169" s="370" t="s">
        <v>1076</v>
      </c>
      <c r="B169" s="275" t="s">
        <v>1051</v>
      </c>
      <c r="C169" s="275" t="s">
        <v>1077</v>
      </c>
      <c r="D169" s="298"/>
      <c r="E169" s="303"/>
      <c r="F169" s="282">
        <f aca="true" t="shared" si="11" ref="F169:G171">F170</f>
        <v>51000</v>
      </c>
      <c r="G169" s="371">
        <f t="shared" si="11"/>
        <v>51000</v>
      </c>
    </row>
    <row r="170" spans="1:7" ht="28.5" customHeight="1">
      <c r="A170" s="373" t="s">
        <v>1078</v>
      </c>
      <c r="B170" s="275" t="s">
        <v>1051</v>
      </c>
      <c r="C170" s="275" t="s">
        <v>1079</v>
      </c>
      <c r="D170" s="298"/>
      <c r="E170" s="303"/>
      <c r="F170" s="282">
        <f t="shared" si="11"/>
        <v>51000</v>
      </c>
      <c r="G170" s="371">
        <f t="shared" si="11"/>
        <v>51000</v>
      </c>
    </row>
    <row r="171" spans="1:7" ht="56.25" customHeight="1">
      <c r="A171" s="376" t="s">
        <v>870</v>
      </c>
      <c r="B171" s="275" t="s">
        <v>1051</v>
      </c>
      <c r="C171" s="275" t="s">
        <v>1079</v>
      </c>
      <c r="D171" s="289" t="s">
        <v>871</v>
      </c>
      <c r="E171" s="303"/>
      <c r="F171" s="282">
        <f t="shared" si="11"/>
        <v>51000</v>
      </c>
      <c r="G171" s="371">
        <f t="shared" si="11"/>
        <v>51000</v>
      </c>
    </row>
    <row r="172" spans="1:7" s="308" customFormat="1" ht="89.25" customHeight="1">
      <c r="A172" s="383" t="s">
        <v>872</v>
      </c>
      <c r="B172" s="275" t="s">
        <v>1051</v>
      </c>
      <c r="C172" s="275" t="s">
        <v>1079</v>
      </c>
      <c r="D172" s="289" t="s">
        <v>873</v>
      </c>
      <c r="E172" s="303"/>
      <c r="F172" s="282">
        <f>F173+F176+F179+F182</f>
        <v>51000</v>
      </c>
      <c r="G172" s="371">
        <f>G173+G176+G179+G182</f>
        <v>51000</v>
      </c>
    </row>
    <row r="173" spans="1:7" ht="48" customHeight="1" hidden="1">
      <c r="A173" s="383" t="s">
        <v>874</v>
      </c>
      <c r="B173" s="275" t="s">
        <v>1051</v>
      </c>
      <c r="C173" s="275" t="s">
        <v>1079</v>
      </c>
      <c r="D173" s="289" t="s">
        <v>875</v>
      </c>
      <c r="E173" s="303"/>
      <c r="F173" s="282">
        <f>F174</f>
        <v>0</v>
      </c>
      <c r="G173" s="371">
        <f>G174</f>
        <v>0</v>
      </c>
    </row>
    <row r="174" spans="1:7" ht="48" customHeight="1" hidden="1">
      <c r="A174" s="343" t="s">
        <v>876</v>
      </c>
      <c r="B174" s="275" t="s">
        <v>1051</v>
      </c>
      <c r="C174" s="275" t="s">
        <v>1079</v>
      </c>
      <c r="D174" s="289" t="s">
        <v>877</v>
      </c>
      <c r="E174" s="303"/>
      <c r="F174" s="282">
        <f>F175</f>
        <v>0</v>
      </c>
      <c r="G174" s="371">
        <f>G175</f>
        <v>0</v>
      </c>
    </row>
    <row r="175" spans="1:7" ht="48" customHeight="1" hidden="1">
      <c r="A175" s="343" t="s">
        <v>516</v>
      </c>
      <c r="B175" s="275" t="s">
        <v>1051</v>
      </c>
      <c r="C175" s="275" t="s">
        <v>1079</v>
      </c>
      <c r="D175" s="289" t="s">
        <v>877</v>
      </c>
      <c r="E175" s="303" t="s">
        <v>517</v>
      </c>
      <c r="F175" s="282"/>
      <c r="G175" s="371"/>
    </row>
    <row r="176" spans="1:7" ht="55.5" customHeight="1">
      <c r="A176" s="383" t="s">
        <v>878</v>
      </c>
      <c r="B176" s="275" t="s">
        <v>1051</v>
      </c>
      <c r="C176" s="275" t="s">
        <v>1079</v>
      </c>
      <c r="D176" s="289" t="s">
        <v>879</v>
      </c>
      <c r="E176" s="303"/>
      <c r="F176" s="282">
        <f>F177</f>
        <v>51000</v>
      </c>
      <c r="G176" s="371">
        <f>G177</f>
        <v>51000</v>
      </c>
    </row>
    <row r="177" spans="1:7" ht="42.75" customHeight="1">
      <c r="A177" s="343" t="s">
        <v>876</v>
      </c>
      <c r="B177" s="275" t="s">
        <v>1051</v>
      </c>
      <c r="C177" s="275" t="s">
        <v>1079</v>
      </c>
      <c r="D177" s="289" t="s">
        <v>880</v>
      </c>
      <c r="E177" s="303"/>
      <c r="F177" s="282">
        <f>F178</f>
        <v>51000</v>
      </c>
      <c r="G177" s="371">
        <f>G178</f>
        <v>51000</v>
      </c>
    </row>
    <row r="178" spans="1:7" ht="33" customHeight="1">
      <c r="A178" s="343" t="s">
        <v>516</v>
      </c>
      <c r="B178" s="275" t="s">
        <v>1051</v>
      </c>
      <c r="C178" s="275" t="s">
        <v>1079</v>
      </c>
      <c r="D178" s="289" t="s">
        <v>880</v>
      </c>
      <c r="E178" s="303" t="s">
        <v>517</v>
      </c>
      <c r="F178" s="282">
        <v>51000</v>
      </c>
      <c r="G178" s="371">
        <v>51000</v>
      </c>
    </row>
    <row r="179" spans="1:7" ht="48" customHeight="1" hidden="1">
      <c r="A179" s="383" t="s">
        <v>881</v>
      </c>
      <c r="B179" s="275" t="s">
        <v>1051</v>
      </c>
      <c r="C179" s="275" t="s">
        <v>1079</v>
      </c>
      <c r="D179" s="289" t="s">
        <v>882</v>
      </c>
      <c r="E179" s="303"/>
      <c r="F179" s="282">
        <f>F180</f>
        <v>0</v>
      </c>
      <c r="G179" s="371">
        <f>G180</f>
        <v>0</v>
      </c>
    </row>
    <row r="180" spans="1:7" ht="48" customHeight="1" hidden="1">
      <c r="A180" s="343" t="s">
        <v>876</v>
      </c>
      <c r="B180" s="275" t="s">
        <v>1051</v>
      </c>
      <c r="C180" s="275" t="s">
        <v>1079</v>
      </c>
      <c r="D180" s="289" t="s">
        <v>883</v>
      </c>
      <c r="E180" s="303"/>
      <c r="F180" s="282">
        <f>F181</f>
        <v>0</v>
      </c>
      <c r="G180" s="371">
        <f>G181</f>
        <v>0</v>
      </c>
    </row>
    <row r="181" spans="1:7" ht="48" customHeight="1" hidden="1">
      <c r="A181" s="343" t="s">
        <v>516</v>
      </c>
      <c r="B181" s="275" t="s">
        <v>1051</v>
      </c>
      <c r="C181" s="275" t="s">
        <v>1079</v>
      </c>
      <c r="D181" s="289" t="s">
        <v>883</v>
      </c>
      <c r="E181" s="303" t="s">
        <v>517</v>
      </c>
      <c r="F181" s="282"/>
      <c r="G181" s="371"/>
    </row>
    <row r="182" spans="1:7" ht="48" customHeight="1" hidden="1">
      <c r="A182" s="383" t="s">
        <v>884</v>
      </c>
      <c r="B182" s="275" t="s">
        <v>1051</v>
      </c>
      <c r="C182" s="275" t="s">
        <v>1079</v>
      </c>
      <c r="D182" s="289" t="s">
        <v>885</v>
      </c>
      <c r="E182" s="303"/>
      <c r="F182" s="282">
        <f>F183</f>
        <v>0</v>
      </c>
      <c r="G182" s="371">
        <f>G183</f>
        <v>0</v>
      </c>
    </row>
    <row r="183" spans="1:7" ht="48" customHeight="1" hidden="1">
      <c r="A183" s="343" t="s">
        <v>876</v>
      </c>
      <c r="B183" s="275" t="s">
        <v>1051</v>
      </c>
      <c r="C183" s="275" t="s">
        <v>1079</v>
      </c>
      <c r="D183" s="289" t="s">
        <v>886</v>
      </c>
      <c r="E183" s="303"/>
      <c r="F183" s="282">
        <f>F184</f>
        <v>0</v>
      </c>
      <c r="G183" s="371">
        <f>G184</f>
        <v>0</v>
      </c>
    </row>
    <row r="184" spans="1:7" ht="48" customHeight="1" hidden="1">
      <c r="A184" s="343" t="s">
        <v>516</v>
      </c>
      <c r="B184" s="275" t="s">
        <v>1051</v>
      </c>
      <c r="C184" s="275" t="s">
        <v>1079</v>
      </c>
      <c r="D184" s="289" t="s">
        <v>886</v>
      </c>
      <c r="E184" s="303" t="s">
        <v>517</v>
      </c>
      <c r="F184" s="282"/>
      <c r="G184" s="371"/>
    </row>
    <row r="185" spans="1:7" ht="15" customHeight="1">
      <c r="A185" s="370" t="s">
        <v>1080</v>
      </c>
      <c r="B185" s="275" t="s">
        <v>1054</v>
      </c>
      <c r="C185" s="275"/>
      <c r="D185" s="275"/>
      <c r="E185" s="284"/>
      <c r="F185" s="282">
        <f>F186+F193+F206</f>
        <v>6048100</v>
      </c>
      <c r="G185" s="371">
        <f>G186+G193+G206</f>
        <v>6333891</v>
      </c>
    </row>
    <row r="186" spans="1:7" ht="13.5">
      <c r="A186" s="370" t="s">
        <v>1081</v>
      </c>
      <c r="B186" s="275" t="s">
        <v>1054</v>
      </c>
      <c r="C186" s="275" t="s">
        <v>1082</v>
      </c>
      <c r="D186" s="275"/>
      <c r="E186" s="284"/>
      <c r="F186" s="282">
        <f aca="true" t="shared" si="12" ref="F186:G189">F187</f>
        <v>510000</v>
      </c>
      <c r="G186" s="371">
        <f t="shared" si="12"/>
        <v>510000</v>
      </c>
    </row>
    <row r="187" spans="1:7" ht="55.5" customHeight="1">
      <c r="A187" s="394" t="s">
        <v>822</v>
      </c>
      <c r="B187" s="275" t="s">
        <v>1054</v>
      </c>
      <c r="C187" s="275" t="s">
        <v>1082</v>
      </c>
      <c r="D187" s="289" t="s">
        <v>823</v>
      </c>
      <c r="E187" s="284"/>
      <c r="F187" s="282">
        <f t="shared" si="12"/>
        <v>510000</v>
      </c>
      <c r="G187" s="371">
        <f t="shared" si="12"/>
        <v>510000</v>
      </c>
    </row>
    <row r="188" spans="1:7" s="308" customFormat="1" ht="66.75" customHeight="1">
      <c r="A188" s="395" t="s">
        <v>837</v>
      </c>
      <c r="B188" s="275" t="s">
        <v>1054</v>
      </c>
      <c r="C188" s="275" t="s">
        <v>1082</v>
      </c>
      <c r="D188" s="289" t="s">
        <v>838</v>
      </c>
      <c r="E188" s="284"/>
      <c r="F188" s="282">
        <f t="shared" si="12"/>
        <v>510000</v>
      </c>
      <c r="G188" s="371">
        <f t="shared" si="12"/>
        <v>510000</v>
      </c>
    </row>
    <row r="189" spans="1:7" ht="30" customHeight="1">
      <c r="A189" s="373" t="s">
        <v>839</v>
      </c>
      <c r="B189" s="275" t="s">
        <v>1054</v>
      </c>
      <c r="C189" s="275" t="s">
        <v>1082</v>
      </c>
      <c r="D189" s="289" t="s">
        <v>840</v>
      </c>
      <c r="E189" s="284"/>
      <c r="F189" s="282">
        <f t="shared" si="12"/>
        <v>510000</v>
      </c>
      <c r="G189" s="371">
        <f t="shared" si="12"/>
        <v>510000</v>
      </c>
    </row>
    <row r="190" spans="1:7" ht="13.5">
      <c r="A190" s="370" t="s">
        <v>841</v>
      </c>
      <c r="B190" s="275" t="s">
        <v>1054</v>
      </c>
      <c r="C190" s="275" t="s">
        <v>1082</v>
      </c>
      <c r="D190" s="289" t="s">
        <v>842</v>
      </c>
      <c r="E190" s="284"/>
      <c r="F190" s="282">
        <f>F192+F191</f>
        <v>510000</v>
      </c>
      <c r="G190" s="371">
        <f>G192+G191</f>
        <v>510000</v>
      </c>
    </row>
    <row r="191" spans="1:7" ht="26.25">
      <c r="A191" s="343" t="s">
        <v>516</v>
      </c>
      <c r="B191" s="275" t="s">
        <v>1054</v>
      </c>
      <c r="C191" s="275" t="s">
        <v>1082</v>
      </c>
      <c r="D191" s="289" t="s">
        <v>842</v>
      </c>
      <c r="E191" s="284" t="s">
        <v>517</v>
      </c>
      <c r="F191" s="282">
        <v>10000</v>
      </c>
      <c r="G191" s="371">
        <v>10000</v>
      </c>
    </row>
    <row r="192" spans="1:7" ht="13.5">
      <c r="A192" s="343" t="s">
        <v>524</v>
      </c>
      <c r="B192" s="275" t="s">
        <v>1054</v>
      </c>
      <c r="C192" s="275" t="s">
        <v>1082</v>
      </c>
      <c r="D192" s="289" t="s">
        <v>842</v>
      </c>
      <c r="E192" s="284" t="s">
        <v>525</v>
      </c>
      <c r="F192" s="282">
        <v>500000</v>
      </c>
      <c r="G192" s="371">
        <v>500000</v>
      </c>
    </row>
    <row r="193" spans="1:7" ht="24.75" customHeight="1">
      <c r="A193" s="370" t="s">
        <v>1083</v>
      </c>
      <c r="B193" s="275" t="s">
        <v>1054</v>
      </c>
      <c r="C193" s="275" t="s">
        <v>1079</v>
      </c>
      <c r="D193" s="275"/>
      <c r="E193" s="284"/>
      <c r="F193" s="282">
        <f>F194</f>
        <v>4975100</v>
      </c>
      <c r="G193" s="371">
        <f>G194</f>
        <v>5260891</v>
      </c>
    </row>
    <row r="194" spans="1:7" ht="44.25" customHeight="1">
      <c r="A194" s="394" t="s">
        <v>822</v>
      </c>
      <c r="B194" s="275" t="s">
        <v>1054</v>
      </c>
      <c r="C194" s="275" t="s">
        <v>1079</v>
      </c>
      <c r="D194" s="289" t="s">
        <v>823</v>
      </c>
      <c r="E194" s="284"/>
      <c r="F194" s="282">
        <f>F195</f>
        <v>4975100</v>
      </c>
      <c r="G194" s="371">
        <f>G195</f>
        <v>5260891</v>
      </c>
    </row>
    <row r="195" spans="1:7" s="308" customFormat="1" ht="62.25" customHeight="1">
      <c r="A195" s="386" t="s">
        <v>824</v>
      </c>
      <c r="B195" s="275" t="s">
        <v>1054</v>
      </c>
      <c r="C195" s="275" t="s">
        <v>1079</v>
      </c>
      <c r="D195" s="289" t="s">
        <v>825</v>
      </c>
      <c r="E195" s="284"/>
      <c r="F195" s="282">
        <f>F196+F201</f>
        <v>4975100</v>
      </c>
      <c r="G195" s="371">
        <f>G196+G201</f>
        <v>5260891</v>
      </c>
    </row>
    <row r="196" spans="1:7" ht="26.25">
      <c r="A196" s="373" t="s">
        <v>826</v>
      </c>
      <c r="B196" s="275" t="s">
        <v>1054</v>
      </c>
      <c r="C196" s="275" t="s">
        <v>1079</v>
      </c>
      <c r="D196" s="289" t="s">
        <v>827</v>
      </c>
      <c r="E196" s="284"/>
      <c r="F196" s="282">
        <f>F197+F199</f>
        <v>3988101</v>
      </c>
      <c r="G196" s="371">
        <f>G197</f>
        <v>5260891</v>
      </c>
    </row>
    <row r="197" spans="1:7" ht="26.25">
      <c r="A197" s="343" t="s">
        <v>828</v>
      </c>
      <c r="B197" s="275" t="s">
        <v>1054</v>
      </c>
      <c r="C197" s="275" t="s">
        <v>1079</v>
      </c>
      <c r="D197" s="289" t="s">
        <v>829</v>
      </c>
      <c r="E197" s="284"/>
      <c r="F197" s="282">
        <f>F198</f>
        <v>1810184</v>
      </c>
      <c r="G197" s="371">
        <f>G198</f>
        <v>5260891</v>
      </c>
    </row>
    <row r="198" spans="1:7" ht="13.5">
      <c r="A198" s="343" t="s">
        <v>554</v>
      </c>
      <c r="B198" s="275" t="s">
        <v>1054</v>
      </c>
      <c r="C198" s="275" t="s">
        <v>1079</v>
      </c>
      <c r="D198" s="289" t="s">
        <v>829</v>
      </c>
      <c r="E198" s="284" t="s">
        <v>517</v>
      </c>
      <c r="F198" s="282">
        <f>4975100-3164916</f>
        <v>1810184</v>
      </c>
      <c r="G198" s="371">
        <v>5260891</v>
      </c>
    </row>
    <row r="199" spans="1:9" ht="24" customHeight="1">
      <c r="A199" s="343" t="s">
        <v>830</v>
      </c>
      <c r="B199" s="275" t="s">
        <v>1054</v>
      </c>
      <c r="C199" s="275" t="s">
        <v>1079</v>
      </c>
      <c r="D199" s="289" t="s">
        <v>831</v>
      </c>
      <c r="E199" s="284"/>
      <c r="F199" s="282">
        <f>F200</f>
        <v>2177917</v>
      </c>
      <c r="G199" s="371">
        <f>G200</f>
        <v>0</v>
      </c>
      <c r="I199" s="306"/>
    </row>
    <row r="200" spans="1:9" ht="26.25">
      <c r="A200" s="396" t="s">
        <v>751</v>
      </c>
      <c r="B200" s="275" t="s">
        <v>1054</v>
      </c>
      <c r="C200" s="275" t="s">
        <v>1079</v>
      </c>
      <c r="D200" s="289" t="s">
        <v>831</v>
      </c>
      <c r="E200" s="284" t="s">
        <v>517</v>
      </c>
      <c r="F200" s="282">
        <f>2177917</f>
        <v>2177917</v>
      </c>
      <c r="G200" s="371"/>
      <c r="I200" s="306"/>
    </row>
    <row r="201" spans="1:9" ht="24.75" customHeight="1">
      <c r="A201" s="373" t="s">
        <v>832</v>
      </c>
      <c r="B201" s="275" t="s">
        <v>1054</v>
      </c>
      <c r="C201" s="275" t="s">
        <v>1079</v>
      </c>
      <c r="D201" s="289" t="s">
        <v>833</v>
      </c>
      <c r="E201" s="284"/>
      <c r="F201" s="282">
        <f>F202+F204</f>
        <v>986999</v>
      </c>
      <c r="G201" s="371">
        <f>G202+G204</f>
        <v>0</v>
      </c>
      <c r="I201" s="306"/>
    </row>
    <row r="202" spans="1:9" ht="13.5" hidden="1">
      <c r="A202" s="343" t="s">
        <v>834</v>
      </c>
      <c r="B202" s="275" t="s">
        <v>1054</v>
      </c>
      <c r="C202" s="275" t="s">
        <v>1079</v>
      </c>
      <c r="D202" s="289" t="s">
        <v>835</v>
      </c>
      <c r="E202" s="284"/>
      <c r="F202" s="282">
        <f>F203</f>
        <v>0</v>
      </c>
      <c r="G202" s="371">
        <f>G203</f>
        <v>0</v>
      </c>
      <c r="I202" s="306"/>
    </row>
    <row r="203" spans="1:9" ht="26.25" hidden="1">
      <c r="A203" s="396" t="s">
        <v>751</v>
      </c>
      <c r="B203" s="275" t="s">
        <v>1054</v>
      </c>
      <c r="C203" s="275" t="s">
        <v>1079</v>
      </c>
      <c r="D203" s="289" t="s">
        <v>835</v>
      </c>
      <c r="E203" s="284" t="s">
        <v>752</v>
      </c>
      <c r="F203" s="282"/>
      <c r="G203" s="371"/>
      <c r="I203" s="306"/>
    </row>
    <row r="204" spans="1:9" ht="13.5">
      <c r="A204" s="343" t="s">
        <v>830</v>
      </c>
      <c r="B204" s="275" t="s">
        <v>1054</v>
      </c>
      <c r="C204" s="275" t="s">
        <v>1079</v>
      </c>
      <c r="D204" s="289" t="s">
        <v>836</v>
      </c>
      <c r="E204" s="284"/>
      <c r="F204" s="282">
        <f>F205</f>
        <v>986999</v>
      </c>
      <c r="G204" s="371">
        <f>G205</f>
        <v>0</v>
      </c>
      <c r="I204" s="306"/>
    </row>
    <row r="205" spans="1:9" ht="26.25">
      <c r="A205" s="396" t="s">
        <v>751</v>
      </c>
      <c r="B205" s="275" t="s">
        <v>1054</v>
      </c>
      <c r="C205" s="275" t="s">
        <v>1079</v>
      </c>
      <c r="D205" s="289" t="s">
        <v>836</v>
      </c>
      <c r="E205" s="284" t="s">
        <v>752</v>
      </c>
      <c r="F205" s="282">
        <f>986999</f>
        <v>986999</v>
      </c>
      <c r="G205" s="371"/>
      <c r="I205" s="306"/>
    </row>
    <row r="206" spans="1:9" ht="21" customHeight="1">
      <c r="A206" s="370" t="s">
        <v>1084</v>
      </c>
      <c r="B206" s="275" t="s">
        <v>1054</v>
      </c>
      <c r="C206" s="275" t="s">
        <v>1085</v>
      </c>
      <c r="D206" s="275"/>
      <c r="E206" s="284"/>
      <c r="F206" s="282">
        <f>F207+F219+F228+F214</f>
        <v>563000</v>
      </c>
      <c r="G206" s="371">
        <f>G207+G219+G228+G214</f>
        <v>563000</v>
      </c>
      <c r="I206" s="306"/>
    </row>
    <row r="207" spans="1:9" ht="45" customHeight="1">
      <c r="A207" s="385" t="s">
        <v>687</v>
      </c>
      <c r="B207" s="275" t="s">
        <v>1054</v>
      </c>
      <c r="C207" s="275" t="s">
        <v>1085</v>
      </c>
      <c r="D207" s="275" t="s">
        <v>688</v>
      </c>
      <c r="E207" s="284"/>
      <c r="F207" s="282">
        <f>F208</f>
        <v>200000</v>
      </c>
      <c r="G207" s="371">
        <f>G208</f>
        <v>200000</v>
      </c>
      <c r="I207" s="306"/>
    </row>
    <row r="208" spans="1:9" s="308" customFormat="1" ht="56.25" customHeight="1">
      <c r="A208" s="397" t="s">
        <v>689</v>
      </c>
      <c r="B208" s="275" t="s">
        <v>1054</v>
      </c>
      <c r="C208" s="275" t="s">
        <v>1085</v>
      </c>
      <c r="D208" s="275" t="s">
        <v>690</v>
      </c>
      <c r="E208" s="284"/>
      <c r="F208" s="282">
        <f>F209</f>
        <v>200000</v>
      </c>
      <c r="G208" s="371">
        <f>G209</f>
        <v>200000</v>
      </c>
      <c r="I208" s="398"/>
    </row>
    <row r="209" spans="1:7" ht="29.25" customHeight="1">
      <c r="A209" s="373" t="s">
        <v>691</v>
      </c>
      <c r="B209" s="275" t="s">
        <v>1054</v>
      </c>
      <c r="C209" s="275" t="s">
        <v>1085</v>
      </c>
      <c r="D209" s="275" t="s">
        <v>692</v>
      </c>
      <c r="E209" s="284"/>
      <c r="F209" s="282">
        <f>F210+F212</f>
        <v>200000</v>
      </c>
      <c r="G209" s="371">
        <f>G210+G212</f>
        <v>200000</v>
      </c>
    </row>
    <row r="210" spans="1:7" ht="48" customHeight="1" hidden="1">
      <c r="A210" s="372" t="s">
        <v>693</v>
      </c>
      <c r="B210" s="275" t="s">
        <v>1054</v>
      </c>
      <c r="C210" s="275" t="s">
        <v>1085</v>
      </c>
      <c r="D210" s="275" t="s">
        <v>694</v>
      </c>
      <c r="E210" s="284"/>
      <c r="F210" s="282">
        <f>F211</f>
        <v>0</v>
      </c>
      <c r="G210" s="371">
        <f>G211</f>
        <v>0</v>
      </c>
    </row>
    <row r="211" spans="1:7" ht="48" customHeight="1" hidden="1">
      <c r="A211" s="343" t="s">
        <v>516</v>
      </c>
      <c r="B211" s="275" t="s">
        <v>1054</v>
      </c>
      <c r="C211" s="275" t="s">
        <v>1085</v>
      </c>
      <c r="D211" s="275" t="s">
        <v>694</v>
      </c>
      <c r="E211" s="284" t="s">
        <v>517</v>
      </c>
      <c r="F211" s="282"/>
      <c r="G211" s="371"/>
    </row>
    <row r="212" spans="1:7" ht="13.5">
      <c r="A212" s="372" t="s">
        <v>695</v>
      </c>
      <c r="B212" s="275" t="s">
        <v>1054</v>
      </c>
      <c r="C212" s="275" t="s">
        <v>1085</v>
      </c>
      <c r="D212" s="275" t="s">
        <v>696</v>
      </c>
      <c r="E212" s="284"/>
      <c r="F212" s="282">
        <f>F213</f>
        <v>200000</v>
      </c>
      <c r="G212" s="371">
        <f>G213</f>
        <v>200000</v>
      </c>
    </row>
    <row r="213" spans="1:7" ht="26.25">
      <c r="A213" s="343" t="s">
        <v>516</v>
      </c>
      <c r="B213" s="275" t="s">
        <v>1054</v>
      </c>
      <c r="C213" s="275" t="s">
        <v>1085</v>
      </c>
      <c r="D213" s="275" t="s">
        <v>696</v>
      </c>
      <c r="E213" s="284" t="s">
        <v>517</v>
      </c>
      <c r="F213" s="282">
        <v>200000</v>
      </c>
      <c r="G213" s="371">
        <v>200000</v>
      </c>
    </row>
    <row r="214" spans="1:7" ht="48" customHeight="1" hidden="1">
      <c r="A214" s="399" t="s">
        <v>697</v>
      </c>
      <c r="B214" s="275" t="s">
        <v>1054</v>
      </c>
      <c r="C214" s="275" t="s">
        <v>1085</v>
      </c>
      <c r="D214" s="319" t="s">
        <v>698</v>
      </c>
      <c r="E214" s="284"/>
      <c r="F214" s="282">
        <f aca="true" t="shared" si="13" ref="F214:G217">F215</f>
        <v>0</v>
      </c>
      <c r="G214" s="371">
        <f t="shared" si="13"/>
        <v>0</v>
      </c>
    </row>
    <row r="215" spans="1:7" ht="48" customHeight="1" hidden="1">
      <c r="A215" s="396" t="s">
        <v>1086</v>
      </c>
      <c r="B215" s="275" t="s">
        <v>1054</v>
      </c>
      <c r="C215" s="275" t="s">
        <v>1085</v>
      </c>
      <c r="D215" s="319" t="s">
        <v>700</v>
      </c>
      <c r="E215" s="284"/>
      <c r="F215" s="282">
        <f t="shared" si="13"/>
        <v>0</v>
      </c>
      <c r="G215" s="371">
        <f t="shared" si="13"/>
        <v>0</v>
      </c>
    </row>
    <row r="216" spans="1:7" ht="48" customHeight="1" hidden="1">
      <c r="A216" s="373" t="s">
        <v>701</v>
      </c>
      <c r="B216" s="275" t="s">
        <v>1054</v>
      </c>
      <c r="C216" s="275" t="s">
        <v>1085</v>
      </c>
      <c r="D216" s="400" t="s">
        <v>702</v>
      </c>
      <c r="E216" s="284"/>
      <c r="F216" s="282">
        <f t="shared" si="13"/>
        <v>0</v>
      </c>
      <c r="G216" s="371">
        <f t="shared" si="13"/>
        <v>0</v>
      </c>
    </row>
    <row r="217" spans="1:7" ht="48" customHeight="1" hidden="1">
      <c r="A217" s="367" t="s">
        <v>703</v>
      </c>
      <c r="B217" s="275" t="s">
        <v>1054</v>
      </c>
      <c r="C217" s="275" t="s">
        <v>1085</v>
      </c>
      <c r="D217" s="319" t="s">
        <v>704</v>
      </c>
      <c r="E217" s="284"/>
      <c r="F217" s="282">
        <f t="shared" si="13"/>
        <v>0</v>
      </c>
      <c r="G217" s="371">
        <f t="shared" si="13"/>
        <v>0</v>
      </c>
    </row>
    <row r="218" spans="1:7" ht="48" customHeight="1" hidden="1">
      <c r="A218" s="343" t="s">
        <v>554</v>
      </c>
      <c r="B218" s="275" t="s">
        <v>1054</v>
      </c>
      <c r="C218" s="275" t="s">
        <v>1085</v>
      </c>
      <c r="D218" s="319" t="s">
        <v>704</v>
      </c>
      <c r="E218" s="284" t="s">
        <v>517</v>
      </c>
      <c r="F218" s="282"/>
      <c r="G218" s="371"/>
    </row>
    <row r="219" spans="1:7" ht="54.75" customHeight="1">
      <c r="A219" s="385" t="s">
        <v>1087</v>
      </c>
      <c r="B219" s="275" t="s">
        <v>1054</v>
      </c>
      <c r="C219" s="275" t="s">
        <v>1085</v>
      </c>
      <c r="D219" s="319" t="s">
        <v>722</v>
      </c>
      <c r="E219" s="284"/>
      <c r="F219" s="282">
        <f>F220</f>
        <v>330000</v>
      </c>
      <c r="G219" s="371">
        <f>G220</f>
        <v>330000</v>
      </c>
    </row>
    <row r="220" spans="1:7" s="308" customFormat="1" ht="66.75" customHeight="1">
      <c r="A220" s="386" t="s">
        <v>1088</v>
      </c>
      <c r="B220" s="275" t="s">
        <v>1054</v>
      </c>
      <c r="C220" s="275" t="s">
        <v>1085</v>
      </c>
      <c r="D220" s="319" t="s">
        <v>737</v>
      </c>
      <c r="E220" s="284"/>
      <c r="F220" s="282">
        <f>F221</f>
        <v>330000</v>
      </c>
      <c r="G220" s="371">
        <f>G221</f>
        <v>330000</v>
      </c>
    </row>
    <row r="221" spans="1:7" ht="29.25" customHeight="1">
      <c r="A221" s="373" t="s">
        <v>763</v>
      </c>
      <c r="B221" s="275" t="s">
        <v>1054</v>
      </c>
      <c r="C221" s="275" t="s">
        <v>1085</v>
      </c>
      <c r="D221" s="298" t="s">
        <v>764</v>
      </c>
      <c r="E221" s="303"/>
      <c r="F221" s="282">
        <f>F226+F222+F224</f>
        <v>330000</v>
      </c>
      <c r="G221" s="371">
        <f>G226+G222+G224</f>
        <v>330000</v>
      </c>
    </row>
    <row r="222" spans="1:7" ht="48" customHeight="1" hidden="1">
      <c r="A222" s="373" t="s">
        <v>765</v>
      </c>
      <c r="B222" s="275" t="s">
        <v>1054</v>
      </c>
      <c r="C222" s="275" t="s">
        <v>1085</v>
      </c>
      <c r="D222" s="298" t="s">
        <v>766</v>
      </c>
      <c r="E222" s="303"/>
      <c r="F222" s="282">
        <f>F223</f>
        <v>0</v>
      </c>
      <c r="G222" s="371">
        <f>G223</f>
        <v>0</v>
      </c>
    </row>
    <row r="223" spans="1:7" ht="13.5" hidden="1">
      <c r="A223" s="401" t="s">
        <v>713</v>
      </c>
      <c r="B223" s="275" t="s">
        <v>1054</v>
      </c>
      <c r="C223" s="275" t="s">
        <v>1085</v>
      </c>
      <c r="D223" s="298" t="s">
        <v>766</v>
      </c>
      <c r="E223" s="303" t="s">
        <v>714</v>
      </c>
      <c r="F223" s="282"/>
      <c r="G223" s="371"/>
    </row>
    <row r="224" spans="1:7" ht="30" customHeight="1">
      <c r="A224" s="373" t="s">
        <v>767</v>
      </c>
      <c r="B224" s="275" t="s">
        <v>1054</v>
      </c>
      <c r="C224" s="275" t="s">
        <v>1085</v>
      </c>
      <c r="D224" s="298" t="s">
        <v>768</v>
      </c>
      <c r="E224" s="303"/>
      <c r="F224" s="282">
        <f>F225</f>
        <v>330000</v>
      </c>
      <c r="G224" s="371">
        <f>G225</f>
        <v>330000</v>
      </c>
    </row>
    <row r="225" spans="1:7" ht="17.25" customHeight="1">
      <c r="A225" s="401" t="s">
        <v>713</v>
      </c>
      <c r="B225" s="275" t="s">
        <v>1054</v>
      </c>
      <c r="C225" s="275" t="s">
        <v>1085</v>
      </c>
      <c r="D225" s="298" t="s">
        <v>768</v>
      </c>
      <c r="E225" s="303" t="s">
        <v>714</v>
      </c>
      <c r="F225" s="282">
        <f>877632-547632</f>
        <v>330000</v>
      </c>
      <c r="G225" s="371">
        <f>877632-547632</f>
        <v>330000</v>
      </c>
    </row>
    <row r="226" spans="1:7" ht="48" customHeight="1" hidden="1">
      <c r="A226" s="401" t="s">
        <v>769</v>
      </c>
      <c r="B226" s="275" t="s">
        <v>1054</v>
      </c>
      <c r="C226" s="275" t="s">
        <v>1085</v>
      </c>
      <c r="D226" s="298" t="s">
        <v>770</v>
      </c>
      <c r="E226" s="303"/>
      <c r="F226" s="282">
        <f>F227</f>
        <v>0</v>
      </c>
      <c r="G226" s="371">
        <f>G227</f>
        <v>0</v>
      </c>
    </row>
    <row r="227" spans="1:7" ht="48" customHeight="1" hidden="1">
      <c r="A227" s="401" t="s">
        <v>713</v>
      </c>
      <c r="B227" s="275" t="s">
        <v>1054</v>
      </c>
      <c r="C227" s="275" t="s">
        <v>1085</v>
      </c>
      <c r="D227" s="298" t="s">
        <v>770</v>
      </c>
      <c r="E227" s="303" t="s">
        <v>714</v>
      </c>
      <c r="F227" s="282">
        <f>400000-400000</f>
        <v>0</v>
      </c>
      <c r="G227" s="371">
        <f>400000-400000</f>
        <v>0</v>
      </c>
    </row>
    <row r="228" spans="1:7" ht="26.25">
      <c r="A228" s="386" t="s">
        <v>903</v>
      </c>
      <c r="B228" s="275" t="s">
        <v>1054</v>
      </c>
      <c r="C228" s="275" t="s">
        <v>1085</v>
      </c>
      <c r="D228" s="275" t="s">
        <v>904</v>
      </c>
      <c r="E228" s="303"/>
      <c r="F228" s="282">
        <f>F229+F233</f>
        <v>33000</v>
      </c>
      <c r="G228" s="371">
        <f>G229+G233</f>
        <v>33000</v>
      </c>
    </row>
    <row r="229" spans="1:7" s="308" customFormat="1" ht="52.5">
      <c r="A229" s="397" t="s">
        <v>905</v>
      </c>
      <c r="B229" s="275" t="s">
        <v>1054</v>
      </c>
      <c r="C229" s="275" t="s">
        <v>1085</v>
      </c>
      <c r="D229" s="275" t="s">
        <v>906</v>
      </c>
      <c r="E229" s="303"/>
      <c r="F229" s="282">
        <f aca="true" t="shared" si="14" ref="F229:G231">F230</f>
        <v>28000</v>
      </c>
      <c r="G229" s="371">
        <f t="shared" si="14"/>
        <v>28000</v>
      </c>
    </row>
    <row r="230" spans="1:7" ht="26.25">
      <c r="A230" s="397" t="s">
        <v>907</v>
      </c>
      <c r="B230" s="275" t="s">
        <v>1054</v>
      </c>
      <c r="C230" s="275" t="s">
        <v>1085</v>
      </c>
      <c r="D230" s="275" t="s">
        <v>908</v>
      </c>
      <c r="E230" s="303"/>
      <c r="F230" s="282">
        <f t="shared" si="14"/>
        <v>28000</v>
      </c>
      <c r="G230" s="371">
        <f t="shared" si="14"/>
        <v>28000</v>
      </c>
    </row>
    <row r="231" spans="1:7" ht="26.25">
      <c r="A231" s="372" t="s">
        <v>909</v>
      </c>
      <c r="B231" s="275" t="s">
        <v>1054</v>
      </c>
      <c r="C231" s="275" t="s">
        <v>1085</v>
      </c>
      <c r="D231" s="275" t="s">
        <v>910</v>
      </c>
      <c r="E231" s="303"/>
      <c r="F231" s="282">
        <f t="shared" si="14"/>
        <v>28000</v>
      </c>
      <c r="G231" s="371">
        <f t="shared" si="14"/>
        <v>28000</v>
      </c>
    </row>
    <row r="232" spans="1:7" ht="26.25">
      <c r="A232" s="343" t="s">
        <v>516</v>
      </c>
      <c r="B232" s="275" t="s">
        <v>1054</v>
      </c>
      <c r="C232" s="275" t="s">
        <v>1085</v>
      </c>
      <c r="D232" s="275" t="s">
        <v>910</v>
      </c>
      <c r="E232" s="303" t="s">
        <v>517</v>
      </c>
      <c r="F232" s="282">
        <v>28000</v>
      </c>
      <c r="G232" s="371">
        <v>28000</v>
      </c>
    </row>
    <row r="233" spans="1:7" ht="69.75" customHeight="1">
      <c r="A233" s="376" t="s">
        <v>911</v>
      </c>
      <c r="B233" s="275" t="s">
        <v>1054</v>
      </c>
      <c r="C233" s="275" t="s">
        <v>1085</v>
      </c>
      <c r="D233" s="275" t="s">
        <v>912</v>
      </c>
      <c r="E233" s="303"/>
      <c r="F233" s="282">
        <f aca="true" t="shared" si="15" ref="F233:G235">F234</f>
        <v>5000</v>
      </c>
      <c r="G233" s="371">
        <f t="shared" si="15"/>
        <v>5000</v>
      </c>
    </row>
    <row r="234" spans="1:7" ht="45.75" customHeight="1">
      <c r="A234" s="397" t="s">
        <v>913</v>
      </c>
      <c r="B234" s="275" t="s">
        <v>1054</v>
      </c>
      <c r="C234" s="275" t="s">
        <v>1085</v>
      </c>
      <c r="D234" s="275" t="s">
        <v>914</v>
      </c>
      <c r="E234" s="303"/>
      <c r="F234" s="282">
        <f t="shared" si="15"/>
        <v>5000</v>
      </c>
      <c r="G234" s="371">
        <f t="shared" si="15"/>
        <v>5000</v>
      </c>
    </row>
    <row r="235" spans="1:7" ht="26.25">
      <c r="A235" s="343" t="s">
        <v>915</v>
      </c>
      <c r="B235" s="275" t="s">
        <v>1054</v>
      </c>
      <c r="C235" s="275" t="s">
        <v>1085</v>
      </c>
      <c r="D235" s="275" t="s">
        <v>916</v>
      </c>
      <c r="E235" s="303"/>
      <c r="F235" s="282">
        <f t="shared" si="15"/>
        <v>5000</v>
      </c>
      <c r="G235" s="371">
        <f t="shared" si="15"/>
        <v>5000</v>
      </c>
    </row>
    <row r="236" spans="1:7" ht="26.25">
      <c r="A236" s="343" t="s">
        <v>516</v>
      </c>
      <c r="B236" s="275" t="s">
        <v>1054</v>
      </c>
      <c r="C236" s="275" t="s">
        <v>1085</v>
      </c>
      <c r="D236" s="275" t="s">
        <v>916</v>
      </c>
      <c r="E236" s="303" t="s">
        <v>517</v>
      </c>
      <c r="F236" s="282">
        <v>5000</v>
      </c>
      <c r="G236" s="371">
        <v>5000</v>
      </c>
    </row>
    <row r="237" spans="1:7" ht="13.5">
      <c r="A237" s="343" t="s">
        <v>1089</v>
      </c>
      <c r="B237" s="275" t="s">
        <v>1059</v>
      </c>
      <c r="C237" s="275"/>
      <c r="D237" s="275"/>
      <c r="E237" s="303"/>
      <c r="F237" s="282">
        <f>F247+F238</f>
        <v>2000000</v>
      </c>
      <c r="G237" s="371">
        <f>G247+G238</f>
        <v>2000000</v>
      </c>
    </row>
    <row r="238" spans="1:7" ht="48" customHeight="1" hidden="1">
      <c r="A238" s="343" t="s">
        <v>1090</v>
      </c>
      <c r="B238" s="275" t="s">
        <v>1059</v>
      </c>
      <c r="C238" s="275" t="s">
        <v>1047</v>
      </c>
      <c r="D238" s="275"/>
      <c r="E238" s="303"/>
      <c r="F238" s="282">
        <f aca="true" t="shared" si="16" ref="F238:G240">F239</f>
        <v>0</v>
      </c>
      <c r="G238" s="371">
        <f t="shared" si="16"/>
        <v>0</v>
      </c>
    </row>
    <row r="239" spans="1:7" ht="48" customHeight="1" hidden="1">
      <c r="A239" s="343" t="s">
        <v>1091</v>
      </c>
      <c r="B239" s="275" t="s">
        <v>1059</v>
      </c>
      <c r="C239" s="275" t="s">
        <v>1047</v>
      </c>
      <c r="D239" s="275" t="s">
        <v>722</v>
      </c>
      <c r="E239" s="303"/>
      <c r="F239" s="282">
        <f t="shared" si="16"/>
        <v>0</v>
      </c>
      <c r="G239" s="371">
        <f t="shared" si="16"/>
        <v>0</v>
      </c>
    </row>
    <row r="240" spans="1:7" ht="48" customHeight="1" hidden="1">
      <c r="A240" s="343" t="s">
        <v>1092</v>
      </c>
      <c r="B240" s="275" t="s">
        <v>1059</v>
      </c>
      <c r="C240" s="275" t="s">
        <v>1047</v>
      </c>
      <c r="D240" s="275" t="s">
        <v>737</v>
      </c>
      <c r="E240" s="303"/>
      <c r="F240" s="282">
        <f t="shared" si="16"/>
        <v>0</v>
      </c>
      <c r="G240" s="371">
        <f t="shared" si="16"/>
        <v>0</v>
      </c>
    </row>
    <row r="241" spans="1:7" ht="48" customHeight="1" hidden="1">
      <c r="A241" s="343" t="s">
        <v>757</v>
      </c>
      <c r="B241" s="275" t="s">
        <v>1059</v>
      </c>
      <c r="C241" s="275" t="s">
        <v>1047</v>
      </c>
      <c r="D241" s="275" t="s">
        <v>758</v>
      </c>
      <c r="E241" s="303"/>
      <c r="F241" s="282">
        <f>F242+F244</f>
        <v>0</v>
      </c>
      <c r="G241" s="371">
        <f>G242+G244</f>
        <v>0</v>
      </c>
    </row>
    <row r="242" spans="1:7" ht="48" customHeight="1" hidden="1">
      <c r="A242" s="343" t="s">
        <v>759</v>
      </c>
      <c r="B242" s="275" t="s">
        <v>1059</v>
      </c>
      <c r="C242" s="275" t="s">
        <v>1047</v>
      </c>
      <c r="D242" s="275" t="s">
        <v>760</v>
      </c>
      <c r="E242" s="303"/>
      <c r="F242" s="282">
        <f>F243</f>
        <v>0</v>
      </c>
      <c r="G242" s="371">
        <f>G243</f>
        <v>0</v>
      </c>
    </row>
    <row r="243" spans="1:7" ht="48" customHeight="1" hidden="1">
      <c r="A243" s="401" t="s">
        <v>713</v>
      </c>
      <c r="B243" s="275" t="s">
        <v>1059</v>
      </c>
      <c r="C243" s="275" t="s">
        <v>1047</v>
      </c>
      <c r="D243" s="275" t="s">
        <v>760</v>
      </c>
      <c r="E243" s="303" t="s">
        <v>714</v>
      </c>
      <c r="F243" s="282"/>
      <c r="G243" s="371"/>
    </row>
    <row r="244" spans="1:7" ht="48" customHeight="1" hidden="1">
      <c r="A244" s="401" t="s">
        <v>761</v>
      </c>
      <c r="B244" s="275" t="s">
        <v>1059</v>
      </c>
      <c r="C244" s="275" t="s">
        <v>1047</v>
      </c>
      <c r="D244" s="275" t="s">
        <v>762</v>
      </c>
      <c r="E244" s="303"/>
      <c r="F244" s="282">
        <f>F246+F245</f>
        <v>0</v>
      </c>
      <c r="G244" s="371">
        <f>G246+G245</f>
        <v>0</v>
      </c>
    </row>
    <row r="245" spans="1:7" ht="48" customHeight="1" hidden="1">
      <c r="A245" s="343" t="s">
        <v>516</v>
      </c>
      <c r="B245" s="275" t="s">
        <v>1059</v>
      </c>
      <c r="C245" s="275" t="s">
        <v>1047</v>
      </c>
      <c r="D245" s="275" t="s">
        <v>762</v>
      </c>
      <c r="E245" s="303" t="s">
        <v>517</v>
      </c>
      <c r="F245" s="282"/>
      <c r="G245" s="371"/>
    </row>
    <row r="246" spans="1:7" ht="48" customHeight="1" hidden="1">
      <c r="A246" s="401" t="s">
        <v>751</v>
      </c>
      <c r="B246" s="275" t="s">
        <v>1059</v>
      </c>
      <c r="C246" s="275" t="s">
        <v>1047</v>
      </c>
      <c r="D246" s="275" t="s">
        <v>762</v>
      </c>
      <c r="E246" s="303" t="s">
        <v>752</v>
      </c>
      <c r="F246" s="282"/>
      <c r="G246" s="371"/>
    </row>
    <row r="247" spans="1:7" ht="23.25" customHeight="1">
      <c r="A247" s="343" t="s">
        <v>1093</v>
      </c>
      <c r="B247" s="275" t="s">
        <v>1059</v>
      </c>
      <c r="C247" s="275" t="s">
        <v>1049</v>
      </c>
      <c r="D247" s="275"/>
      <c r="E247" s="303"/>
      <c r="F247" s="282">
        <f>F248+F259+F269</f>
        <v>2000000</v>
      </c>
      <c r="G247" s="371">
        <f>G248+G259+G269</f>
        <v>2000000</v>
      </c>
    </row>
    <row r="248" spans="1:7" ht="48" customHeight="1" hidden="1">
      <c r="A248" s="367" t="s">
        <v>1094</v>
      </c>
      <c r="B248" s="275" t="s">
        <v>1059</v>
      </c>
      <c r="C248" s="275" t="s">
        <v>1049</v>
      </c>
      <c r="D248" s="289" t="s">
        <v>706</v>
      </c>
      <c r="E248" s="303"/>
      <c r="F248" s="391">
        <f>F249</f>
        <v>500000</v>
      </c>
      <c r="G248" s="391">
        <f>G249</f>
        <v>500000</v>
      </c>
    </row>
    <row r="249" spans="1:7" s="308" customFormat="1" ht="48" customHeight="1" hidden="1">
      <c r="A249" s="402" t="s">
        <v>1095</v>
      </c>
      <c r="B249" s="275" t="s">
        <v>1059</v>
      </c>
      <c r="C249" s="275" t="s">
        <v>1049</v>
      </c>
      <c r="D249" s="289" t="s">
        <v>708</v>
      </c>
      <c r="E249" s="303"/>
      <c r="F249" s="371">
        <f>F250</f>
        <v>500000</v>
      </c>
      <c r="G249" s="371">
        <f>G250</f>
        <v>500000</v>
      </c>
    </row>
    <row r="250" spans="1:7" ht="48" customHeight="1" hidden="1">
      <c r="A250" s="373" t="s">
        <v>709</v>
      </c>
      <c r="B250" s="275" t="s">
        <v>1059</v>
      </c>
      <c r="C250" s="275" t="s">
        <v>1049</v>
      </c>
      <c r="D250" s="289" t="s">
        <v>708</v>
      </c>
      <c r="E250" s="303"/>
      <c r="F250" s="403">
        <f>F251+F253+F255+F257</f>
        <v>500000</v>
      </c>
      <c r="G250" s="403">
        <f>G251+G253+G255+G257</f>
        <v>500000</v>
      </c>
    </row>
    <row r="251" spans="1:7" ht="39" hidden="1">
      <c r="A251" s="375" t="s">
        <v>711</v>
      </c>
      <c r="B251" s="275" t="s">
        <v>1059</v>
      </c>
      <c r="C251" s="275" t="s">
        <v>1049</v>
      </c>
      <c r="D251" s="289" t="s">
        <v>712</v>
      </c>
      <c r="E251" s="303"/>
      <c r="F251" s="282">
        <f>F252</f>
        <v>0</v>
      </c>
      <c r="G251" s="371">
        <f>G252</f>
        <v>0</v>
      </c>
    </row>
    <row r="252" spans="1:7" ht="13.5" hidden="1">
      <c r="A252" s="401" t="s">
        <v>713</v>
      </c>
      <c r="B252" s="275" t="s">
        <v>1059</v>
      </c>
      <c r="C252" s="275" t="s">
        <v>1049</v>
      </c>
      <c r="D252" s="289" t="s">
        <v>712</v>
      </c>
      <c r="E252" s="303" t="s">
        <v>714</v>
      </c>
      <c r="F252" s="282"/>
      <c r="G252" s="371"/>
    </row>
    <row r="253" spans="1:7" ht="52.5" hidden="1">
      <c r="A253" s="375" t="s">
        <v>715</v>
      </c>
      <c r="B253" s="275" t="s">
        <v>1059</v>
      </c>
      <c r="C253" s="275" t="s">
        <v>1049</v>
      </c>
      <c r="D253" s="289" t="s">
        <v>716</v>
      </c>
      <c r="E253" s="303"/>
      <c r="F253" s="282">
        <f>F254</f>
        <v>0</v>
      </c>
      <c r="G253" s="371">
        <f>G254</f>
        <v>0</v>
      </c>
    </row>
    <row r="254" spans="1:7" ht="13.5" hidden="1">
      <c r="A254" s="401" t="s">
        <v>713</v>
      </c>
      <c r="B254" s="275" t="s">
        <v>1059</v>
      </c>
      <c r="C254" s="275" t="s">
        <v>1049</v>
      </c>
      <c r="D254" s="289" t="s">
        <v>716</v>
      </c>
      <c r="E254" s="303" t="s">
        <v>714</v>
      </c>
      <c r="F254" s="282"/>
      <c r="G254" s="371"/>
    </row>
    <row r="255" spans="1:7" ht="26.25" hidden="1">
      <c r="A255" s="383" t="s">
        <v>717</v>
      </c>
      <c r="B255" s="275" t="s">
        <v>1059</v>
      </c>
      <c r="C255" s="275" t="s">
        <v>1049</v>
      </c>
      <c r="D255" s="289" t="s">
        <v>718</v>
      </c>
      <c r="E255" s="303"/>
      <c r="F255" s="282">
        <f>F256</f>
        <v>0</v>
      </c>
      <c r="G255" s="371">
        <f>G256</f>
        <v>0</v>
      </c>
    </row>
    <row r="256" spans="1:7" ht="13.5" hidden="1">
      <c r="A256" s="401" t="s">
        <v>713</v>
      </c>
      <c r="B256" s="275" t="s">
        <v>1059</v>
      </c>
      <c r="C256" s="275" t="s">
        <v>1049</v>
      </c>
      <c r="D256" s="289" t="s">
        <v>718</v>
      </c>
      <c r="E256" s="303" t="s">
        <v>714</v>
      </c>
      <c r="F256" s="282"/>
      <c r="G256" s="371"/>
    </row>
    <row r="257" spans="1:7" ht="39">
      <c r="A257" s="332" t="s">
        <v>719</v>
      </c>
      <c r="B257" s="275" t="s">
        <v>1059</v>
      </c>
      <c r="C257" s="275" t="s">
        <v>1049</v>
      </c>
      <c r="D257" s="289" t="s">
        <v>720</v>
      </c>
      <c r="E257" s="303"/>
      <c r="F257" s="282">
        <f>F258</f>
        <v>500000</v>
      </c>
      <c r="G257" s="371">
        <f>G258</f>
        <v>500000</v>
      </c>
    </row>
    <row r="258" spans="1:7" ht="13.5">
      <c r="A258" s="401" t="s">
        <v>713</v>
      </c>
      <c r="B258" s="275" t="s">
        <v>1059</v>
      </c>
      <c r="C258" s="275" t="s">
        <v>1049</v>
      </c>
      <c r="D258" s="289" t="s">
        <v>720</v>
      </c>
      <c r="E258" s="303" t="s">
        <v>714</v>
      </c>
      <c r="F258" s="282">
        <f>970000-470000</f>
        <v>500000</v>
      </c>
      <c r="G258" s="371">
        <f>970000-470000</f>
        <v>500000</v>
      </c>
    </row>
    <row r="259" spans="1:7" ht="51" customHeight="1">
      <c r="A259" s="402" t="s">
        <v>721</v>
      </c>
      <c r="B259" s="275" t="s">
        <v>1059</v>
      </c>
      <c r="C259" s="275" t="s">
        <v>1049</v>
      </c>
      <c r="D259" s="289" t="s">
        <v>722</v>
      </c>
      <c r="E259" s="303"/>
      <c r="F259" s="282">
        <f>F260</f>
        <v>500000</v>
      </c>
      <c r="G259" s="371">
        <f>G260</f>
        <v>500000</v>
      </c>
    </row>
    <row r="260" spans="1:7" s="308" customFormat="1" ht="77.25" customHeight="1">
      <c r="A260" s="401" t="s">
        <v>1096</v>
      </c>
      <c r="B260" s="275" t="s">
        <v>1059</v>
      </c>
      <c r="C260" s="275" t="s">
        <v>1049</v>
      </c>
      <c r="D260" s="289" t="s">
        <v>1097</v>
      </c>
      <c r="E260" s="303"/>
      <c r="F260" s="282">
        <f>F266+F261</f>
        <v>500000</v>
      </c>
      <c r="G260" s="371">
        <f>G266+G261</f>
        <v>500000</v>
      </c>
    </row>
    <row r="261" spans="1:7" s="308" customFormat="1" ht="48" customHeight="1" hidden="1">
      <c r="A261" s="373" t="s">
        <v>745</v>
      </c>
      <c r="B261" s="275" t="s">
        <v>1059</v>
      </c>
      <c r="C261" s="275" t="s">
        <v>1049</v>
      </c>
      <c r="D261" s="298" t="s">
        <v>746</v>
      </c>
      <c r="E261" s="303"/>
      <c r="F261" s="391">
        <f>F262+F264</f>
        <v>0</v>
      </c>
      <c r="G261" s="391">
        <f>G262+G264</f>
        <v>0</v>
      </c>
    </row>
    <row r="262" spans="1:7" s="308" customFormat="1" ht="48" customHeight="1" hidden="1">
      <c r="A262" s="383" t="s">
        <v>747</v>
      </c>
      <c r="B262" s="275" t="s">
        <v>1059</v>
      </c>
      <c r="C262" s="275" t="s">
        <v>1049</v>
      </c>
      <c r="D262" s="298" t="s">
        <v>748</v>
      </c>
      <c r="E262" s="303"/>
      <c r="F262" s="371">
        <f>F263</f>
        <v>0</v>
      </c>
      <c r="G262" s="371">
        <f>G263</f>
        <v>0</v>
      </c>
    </row>
    <row r="263" spans="1:7" s="308" customFormat="1" ht="48" customHeight="1" hidden="1">
      <c r="A263" s="401" t="s">
        <v>713</v>
      </c>
      <c r="B263" s="275" t="s">
        <v>1059</v>
      </c>
      <c r="C263" s="275" t="s">
        <v>1049</v>
      </c>
      <c r="D263" s="298" t="s">
        <v>748</v>
      </c>
      <c r="E263" s="303" t="s">
        <v>714</v>
      </c>
      <c r="F263" s="371"/>
      <c r="G263" s="371"/>
    </row>
    <row r="264" spans="1:7" s="308" customFormat="1" ht="48" customHeight="1" hidden="1">
      <c r="A264" s="383" t="s">
        <v>749</v>
      </c>
      <c r="B264" s="275" t="s">
        <v>1059</v>
      </c>
      <c r="C264" s="275" t="s">
        <v>1049</v>
      </c>
      <c r="D264" s="298" t="s">
        <v>750</v>
      </c>
      <c r="E264" s="303"/>
      <c r="F264" s="371">
        <f>F265</f>
        <v>0</v>
      </c>
      <c r="G264" s="371">
        <f>G265</f>
        <v>0</v>
      </c>
    </row>
    <row r="265" spans="1:7" s="308" customFormat="1" ht="48" customHeight="1" hidden="1">
      <c r="A265" s="401" t="s">
        <v>713</v>
      </c>
      <c r="B265" s="275" t="s">
        <v>1059</v>
      </c>
      <c r="C265" s="275" t="s">
        <v>1049</v>
      </c>
      <c r="D265" s="298" t="s">
        <v>750</v>
      </c>
      <c r="E265" s="303" t="s">
        <v>714</v>
      </c>
      <c r="F265" s="403"/>
      <c r="G265" s="403"/>
    </row>
    <row r="266" spans="1:7" ht="44.25" customHeight="1">
      <c r="A266" s="373" t="s">
        <v>753</v>
      </c>
      <c r="B266" s="275" t="s">
        <v>1059</v>
      </c>
      <c r="C266" s="275" t="s">
        <v>1049</v>
      </c>
      <c r="D266" s="298" t="s">
        <v>754</v>
      </c>
      <c r="E266" s="303"/>
      <c r="F266" s="282">
        <f>F267</f>
        <v>500000</v>
      </c>
      <c r="G266" s="371">
        <f>G267</f>
        <v>500000</v>
      </c>
    </row>
    <row r="267" spans="1:7" ht="39">
      <c r="A267" s="372" t="s">
        <v>755</v>
      </c>
      <c r="B267" s="275" t="s">
        <v>1059</v>
      </c>
      <c r="C267" s="275" t="s">
        <v>1049</v>
      </c>
      <c r="D267" s="298" t="s">
        <v>756</v>
      </c>
      <c r="E267" s="303"/>
      <c r="F267" s="282">
        <f>F268</f>
        <v>500000</v>
      </c>
      <c r="G267" s="371">
        <f>G268</f>
        <v>500000</v>
      </c>
    </row>
    <row r="268" spans="1:7" ht="18.75" customHeight="1">
      <c r="A268" s="401" t="s">
        <v>713</v>
      </c>
      <c r="B268" s="275" t="s">
        <v>1059</v>
      </c>
      <c r="C268" s="275" t="s">
        <v>1049</v>
      </c>
      <c r="D268" s="298" t="s">
        <v>756</v>
      </c>
      <c r="E268" s="303" t="s">
        <v>714</v>
      </c>
      <c r="F268" s="282">
        <v>500000</v>
      </c>
      <c r="G268" s="371">
        <v>500000</v>
      </c>
    </row>
    <row r="269" spans="1:7" ht="45" customHeight="1">
      <c r="A269" s="386" t="s">
        <v>917</v>
      </c>
      <c r="B269" s="275" t="s">
        <v>1059</v>
      </c>
      <c r="C269" s="275" t="s">
        <v>1049</v>
      </c>
      <c r="D269" s="289" t="s">
        <v>918</v>
      </c>
      <c r="E269" s="303"/>
      <c r="F269" s="282">
        <f>F270</f>
        <v>1000000</v>
      </c>
      <c r="G269" s="371">
        <f>G270</f>
        <v>1000000</v>
      </c>
    </row>
    <row r="270" spans="1:7" s="308" customFormat="1" ht="52.5">
      <c r="A270" s="386" t="s">
        <v>919</v>
      </c>
      <c r="B270" s="275" t="s">
        <v>1059</v>
      </c>
      <c r="C270" s="275" t="s">
        <v>1049</v>
      </c>
      <c r="D270" s="289" t="s">
        <v>920</v>
      </c>
      <c r="E270" s="303"/>
      <c r="F270" s="282">
        <f>F278+F271</f>
        <v>1000000</v>
      </c>
      <c r="G270" s="371">
        <f>G278+G271</f>
        <v>1000000</v>
      </c>
    </row>
    <row r="271" spans="1:7" s="308" customFormat="1" ht="48" customHeight="1" hidden="1">
      <c r="A271" s="383" t="s">
        <v>921</v>
      </c>
      <c r="B271" s="275" t="s">
        <v>1059</v>
      </c>
      <c r="C271" s="275" t="s">
        <v>1049</v>
      </c>
      <c r="D271" s="289" t="s">
        <v>922</v>
      </c>
      <c r="E271" s="303"/>
      <c r="F271" s="282">
        <f>F272+F274+F276</f>
        <v>0</v>
      </c>
      <c r="G271" s="371">
        <f>G272+G274+G276</f>
        <v>0</v>
      </c>
    </row>
    <row r="272" spans="1:7" s="308" customFormat="1" ht="48" customHeight="1" hidden="1">
      <c r="A272" s="383" t="s">
        <v>923</v>
      </c>
      <c r="B272" s="275" t="s">
        <v>1059</v>
      </c>
      <c r="C272" s="275" t="s">
        <v>1049</v>
      </c>
      <c r="D272" s="275" t="s">
        <v>924</v>
      </c>
      <c r="E272" s="303"/>
      <c r="F272" s="282">
        <f>F273</f>
        <v>0</v>
      </c>
      <c r="G272" s="371">
        <f>G273</f>
        <v>0</v>
      </c>
    </row>
    <row r="273" spans="1:7" s="308" customFormat="1" ht="48" customHeight="1" hidden="1">
      <c r="A273" s="401" t="s">
        <v>713</v>
      </c>
      <c r="B273" s="275" t="s">
        <v>1059</v>
      </c>
      <c r="C273" s="275" t="s">
        <v>1049</v>
      </c>
      <c r="D273" s="275" t="s">
        <v>924</v>
      </c>
      <c r="E273" s="303" t="s">
        <v>714</v>
      </c>
      <c r="F273" s="282"/>
      <c r="G273" s="371"/>
    </row>
    <row r="274" spans="1:7" s="308" customFormat="1" ht="48" customHeight="1" hidden="1">
      <c r="A274" s="383" t="s">
        <v>925</v>
      </c>
      <c r="B274" s="275" t="s">
        <v>1059</v>
      </c>
      <c r="C274" s="275" t="s">
        <v>1049</v>
      </c>
      <c r="D274" s="275" t="s">
        <v>926</v>
      </c>
      <c r="E274" s="303"/>
      <c r="F274" s="282">
        <f>F275</f>
        <v>0</v>
      </c>
      <c r="G274" s="371">
        <f>G275</f>
        <v>0</v>
      </c>
    </row>
    <row r="275" spans="1:7" s="308" customFormat="1" ht="48" customHeight="1" hidden="1">
      <c r="A275" s="401" t="s">
        <v>713</v>
      </c>
      <c r="B275" s="275" t="s">
        <v>1059</v>
      </c>
      <c r="C275" s="275" t="s">
        <v>1049</v>
      </c>
      <c r="D275" s="275" t="s">
        <v>926</v>
      </c>
      <c r="E275" s="303" t="s">
        <v>714</v>
      </c>
      <c r="F275" s="282"/>
      <c r="G275" s="371"/>
    </row>
    <row r="276" spans="1:7" s="308" customFormat="1" ht="48" customHeight="1" hidden="1">
      <c r="A276" s="383" t="s">
        <v>927</v>
      </c>
      <c r="B276" s="275" t="s">
        <v>1059</v>
      </c>
      <c r="C276" s="275" t="s">
        <v>1049</v>
      </c>
      <c r="D276" s="275" t="s">
        <v>928</v>
      </c>
      <c r="E276" s="303"/>
      <c r="F276" s="282">
        <f>F277</f>
        <v>0</v>
      </c>
      <c r="G276" s="371">
        <f>G277</f>
        <v>0</v>
      </c>
    </row>
    <row r="277" spans="1:7" s="308" customFormat="1" ht="48" customHeight="1" hidden="1">
      <c r="A277" s="401" t="s">
        <v>713</v>
      </c>
      <c r="B277" s="275" t="s">
        <v>1059</v>
      </c>
      <c r="C277" s="275" t="s">
        <v>1049</v>
      </c>
      <c r="D277" s="275" t="s">
        <v>928</v>
      </c>
      <c r="E277" s="303" t="s">
        <v>714</v>
      </c>
      <c r="F277" s="282"/>
      <c r="G277" s="371"/>
    </row>
    <row r="278" spans="1:7" ht="18.75" customHeight="1">
      <c r="A278" s="404" t="s">
        <v>929</v>
      </c>
      <c r="B278" s="275" t="s">
        <v>1059</v>
      </c>
      <c r="C278" s="275" t="s">
        <v>1049</v>
      </c>
      <c r="D278" s="289" t="s">
        <v>930</v>
      </c>
      <c r="E278" s="303"/>
      <c r="F278" s="282">
        <f>F283+F281+F279+F285</f>
        <v>1000000</v>
      </c>
      <c r="G278" s="371">
        <f>G283+G281+G279+G285</f>
        <v>1000000</v>
      </c>
    </row>
    <row r="279" spans="1:7" ht="48" customHeight="1" hidden="1">
      <c r="A279" s="375" t="s">
        <v>923</v>
      </c>
      <c r="B279" s="275" t="s">
        <v>1059</v>
      </c>
      <c r="C279" s="275" t="s">
        <v>1049</v>
      </c>
      <c r="D279" s="289" t="s">
        <v>931</v>
      </c>
      <c r="E279" s="303"/>
      <c r="F279" s="282">
        <f>F280</f>
        <v>0</v>
      </c>
      <c r="G279" s="371">
        <f>G280</f>
        <v>0</v>
      </c>
    </row>
    <row r="280" spans="1:7" ht="48" customHeight="1" hidden="1">
      <c r="A280" s="401" t="s">
        <v>713</v>
      </c>
      <c r="B280" s="275" t="s">
        <v>1059</v>
      </c>
      <c r="C280" s="275" t="s">
        <v>1049</v>
      </c>
      <c r="D280" s="289" t="s">
        <v>931</v>
      </c>
      <c r="E280" s="303" t="s">
        <v>714</v>
      </c>
      <c r="F280" s="282"/>
      <c r="G280" s="371"/>
    </row>
    <row r="281" spans="1:7" ht="48" customHeight="1" hidden="1">
      <c r="A281" s="383" t="s">
        <v>932</v>
      </c>
      <c r="B281" s="275" t="s">
        <v>1059</v>
      </c>
      <c r="C281" s="275" t="s">
        <v>1049</v>
      </c>
      <c r="D281" s="289" t="s">
        <v>933</v>
      </c>
      <c r="E281" s="303"/>
      <c r="F281" s="282">
        <f>F282</f>
        <v>0</v>
      </c>
      <c r="G281" s="371">
        <f>G282</f>
        <v>0</v>
      </c>
    </row>
    <row r="282" spans="1:7" ht="48" customHeight="1" hidden="1">
      <c r="A282" s="401" t="s">
        <v>713</v>
      </c>
      <c r="B282" s="275" t="s">
        <v>1059</v>
      </c>
      <c r="C282" s="275" t="s">
        <v>1049</v>
      </c>
      <c r="D282" s="289" t="s">
        <v>933</v>
      </c>
      <c r="E282" s="303" t="s">
        <v>714</v>
      </c>
      <c r="F282" s="282"/>
      <c r="G282" s="371"/>
    </row>
    <row r="283" spans="1:7" ht="36" customHeight="1">
      <c r="A283" s="332" t="s">
        <v>934</v>
      </c>
      <c r="B283" s="275" t="s">
        <v>1059</v>
      </c>
      <c r="C283" s="275" t="s">
        <v>1049</v>
      </c>
      <c r="D283" s="289" t="s">
        <v>935</v>
      </c>
      <c r="E283" s="303"/>
      <c r="F283" s="282">
        <f>F284</f>
        <v>1000000</v>
      </c>
      <c r="G283" s="371">
        <f>G284</f>
        <v>1000000</v>
      </c>
    </row>
    <row r="284" spans="1:7" ht="13.5">
      <c r="A284" s="401" t="s">
        <v>713</v>
      </c>
      <c r="B284" s="275" t="s">
        <v>1059</v>
      </c>
      <c r="C284" s="275" t="s">
        <v>1049</v>
      </c>
      <c r="D284" s="289" t="s">
        <v>935</v>
      </c>
      <c r="E284" s="303" t="s">
        <v>714</v>
      </c>
      <c r="F284" s="282">
        <f>1615000-615000</f>
        <v>1000000</v>
      </c>
      <c r="G284" s="371">
        <f>1615000-615000</f>
        <v>1000000</v>
      </c>
    </row>
    <row r="285" spans="1:7" ht="39" hidden="1">
      <c r="A285" s="372" t="s">
        <v>755</v>
      </c>
      <c r="B285" s="275" t="s">
        <v>1059</v>
      </c>
      <c r="C285" s="275" t="s">
        <v>1049</v>
      </c>
      <c r="D285" s="289" t="s">
        <v>936</v>
      </c>
      <c r="E285" s="303"/>
      <c r="F285" s="282">
        <f>F286</f>
        <v>0</v>
      </c>
      <c r="G285" s="371">
        <f>G286</f>
        <v>0</v>
      </c>
    </row>
    <row r="286" spans="1:7" ht="13.5" hidden="1">
      <c r="A286" s="401" t="s">
        <v>713</v>
      </c>
      <c r="B286" s="275" t="s">
        <v>1059</v>
      </c>
      <c r="C286" s="275" t="s">
        <v>1049</v>
      </c>
      <c r="D286" s="289" t="s">
        <v>936</v>
      </c>
      <c r="E286" s="303" t="s">
        <v>714</v>
      </c>
      <c r="F286" s="282"/>
      <c r="G286" s="371"/>
    </row>
    <row r="287" spans="1:7" ht="13.5">
      <c r="A287" s="401" t="s">
        <v>1098</v>
      </c>
      <c r="B287" s="275" t="s">
        <v>1061</v>
      </c>
      <c r="C287" s="275"/>
      <c r="D287" s="289"/>
      <c r="E287" s="303"/>
      <c r="F287" s="282">
        <f>F288</f>
        <v>27000000</v>
      </c>
      <c r="G287" s="282">
        <f>G288</f>
        <v>0</v>
      </c>
    </row>
    <row r="288" spans="1:7" ht="13.5">
      <c r="A288" s="405" t="s">
        <v>1099</v>
      </c>
      <c r="B288" s="275" t="s">
        <v>1061</v>
      </c>
      <c r="C288" s="275" t="s">
        <v>1059</v>
      </c>
      <c r="D288" s="289"/>
      <c r="E288" s="303"/>
      <c r="F288" s="282">
        <f>F289</f>
        <v>27000000</v>
      </c>
      <c r="G288" s="371"/>
    </row>
    <row r="289" spans="1:7" ht="13.5">
      <c r="A289" s="405" t="s">
        <v>995</v>
      </c>
      <c r="B289" s="275" t="s">
        <v>1061</v>
      </c>
      <c r="C289" s="275" t="s">
        <v>1059</v>
      </c>
      <c r="D289" s="289" t="s">
        <v>996</v>
      </c>
      <c r="E289" s="303"/>
      <c r="F289" s="282">
        <f>F290</f>
        <v>27000000</v>
      </c>
      <c r="G289" s="371"/>
    </row>
    <row r="290" spans="1:7" ht="13.5">
      <c r="A290" s="370" t="s">
        <v>1001</v>
      </c>
      <c r="B290" s="275" t="s">
        <v>1061</v>
      </c>
      <c r="C290" s="275" t="s">
        <v>1059</v>
      </c>
      <c r="D290" s="289" t="s">
        <v>1002</v>
      </c>
      <c r="E290" s="303"/>
      <c r="F290" s="282">
        <f>F291</f>
        <v>27000000</v>
      </c>
      <c r="G290" s="371"/>
    </row>
    <row r="291" spans="1:7" ht="13.5">
      <c r="A291" s="370" t="s">
        <v>1100</v>
      </c>
      <c r="B291" s="275" t="s">
        <v>1061</v>
      </c>
      <c r="C291" s="275" t="s">
        <v>1059</v>
      </c>
      <c r="D291" s="289" t="s">
        <v>1016</v>
      </c>
      <c r="E291" s="303"/>
      <c r="F291" s="282">
        <f>F292</f>
        <v>27000000</v>
      </c>
      <c r="G291" s="371"/>
    </row>
    <row r="292" spans="1:7" ht="26.25">
      <c r="A292" s="343" t="s">
        <v>516</v>
      </c>
      <c r="B292" s="275" t="s">
        <v>1061</v>
      </c>
      <c r="C292" s="275" t="s">
        <v>1059</v>
      </c>
      <c r="D292" s="289" t="s">
        <v>1016</v>
      </c>
      <c r="E292" s="303" t="s">
        <v>517</v>
      </c>
      <c r="F292" s="282">
        <f>27000000</f>
        <v>27000000</v>
      </c>
      <c r="G292" s="371"/>
    </row>
    <row r="293" spans="1:7" ht="19.5" customHeight="1">
      <c r="A293" s="370" t="s">
        <v>1101</v>
      </c>
      <c r="B293" s="275" t="s">
        <v>1063</v>
      </c>
      <c r="C293" s="275"/>
      <c r="D293" s="289"/>
      <c r="E293" s="324"/>
      <c r="F293" s="282">
        <f>F385+F294+F317+F408+F372</f>
        <v>314459937</v>
      </c>
      <c r="G293" s="371">
        <f>G385+G294+G317+G408+G372</f>
        <v>315813218</v>
      </c>
    </row>
    <row r="294" spans="1:7" ht="18.75" customHeight="1">
      <c r="A294" s="370" t="s">
        <v>1102</v>
      </c>
      <c r="B294" s="275" t="s">
        <v>1063</v>
      </c>
      <c r="C294" s="275" t="s">
        <v>1047</v>
      </c>
      <c r="D294" s="289"/>
      <c r="E294" s="324"/>
      <c r="F294" s="282">
        <f>F295+F313</f>
        <v>74560259</v>
      </c>
      <c r="G294" s="371">
        <f>G295+G313</f>
        <v>73560259</v>
      </c>
    </row>
    <row r="295" spans="1:7" ht="30.75" customHeight="1">
      <c r="A295" s="370" t="s">
        <v>611</v>
      </c>
      <c r="B295" s="275" t="s">
        <v>1063</v>
      </c>
      <c r="C295" s="275" t="s">
        <v>1047</v>
      </c>
      <c r="D295" s="275" t="s">
        <v>612</v>
      </c>
      <c r="E295" s="284"/>
      <c r="F295" s="282">
        <f>F296</f>
        <v>74560259</v>
      </c>
      <c r="G295" s="371">
        <f>G296</f>
        <v>73560259</v>
      </c>
    </row>
    <row r="296" spans="1:7" s="308" customFormat="1" ht="41.25" customHeight="1">
      <c r="A296" s="406" t="s">
        <v>613</v>
      </c>
      <c r="B296" s="275" t="s">
        <v>1063</v>
      </c>
      <c r="C296" s="275" t="s">
        <v>1047</v>
      </c>
      <c r="D296" s="275" t="s">
        <v>614</v>
      </c>
      <c r="E296" s="284"/>
      <c r="F296" s="282">
        <f>F297</f>
        <v>74560259</v>
      </c>
      <c r="G296" s="371">
        <f>G297</f>
        <v>73560259</v>
      </c>
    </row>
    <row r="297" spans="1:7" ht="32.25" customHeight="1">
      <c r="A297" s="373" t="s">
        <v>615</v>
      </c>
      <c r="B297" s="275" t="s">
        <v>1063</v>
      </c>
      <c r="C297" s="275" t="s">
        <v>1047</v>
      </c>
      <c r="D297" s="275" t="s">
        <v>616</v>
      </c>
      <c r="E297" s="284"/>
      <c r="F297" s="282">
        <f>F298+F305+F307+F309+F303+F301</f>
        <v>74560259</v>
      </c>
      <c r="G297" s="371">
        <f>G298+G305+G307+G309+G303+G301</f>
        <v>73560259</v>
      </c>
    </row>
    <row r="298" spans="1:7" ht="67.5" customHeight="1">
      <c r="A298" s="375" t="s">
        <v>623</v>
      </c>
      <c r="B298" s="275" t="s">
        <v>1063</v>
      </c>
      <c r="C298" s="275" t="s">
        <v>1047</v>
      </c>
      <c r="D298" s="275" t="s">
        <v>624</v>
      </c>
      <c r="E298" s="284"/>
      <c r="F298" s="282">
        <f>F299+F300</f>
        <v>39608388</v>
      </c>
      <c r="G298" s="371">
        <f>G299+G300</f>
        <v>39608388</v>
      </c>
    </row>
    <row r="299" spans="1:7" ht="45" customHeight="1">
      <c r="A299" s="407" t="s">
        <v>522</v>
      </c>
      <c r="B299" s="275" t="s">
        <v>1063</v>
      </c>
      <c r="C299" s="275" t="s">
        <v>1047</v>
      </c>
      <c r="D299" s="275" t="s">
        <v>624</v>
      </c>
      <c r="E299" s="284" t="s">
        <v>523</v>
      </c>
      <c r="F299" s="282">
        <f>45470627-6371741</f>
        <v>39098886</v>
      </c>
      <c r="G299" s="371">
        <f>45470627-6371741</f>
        <v>39098886</v>
      </c>
    </row>
    <row r="300" spans="1:7" ht="32.25" customHeight="1">
      <c r="A300" s="343" t="s">
        <v>516</v>
      </c>
      <c r="B300" s="275" t="s">
        <v>1063</v>
      </c>
      <c r="C300" s="275" t="s">
        <v>1047</v>
      </c>
      <c r="D300" s="275" t="s">
        <v>624</v>
      </c>
      <c r="E300" s="284" t="s">
        <v>517</v>
      </c>
      <c r="F300" s="282">
        <v>509502</v>
      </c>
      <c r="G300" s="371">
        <v>509502</v>
      </c>
    </row>
    <row r="301" spans="1:7" ht="48" customHeight="1" hidden="1">
      <c r="A301" s="375" t="s">
        <v>625</v>
      </c>
      <c r="B301" s="275" t="s">
        <v>1063</v>
      </c>
      <c r="C301" s="275" t="s">
        <v>1047</v>
      </c>
      <c r="D301" s="275" t="s">
        <v>626</v>
      </c>
      <c r="E301" s="284"/>
      <c r="F301" s="282">
        <f>F302</f>
        <v>0</v>
      </c>
      <c r="G301" s="371">
        <f>G302</f>
        <v>0</v>
      </c>
    </row>
    <row r="302" spans="1:7" ht="48" customHeight="1" hidden="1">
      <c r="A302" s="343" t="s">
        <v>516</v>
      </c>
      <c r="B302" s="275" t="s">
        <v>1063</v>
      </c>
      <c r="C302" s="275" t="s">
        <v>1047</v>
      </c>
      <c r="D302" s="275" t="s">
        <v>626</v>
      </c>
      <c r="E302" s="284" t="s">
        <v>517</v>
      </c>
      <c r="F302" s="282"/>
      <c r="G302" s="371"/>
    </row>
    <row r="303" spans="1:7" ht="48" customHeight="1" hidden="1">
      <c r="A303" s="375" t="s">
        <v>627</v>
      </c>
      <c r="B303" s="275" t="s">
        <v>1063</v>
      </c>
      <c r="C303" s="275" t="s">
        <v>1047</v>
      </c>
      <c r="D303" s="275" t="s">
        <v>628</v>
      </c>
      <c r="E303" s="284"/>
      <c r="F303" s="282">
        <f>F304</f>
        <v>0</v>
      </c>
      <c r="G303" s="371">
        <f>G304</f>
        <v>0</v>
      </c>
    </row>
    <row r="304" spans="1:7" ht="48" customHeight="1" hidden="1">
      <c r="A304" s="343" t="s">
        <v>516</v>
      </c>
      <c r="B304" s="275" t="s">
        <v>1063</v>
      </c>
      <c r="C304" s="275" t="s">
        <v>1047</v>
      </c>
      <c r="D304" s="275" t="s">
        <v>628</v>
      </c>
      <c r="E304" s="284" t="s">
        <v>517</v>
      </c>
      <c r="F304" s="282">
        <f>175343-175343</f>
        <v>0</v>
      </c>
      <c r="G304" s="371">
        <f>175343-175343</f>
        <v>0</v>
      </c>
    </row>
    <row r="305" spans="1:7" ht="48" customHeight="1" hidden="1">
      <c r="A305" s="375" t="s">
        <v>1103</v>
      </c>
      <c r="B305" s="275" t="s">
        <v>1063</v>
      </c>
      <c r="C305" s="275" t="s">
        <v>1047</v>
      </c>
      <c r="D305" s="275" t="s">
        <v>630</v>
      </c>
      <c r="E305" s="284"/>
      <c r="F305" s="282">
        <f>F306</f>
        <v>0</v>
      </c>
      <c r="G305" s="371">
        <f>G306</f>
        <v>0</v>
      </c>
    </row>
    <row r="306" spans="1:7" ht="48" customHeight="1" hidden="1">
      <c r="A306" s="343" t="s">
        <v>516</v>
      </c>
      <c r="B306" s="275" t="s">
        <v>1063</v>
      </c>
      <c r="C306" s="275" t="s">
        <v>1047</v>
      </c>
      <c r="D306" s="275" t="s">
        <v>630</v>
      </c>
      <c r="E306" s="284" t="s">
        <v>517</v>
      </c>
      <c r="F306" s="282"/>
      <c r="G306" s="371"/>
    </row>
    <row r="307" spans="1:7" ht="48" customHeight="1" hidden="1">
      <c r="A307" s="383" t="s">
        <v>1104</v>
      </c>
      <c r="B307" s="275" t="s">
        <v>1063</v>
      </c>
      <c r="C307" s="275" t="s">
        <v>1047</v>
      </c>
      <c r="D307" s="275" t="s">
        <v>632</v>
      </c>
      <c r="E307" s="284"/>
      <c r="F307" s="282">
        <f>F308</f>
        <v>0</v>
      </c>
      <c r="G307" s="371">
        <f>G308</f>
        <v>0</v>
      </c>
    </row>
    <row r="308" spans="1:7" ht="48" customHeight="1" hidden="1">
      <c r="A308" s="343" t="s">
        <v>516</v>
      </c>
      <c r="B308" s="275" t="s">
        <v>1063</v>
      </c>
      <c r="C308" s="275" t="s">
        <v>1047</v>
      </c>
      <c r="D308" s="275" t="s">
        <v>632</v>
      </c>
      <c r="E308" s="284" t="s">
        <v>517</v>
      </c>
      <c r="F308" s="282"/>
      <c r="G308" s="371"/>
    </row>
    <row r="309" spans="1:7" ht="25.5" customHeight="1">
      <c r="A309" s="373" t="s">
        <v>520</v>
      </c>
      <c r="B309" s="275" t="s">
        <v>1063</v>
      </c>
      <c r="C309" s="275" t="s">
        <v>1047</v>
      </c>
      <c r="D309" s="275" t="s">
        <v>633</v>
      </c>
      <c r="E309" s="284"/>
      <c r="F309" s="282">
        <f>F310+F311+F312</f>
        <v>34951871</v>
      </c>
      <c r="G309" s="371">
        <f>G310+G311+G312</f>
        <v>33951871</v>
      </c>
    </row>
    <row r="310" spans="1:7" ht="40.5" customHeight="1">
      <c r="A310" s="343" t="s">
        <v>522</v>
      </c>
      <c r="B310" s="275" t="s">
        <v>1063</v>
      </c>
      <c r="C310" s="275" t="s">
        <v>1047</v>
      </c>
      <c r="D310" s="275" t="s">
        <v>633</v>
      </c>
      <c r="E310" s="284" t="s">
        <v>523</v>
      </c>
      <c r="F310" s="282">
        <v>18202400</v>
      </c>
      <c r="G310" s="371">
        <v>17202400</v>
      </c>
    </row>
    <row r="311" spans="1:7" ht="28.5" customHeight="1">
      <c r="A311" s="343" t="s">
        <v>516</v>
      </c>
      <c r="B311" s="275" t="s">
        <v>1063</v>
      </c>
      <c r="C311" s="275" t="s">
        <v>1047</v>
      </c>
      <c r="D311" s="275" t="s">
        <v>633</v>
      </c>
      <c r="E311" s="284" t="s">
        <v>517</v>
      </c>
      <c r="F311" s="282">
        <v>14825086</v>
      </c>
      <c r="G311" s="371">
        <v>14825086</v>
      </c>
    </row>
    <row r="312" spans="1:7" ht="19.5" customHeight="1">
      <c r="A312" s="373" t="s">
        <v>524</v>
      </c>
      <c r="B312" s="275" t="s">
        <v>1063</v>
      </c>
      <c r="C312" s="275" t="s">
        <v>1047</v>
      </c>
      <c r="D312" s="275" t="s">
        <v>633</v>
      </c>
      <c r="E312" s="284" t="s">
        <v>525</v>
      </c>
      <c r="F312" s="282">
        <v>1924385</v>
      </c>
      <c r="G312" s="371">
        <v>1924385</v>
      </c>
    </row>
    <row r="313" spans="1:7" ht="48" customHeight="1" hidden="1">
      <c r="A313" s="370" t="s">
        <v>995</v>
      </c>
      <c r="B313" s="319" t="s">
        <v>1063</v>
      </c>
      <c r="C313" s="275" t="s">
        <v>1047</v>
      </c>
      <c r="D313" s="298" t="s">
        <v>996</v>
      </c>
      <c r="E313" s="284"/>
      <c r="F313" s="282">
        <f aca="true" t="shared" si="17" ref="F313:G315">F314</f>
        <v>0</v>
      </c>
      <c r="G313" s="371">
        <f t="shared" si="17"/>
        <v>0</v>
      </c>
    </row>
    <row r="314" spans="1:7" ht="48" customHeight="1" hidden="1">
      <c r="A314" s="370" t="s">
        <v>1001</v>
      </c>
      <c r="B314" s="275" t="s">
        <v>1063</v>
      </c>
      <c r="C314" s="275" t="s">
        <v>1047</v>
      </c>
      <c r="D314" s="275" t="s">
        <v>1002</v>
      </c>
      <c r="E314" s="284"/>
      <c r="F314" s="282">
        <f t="shared" si="17"/>
        <v>0</v>
      </c>
      <c r="G314" s="371">
        <f t="shared" si="17"/>
        <v>0</v>
      </c>
    </row>
    <row r="315" spans="1:7" ht="48" customHeight="1" hidden="1">
      <c r="A315" s="373" t="s">
        <v>520</v>
      </c>
      <c r="B315" s="275" t="s">
        <v>1063</v>
      </c>
      <c r="C315" s="275" t="s">
        <v>1047</v>
      </c>
      <c r="D315" s="275" t="s">
        <v>1013</v>
      </c>
      <c r="E315" s="284"/>
      <c r="F315" s="282">
        <f t="shared" si="17"/>
        <v>0</v>
      </c>
      <c r="G315" s="371">
        <f t="shared" si="17"/>
        <v>0</v>
      </c>
    </row>
    <row r="316" spans="1:7" ht="48" customHeight="1" hidden="1">
      <c r="A316" s="343" t="s">
        <v>516</v>
      </c>
      <c r="B316" s="275" t="s">
        <v>1063</v>
      </c>
      <c r="C316" s="275" t="s">
        <v>1047</v>
      </c>
      <c r="D316" s="275" t="s">
        <v>1013</v>
      </c>
      <c r="E316" s="284" t="s">
        <v>517</v>
      </c>
      <c r="F316" s="282"/>
      <c r="G316" s="371"/>
    </row>
    <row r="317" spans="1:7" ht="18" customHeight="1">
      <c r="A317" s="370" t="s">
        <v>1105</v>
      </c>
      <c r="B317" s="275" t="s">
        <v>1063</v>
      </c>
      <c r="C317" s="275" t="s">
        <v>1049</v>
      </c>
      <c r="D317" s="275"/>
      <c r="E317" s="284"/>
      <c r="F317" s="282">
        <f>F318+F359+F367+F352</f>
        <v>198835440</v>
      </c>
      <c r="G317" s="371">
        <f>G318+G359+G367+G352</f>
        <v>198835440</v>
      </c>
    </row>
    <row r="318" spans="1:7" ht="27" customHeight="1">
      <c r="A318" s="370" t="s">
        <v>611</v>
      </c>
      <c r="B318" s="275" t="s">
        <v>1063</v>
      </c>
      <c r="C318" s="275" t="s">
        <v>1049</v>
      </c>
      <c r="D318" s="275" t="s">
        <v>612</v>
      </c>
      <c r="E318" s="284"/>
      <c r="F318" s="282">
        <f>F319</f>
        <v>198657640</v>
      </c>
      <c r="G318" s="371">
        <f>G319</f>
        <v>198657640</v>
      </c>
    </row>
    <row r="319" spans="1:7" s="308" customFormat="1" ht="43.5" customHeight="1">
      <c r="A319" s="406" t="s">
        <v>613</v>
      </c>
      <c r="B319" s="275" t="s">
        <v>1063</v>
      </c>
      <c r="C319" s="275" t="s">
        <v>1049</v>
      </c>
      <c r="D319" s="275" t="s">
        <v>614</v>
      </c>
      <c r="E319" s="284"/>
      <c r="F319" s="282">
        <f>F320+F347</f>
        <v>198657640</v>
      </c>
      <c r="G319" s="371">
        <f>G320+G347</f>
        <v>198657640</v>
      </c>
    </row>
    <row r="320" spans="1:7" ht="32.25" customHeight="1">
      <c r="A320" s="373" t="s">
        <v>634</v>
      </c>
      <c r="B320" s="275" t="s">
        <v>1063</v>
      </c>
      <c r="C320" s="275" t="s">
        <v>1049</v>
      </c>
      <c r="D320" s="275" t="s">
        <v>635</v>
      </c>
      <c r="E320" s="284"/>
      <c r="F320" s="282">
        <f>F325+F332+F334+F336+F338+F340+F342+F345+F328+F330+F322+F324</f>
        <v>198657640</v>
      </c>
      <c r="G320" s="371">
        <f>G325+G332+G334+G336+G338+G340+G342+G345+G328+G330+G322+G324</f>
        <v>198657640</v>
      </c>
    </row>
    <row r="321" spans="1:7" ht="48" customHeight="1" hidden="1">
      <c r="A321" s="373" t="s">
        <v>636</v>
      </c>
      <c r="B321" s="275" t="s">
        <v>1063</v>
      </c>
      <c r="C321" s="275" t="s">
        <v>1049</v>
      </c>
      <c r="D321" s="275" t="s">
        <v>637</v>
      </c>
      <c r="E321" s="284"/>
      <c r="F321" s="282">
        <f>F322</f>
        <v>0</v>
      </c>
      <c r="G321" s="371">
        <f>G322</f>
        <v>0</v>
      </c>
    </row>
    <row r="322" spans="1:7" ht="48" customHeight="1" hidden="1">
      <c r="A322" s="343" t="s">
        <v>516</v>
      </c>
      <c r="B322" s="275" t="s">
        <v>1063</v>
      </c>
      <c r="C322" s="275" t="s">
        <v>1049</v>
      </c>
      <c r="D322" s="275" t="s">
        <v>637</v>
      </c>
      <c r="E322" s="284" t="s">
        <v>517</v>
      </c>
      <c r="F322" s="282"/>
      <c r="G322" s="371"/>
    </row>
    <row r="323" spans="1:7" ht="48" customHeight="1" hidden="1">
      <c r="A323" s="383" t="s">
        <v>638</v>
      </c>
      <c r="B323" s="275" t="s">
        <v>1063</v>
      </c>
      <c r="C323" s="275" t="s">
        <v>1049</v>
      </c>
      <c r="D323" s="275" t="s">
        <v>639</v>
      </c>
      <c r="E323" s="284"/>
      <c r="F323" s="282">
        <f>F324</f>
        <v>0</v>
      </c>
      <c r="G323" s="371">
        <f>G324</f>
        <v>0</v>
      </c>
    </row>
    <row r="324" spans="1:7" ht="48" customHeight="1" hidden="1">
      <c r="A324" s="343" t="s">
        <v>516</v>
      </c>
      <c r="B324" s="275" t="s">
        <v>1063</v>
      </c>
      <c r="C324" s="275" t="s">
        <v>1049</v>
      </c>
      <c r="D324" s="275" t="s">
        <v>639</v>
      </c>
      <c r="E324" s="284" t="s">
        <v>517</v>
      </c>
      <c r="F324" s="282"/>
      <c r="G324" s="371"/>
    </row>
    <row r="325" spans="1:7" ht="79.5" customHeight="1">
      <c r="A325" s="375" t="s">
        <v>640</v>
      </c>
      <c r="B325" s="275" t="s">
        <v>1063</v>
      </c>
      <c r="C325" s="275" t="s">
        <v>1049</v>
      </c>
      <c r="D325" s="275" t="s">
        <v>641</v>
      </c>
      <c r="E325" s="284"/>
      <c r="F325" s="282">
        <f>F326+F327</f>
        <v>169901716</v>
      </c>
      <c r="G325" s="371">
        <f>G326+G327</f>
        <v>169901716</v>
      </c>
    </row>
    <row r="326" spans="1:7" ht="43.5" customHeight="1">
      <c r="A326" s="343" t="s">
        <v>522</v>
      </c>
      <c r="B326" s="275" t="s">
        <v>1063</v>
      </c>
      <c r="C326" s="275" t="s">
        <v>1049</v>
      </c>
      <c r="D326" s="275" t="s">
        <v>641</v>
      </c>
      <c r="E326" s="284" t="s">
        <v>523</v>
      </c>
      <c r="F326" s="282">
        <v>162981899</v>
      </c>
      <c r="G326" s="371">
        <v>162981899</v>
      </c>
    </row>
    <row r="327" spans="1:7" ht="24" customHeight="1">
      <c r="A327" s="343" t="s">
        <v>516</v>
      </c>
      <c r="B327" s="275" t="s">
        <v>1063</v>
      </c>
      <c r="C327" s="275" t="s">
        <v>1049</v>
      </c>
      <c r="D327" s="275" t="s">
        <v>641</v>
      </c>
      <c r="E327" s="284" t="s">
        <v>517</v>
      </c>
      <c r="F327" s="282">
        <v>6919817</v>
      </c>
      <c r="G327" s="371">
        <v>6919817</v>
      </c>
    </row>
    <row r="328" spans="1:7" ht="48" customHeight="1" hidden="1">
      <c r="A328" s="375" t="s">
        <v>625</v>
      </c>
      <c r="B328" s="275" t="s">
        <v>1063</v>
      </c>
      <c r="C328" s="275" t="s">
        <v>1049</v>
      </c>
      <c r="D328" s="275" t="s">
        <v>648</v>
      </c>
      <c r="E328" s="284"/>
      <c r="F328" s="282">
        <f>F329</f>
        <v>0</v>
      </c>
      <c r="G328" s="371">
        <f>G329</f>
        <v>0</v>
      </c>
    </row>
    <row r="329" spans="1:7" ht="48" customHeight="1" hidden="1">
      <c r="A329" s="343" t="s">
        <v>516</v>
      </c>
      <c r="B329" s="275" t="s">
        <v>1063</v>
      </c>
      <c r="C329" s="275" t="s">
        <v>1049</v>
      </c>
      <c r="D329" s="275" t="s">
        <v>648</v>
      </c>
      <c r="E329" s="284" t="s">
        <v>517</v>
      </c>
      <c r="F329" s="282"/>
      <c r="G329" s="371"/>
    </row>
    <row r="330" spans="1:7" ht="48" customHeight="1" hidden="1">
      <c r="A330" s="375" t="s">
        <v>627</v>
      </c>
      <c r="B330" s="275" t="s">
        <v>1063</v>
      </c>
      <c r="C330" s="275" t="s">
        <v>1049</v>
      </c>
      <c r="D330" s="275" t="s">
        <v>649</v>
      </c>
      <c r="E330" s="284"/>
      <c r="F330" s="282">
        <f>F331</f>
        <v>0</v>
      </c>
      <c r="G330" s="371">
        <f>G331</f>
        <v>0</v>
      </c>
    </row>
    <row r="331" spans="1:7" ht="48" customHeight="1" hidden="1">
      <c r="A331" s="343" t="s">
        <v>516</v>
      </c>
      <c r="B331" s="275" t="s">
        <v>1063</v>
      </c>
      <c r="C331" s="275" t="s">
        <v>1049</v>
      </c>
      <c r="D331" s="275" t="s">
        <v>649</v>
      </c>
      <c r="E331" s="284" t="s">
        <v>517</v>
      </c>
      <c r="F331" s="282">
        <f>1526555.5-1526555.5</f>
        <v>0</v>
      </c>
      <c r="G331" s="371">
        <f>1526555.5-1526555.5</f>
        <v>0</v>
      </c>
    </row>
    <row r="332" spans="1:7" ht="48" customHeight="1" hidden="1">
      <c r="A332" s="375" t="s">
        <v>642</v>
      </c>
      <c r="B332" s="275" t="s">
        <v>1063</v>
      </c>
      <c r="C332" s="275" t="s">
        <v>1049</v>
      </c>
      <c r="D332" s="275" t="s">
        <v>643</v>
      </c>
      <c r="E332" s="284"/>
      <c r="F332" s="282">
        <f>F333</f>
        <v>0</v>
      </c>
      <c r="G332" s="371">
        <f>G333</f>
        <v>0</v>
      </c>
    </row>
    <row r="333" spans="1:7" ht="48" customHeight="1" hidden="1">
      <c r="A333" s="343" t="s">
        <v>516</v>
      </c>
      <c r="B333" s="275" t="s">
        <v>1063</v>
      </c>
      <c r="C333" s="275" t="s">
        <v>1049</v>
      </c>
      <c r="D333" s="275" t="s">
        <v>643</v>
      </c>
      <c r="E333" s="284" t="s">
        <v>517</v>
      </c>
      <c r="F333" s="282"/>
      <c r="G333" s="371"/>
    </row>
    <row r="334" spans="1:7" ht="48" customHeight="1" hidden="1">
      <c r="A334" s="375" t="s">
        <v>644</v>
      </c>
      <c r="B334" s="275" t="s">
        <v>1063</v>
      </c>
      <c r="C334" s="275" t="s">
        <v>1049</v>
      </c>
      <c r="D334" s="275" t="s">
        <v>645</v>
      </c>
      <c r="E334" s="284"/>
      <c r="F334" s="282">
        <f>F335</f>
        <v>0</v>
      </c>
      <c r="G334" s="371">
        <f>G335</f>
        <v>0</v>
      </c>
    </row>
    <row r="335" spans="1:7" ht="48" customHeight="1" hidden="1">
      <c r="A335" s="343" t="s">
        <v>516</v>
      </c>
      <c r="B335" s="275" t="s">
        <v>1063</v>
      </c>
      <c r="C335" s="275" t="s">
        <v>1049</v>
      </c>
      <c r="D335" s="275" t="s">
        <v>645</v>
      </c>
      <c r="E335" s="284" t="s">
        <v>517</v>
      </c>
      <c r="F335" s="282"/>
      <c r="G335" s="371"/>
    </row>
    <row r="336" spans="1:7" ht="48" customHeight="1" hidden="1">
      <c r="A336" s="375" t="s">
        <v>646</v>
      </c>
      <c r="B336" s="275" t="s">
        <v>1063</v>
      </c>
      <c r="C336" s="275" t="s">
        <v>1049</v>
      </c>
      <c r="D336" s="275" t="s">
        <v>647</v>
      </c>
      <c r="E336" s="284"/>
      <c r="F336" s="282">
        <f>F337</f>
        <v>0</v>
      </c>
      <c r="G336" s="371">
        <f>G337</f>
        <v>0</v>
      </c>
    </row>
    <row r="337" spans="1:7" ht="48" customHeight="1" hidden="1">
      <c r="A337" s="343" t="s">
        <v>516</v>
      </c>
      <c r="B337" s="275" t="s">
        <v>1063</v>
      </c>
      <c r="C337" s="275" t="s">
        <v>1049</v>
      </c>
      <c r="D337" s="275" t="s">
        <v>647</v>
      </c>
      <c r="E337" s="284" t="s">
        <v>517</v>
      </c>
      <c r="F337" s="282"/>
      <c r="G337" s="371"/>
    </row>
    <row r="338" spans="1:7" ht="48" customHeight="1" hidden="1">
      <c r="A338" s="375" t="s">
        <v>1106</v>
      </c>
      <c r="B338" s="275" t="s">
        <v>1063</v>
      </c>
      <c r="C338" s="275" t="s">
        <v>1049</v>
      </c>
      <c r="D338" s="275" t="s">
        <v>651</v>
      </c>
      <c r="E338" s="284"/>
      <c r="F338" s="282">
        <f>F339</f>
        <v>0</v>
      </c>
      <c r="G338" s="371">
        <f>G339</f>
        <v>0</v>
      </c>
    </row>
    <row r="339" spans="1:7" ht="48" customHeight="1" hidden="1">
      <c r="A339" s="343" t="s">
        <v>516</v>
      </c>
      <c r="B339" s="275" t="s">
        <v>1063</v>
      </c>
      <c r="C339" s="275" t="s">
        <v>1049</v>
      </c>
      <c r="D339" s="275" t="s">
        <v>651</v>
      </c>
      <c r="E339" s="284" t="s">
        <v>517</v>
      </c>
      <c r="F339" s="282"/>
      <c r="G339" s="371"/>
    </row>
    <row r="340" spans="1:7" ht="48" customHeight="1" hidden="1">
      <c r="A340" s="401" t="s">
        <v>652</v>
      </c>
      <c r="B340" s="275" t="s">
        <v>1063</v>
      </c>
      <c r="C340" s="275" t="s">
        <v>1049</v>
      </c>
      <c r="D340" s="275" t="s">
        <v>653</v>
      </c>
      <c r="E340" s="284"/>
      <c r="F340" s="282">
        <f>F341</f>
        <v>0</v>
      </c>
      <c r="G340" s="371">
        <f>G341</f>
        <v>0</v>
      </c>
    </row>
    <row r="341" spans="1:7" ht="48" customHeight="1" hidden="1">
      <c r="A341" s="343" t="s">
        <v>522</v>
      </c>
      <c r="B341" s="275" t="s">
        <v>1063</v>
      </c>
      <c r="C341" s="275" t="s">
        <v>1049</v>
      </c>
      <c r="D341" s="275" t="s">
        <v>653</v>
      </c>
      <c r="E341" s="284" t="s">
        <v>523</v>
      </c>
      <c r="F341" s="282"/>
      <c r="G341" s="371"/>
    </row>
    <row r="342" spans="1:7" ht="26.25">
      <c r="A342" s="373" t="s">
        <v>520</v>
      </c>
      <c r="B342" s="275" t="s">
        <v>1063</v>
      </c>
      <c r="C342" s="275" t="s">
        <v>1049</v>
      </c>
      <c r="D342" s="275" t="s">
        <v>654</v>
      </c>
      <c r="E342" s="284"/>
      <c r="F342" s="282">
        <f>F343+F344</f>
        <v>28755924</v>
      </c>
      <c r="G342" s="371">
        <f>G343+G344</f>
        <v>28755924</v>
      </c>
    </row>
    <row r="343" spans="1:7" ht="27" customHeight="1">
      <c r="A343" s="343" t="s">
        <v>516</v>
      </c>
      <c r="B343" s="275" t="s">
        <v>1063</v>
      </c>
      <c r="C343" s="275" t="s">
        <v>1049</v>
      </c>
      <c r="D343" s="275" t="s">
        <v>654</v>
      </c>
      <c r="E343" s="284" t="s">
        <v>517</v>
      </c>
      <c r="F343" s="282">
        <v>26683186</v>
      </c>
      <c r="G343" s="371">
        <v>26683186</v>
      </c>
    </row>
    <row r="344" spans="1:7" ht="15.75" customHeight="1">
      <c r="A344" s="373" t="s">
        <v>524</v>
      </c>
      <c r="B344" s="275" t="s">
        <v>1063</v>
      </c>
      <c r="C344" s="275" t="s">
        <v>1049</v>
      </c>
      <c r="D344" s="275" t="s">
        <v>654</v>
      </c>
      <c r="E344" s="284" t="s">
        <v>525</v>
      </c>
      <c r="F344" s="282">
        <v>2072738</v>
      </c>
      <c r="G344" s="371">
        <v>2072738</v>
      </c>
    </row>
    <row r="345" spans="1:7" ht="48" customHeight="1" hidden="1">
      <c r="A345" s="343" t="s">
        <v>655</v>
      </c>
      <c r="B345" s="275" t="s">
        <v>1063</v>
      </c>
      <c r="C345" s="275" t="s">
        <v>1049</v>
      </c>
      <c r="D345" s="275" t="s">
        <v>656</v>
      </c>
      <c r="E345" s="284"/>
      <c r="F345" s="282">
        <f>F346</f>
        <v>0</v>
      </c>
      <c r="G345" s="371">
        <f>G346</f>
        <v>0</v>
      </c>
    </row>
    <row r="346" spans="1:7" ht="48" customHeight="1" hidden="1">
      <c r="A346" s="343" t="s">
        <v>516</v>
      </c>
      <c r="B346" s="275" t="s">
        <v>1063</v>
      </c>
      <c r="C346" s="275" t="s">
        <v>1049</v>
      </c>
      <c r="D346" s="275" t="s">
        <v>656</v>
      </c>
      <c r="E346" s="284" t="s">
        <v>517</v>
      </c>
      <c r="F346" s="282"/>
      <c r="G346" s="371"/>
    </row>
    <row r="347" spans="1:7" ht="48" customHeight="1" hidden="1">
      <c r="A347" s="373" t="s">
        <v>657</v>
      </c>
      <c r="B347" s="275" t="s">
        <v>1063</v>
      </c>
      <c r="C347" s="275" t="s">
        <v>1049</v>
      </c>
      <c r="D347" s="275" t="s">
        <v>658</v>
      </c>
      <c r="E347" s="284"/>
      <c r="F347" s="282">
        <f>F348+F350</f>
        <v>0</v>
      </c>
      <c r="G347" s="371">
        <f>G348+G350</f>
        <v>0</v>
      </c>
    </row>
    <row r="348" spans="1:7" ht="48" customHeight="1" hidden="1">
      <c r="A348" s="375" t="s">
        <v>659</v>
      </c>
      <c r="B348" s="275" t="s">
        <v>1063</v>
      </c>
      <c r="C348" s="275" t="s">
        <v>1049</v>
      </c>
      <c r="D348" s="275" t="s">
        <v>660</v>
      </c>
      <c r="E348" s="284"/>
      <c r="F348" s="282">
        <f>F349</f>
        <v>0</v>
      </c>
      <c r="G348" s="371">
        <f>G349</f>
        <v>0</v>
      </c>
    </row>
    <row r="349" spans="1:7" ht="48" customHeight="1" hidden="1">
      <c r="A349" s="343" t="s">
        <v>522</v>
      </c>
      <c r="B349" s="275" t="s">
        <v>1063</v>
      </c>
      <c r="C349" s="275" t="s">
        <v>1049</v>
      </c>
      <c r="D349" s="275" t="s">
        <v>660</v>
      </c>
      <c r="E349" s="284" t="s">
        <v>523</v>
      </c>
      <c r="F349" s="282"/>
      <c r="G349" s="371"/>
    </row>
    <row r="350" spans="1:7" ht="48" customHeight="1" hidden="1">
      <c r="A350" s="375" t="s">
        <v>661</v>
      </c>
      <c r="B350" s="275" t="s">
        <v>1063</v>
      </c>
      <c r="C350" s="275" t="s">
        <v>1049</v>
      </c>
      <c r="D350" s="275" t="s">
        <v>662</v>
      </c>
      <c r="E350" s="284"/>
      <c r="F350" s="282">
        <f>F351</f>
        <v>0</v>
      </c>
      <c r="G350" s="371">
        <f>G351</f>
        <v>0</v>
      </c>
    </row>
    <row r="351" spans="1:7" ht="48" customHeight="1" hidden="1">
      <c r="A351" s="343" t="s">
        <v>522</v>
      </c>
      <c r="B351" s="275" t="s">
        <v>1063</v>
      </c>
      <c r="C351" s="275" t="s">
        <v>1049</v>
      </c>
      <c r="D351" s="275" t="s">
        <v>662</v>
      </c>
      <c r="E351" s="284" t="s">
        <v>523</v>
      </c>
      <c r="F351" s="282">
        <f>100000-100000</f>
        <v>0</v>
      </c>
      <c r="G351" s="371">
        <f>100000-100000</f>
        <v>0</v>
      </c>
    </row>
    <row r="352" spans="1:7" ht="48" customHeight="1" hidden="1">
      <c r="A352" s="402" t="s">
        <v>1107</v>
      </c>
      <c r="B352" s="275" t="s">
        <v>1063</v>
      </c>
      <c r="C352" s="275" t="s">
        <v>1049</v>
      </c>
      <c r="D352" s="289" t="s">
        <v>722</v>
      </c>
      <c r="E352" s="284"/>
      <c r="F352" s="282">
        <f>F353</f>
        <v>0</v>
      </c>
      <c r="G352" s="371">
        <f>G353</f>
        <v>0</v>
      </c>
    </row>
    <row r="353" spans="1:7" ht="48" customHeight="1" hidden="1">
      <c r="A353" s="408" t="s">
        <v>1108</v>
      </c>
      <c r="B353" s="275" t="s">
        <v>1063</v>
      </c>
      <c r="C353" s="275" t="s">
        <v>1049</v>
      </c>
      <c r="D353" s="289" t="s">
        <v>1097</v>
      </c>
      <c r="E353" s="284"/>
      <c r="F353" s="282">
        <f>F354</f>
        <v>0</v>
      </c>
      <c r="G353" s="371">
        <f>G354</f>
        <v>0</v>
      </c>
    </row>
    <row r="354" spans="1:7" ht="48" customHeight="1" hidden="1">
      <c r="A354" s="373" t="s">
        <v>745</v>
      </c>
      <c r="B354" s="275" t="s">
        <v>1063</v>
      </c>
      <c r="C354" s="275" t="s">
        <v>1049</v>
      </c>
      <c r="D354" s="298" t="s">
        <v>746</v>
      </c>
      <c r="E354" s="284"/>
      <c r="F354" s="282">
        <f>F357+F355</f>
        <v>0</v>
      </c>
      <c r="G354" s="371">
        <f>G357+G355</f>
        <v>0</v>
      </c>
    </row>
    <row r="355" spans="1:7" ht="48" customHeight="1" hidden="1">
      <c r="A355" s="383" t="s">
        <v>1109</v>
      </c>
      <c r="B355" s="275" t="s">
        <v>1063</v>
      </c>
      <c r="C355" s="275" t="s">
        <v>1049</v>
      </c>
      <c r="D355" s="298" t="s">
        <v>748</v>
      </c>
      <c r="E355" s="284"/>
      <c r="F355" s="282">
        <f>F356</f>
        <v>0</v>
      </c>
      <c r="G355" s="371">
        <f>G356</f>
        <v>0</v>
      </c>
    </row>
    <row r="356" spans="1:7" ht="48" customHeight="1" hidden="1">
      <c r="A356" s="343" t="s">
        <v>751</v>
      </c>
      <c r="B356" s="275" t="s">
        <v>1063</v>
      </c>
      <c r="C356" s="275" t="s">
        <v>1049</v>
      </c>
      <c r="D356" s="298" t="s">
        <v>748</v>
      </c>
      <c r="E356" s="284" t="s">
        <v>752</v>
      </c>
      <c r="F356" s="282"/>
      <c r="G356" s="371"/>
    </row>
    <row r="357" spans="1:7" ht="48" customHeight="1" hidden="1">
      <c r="A357" s="383" t="s">
        <v>749</v>
      </c>
      <c r="B357" s="275" t="s">
        <v>1063</v>
      </c>
      <c r="C357" s="275" t="s">
        <v>1049</v>
      </c>
      <c r="D357" s="298" t="s">
        <v>750</v>
      </c>
      <c r="E357" s="284"/>
      <c r="F357" s="282">
        <f>F358</f>
        <v>0</v>
      </c>
      <c r="G357" s="371">
        <f>G358</f>
        <v>0</v>
      </c>
    </row>
    <row r="358" spans="1:7" ht="48" customHeight="1" hidden="1">
      <c r="A358" s="343" t="s">
        <v>751</v>
      </c>
      <c r="B358" s="275" t="s">
        <v>1063</v>
      </c>
      <c r="C358" s="275" t="s">
        <v>1049</v>
      </c>
      <c r="D358" s="298" t="s">
        <v>750</v>
      </c>
      <c r="E358" s="284" t="s">
        <v>752</v>
      </c>
      <c r="F358" s="282"/>
      <c r="G358" s="371"/>
    </row>
    <row r="359" spans="1:7" ht="53.25" customHeight="1">
      <c r="A359" s="394" t="s">
        <v>1110</v>
      </c>
      <c r="B359" s="275" t="s">
        <v>1063</v>
      </c>
      <c r="C359" s="275" t="s">
        <v>1049</v>
      </c>
      <c r="D359" s="289" t="s">
        <v>823</v>
      </c>
      <c r="E359" s="284"/>
      <c r="F359" s="282">
        <f>F360</f>
        <v>167800</v>
      </c>
      <c r="G359" s="371">
        <f>G360</f>
        <v>167800</v>
      </c>
    </row>
    <row r="360" spans="1:7" s="308" customFormat="1" ht="68.25" customHeight="1">
      <c r="A360" s="395" t="s">
        <v>843</v>
      </c>
      <c r="B360" s="275" t="s">
        <v>1063</v>
      </c>
      <c r="C360" s="275" t="s">
        <v>1049</v>
      </c>
      <c r="D360" s="289" t="s">
        <v>844</v>
      </c>
      <c r="E360" s="284"/>
      <c r="F360" s="282">
        <f>F361+F364</f>
        <v>167800</v>
      </c>
      <c r="G360" s="371">
        <f>G361+G364</f>
        <v>167800</v>
      </c>
    </row>
    <row r="361" spans="1:7" ht="48" customHeight="1" hidden="1">
      <c r="A361" s="397" t="s">
        <v>845</v>
      </c>
      <c r="B361" s="275" t="s">
        <v>1063</v>
      </c>
      <c r="C361" s="275" t="s">
        <v>1049</v>
      </c>
      <c r="D361" s="289" t="s">
        <v>846</v>
      </c>
      <c r="E361" s="284"/>
      <c r="F361" s="282">
        <f>F362</f>
        <v>0</v>
      </c>
      <c r="G361" s="371">
        <f>G362</f>
        <v>0</v>
      </c>
    </row>
    <row r="362" spans="1:7" ht="48" customHeight="1" hidden="1">
      <c r="A362" s="373" t="s">
        <v>847</v>
      </c>
      <c r="B362" s="275" t="s">
        <v>1063</v>
      </c>
      <c r="C362" s="275" t="s">
        <v>1049</v>
      </c>
      <c r="D362" s="289" t="s">
        <v>848</v>
      </c>
      <c r="E362" s="284"/>
      <c r="F362" s="282">
        <f>F363</f>
        <v>0</v>
      </c>
      <c r="G362" s="371">
        <f>G363</f>
        <v>0</v>
      </c>
    </row>
    <row r="363" spans="1:7" ht="48" customHeight="1" hidden="1">
      <c r="A363" s="343" t="s">
        <v>516</v>
      </c>
      <c r="B363" s="275" t="s">
        <v>1063</v>
      </c>
      <c r="C363" s="275" t="s">
        <v>1049</v>
      </c>
      <c r="D363" s="289" t="s">
        <v>848</v>
      </c>
      <c r="E363" s="284" t="s">
        <v>517</v>
      </c>
      <c r="F363" s="282"/>
      <c r="G363" s="371"/>
    </row>
    <row r="364" spans="1:7" ht="57.75" customHeight="1">
      <c r="A364" s="397" t="s">
        <v>849</v>
      </c>
      <c r="B364" s="275" t="s">
        <v>1063</v>
      </c>
      <c r="C364" s="275" t="s">
        <v>1049</v>
      </c>
      <c r="D364" s="289" t="s">
        <v>850</v>
      </c>
      <c r="E364" s="284"/>
      <c r="F364" s="282">
        <f>F365</f>
        <v>167800</v>
      </c>
      <c r="G364" s="371">
        <f>G365</f>
        <v>167800</v>
      </c>
    </row>
    <row r="365" spans="1:7" ht="26.25" customHeight="1">
      <c r="A365" s="373" t="s">
        <v>847</v>
      </c>
      <c r="B365" s="275" t="s">
        <v>1063</v>
      </c>
      <c r="C365" s="275" t="s">
        <v>1049</v>
      </c>
      <c r="D365" s="289" t="s">
        <v>851</v>
      </c>
      <c r="E365" s="284"/>
      <c r="F365" s="282">
        <f>F366</f>
        <v>167800</v>
      </c>
      <c r="G365" s="371">
        <f>G366</f>
        <v>167800</v>
      </c>
    </row>
    <row r="366" spans="1:7" ht="29.25" customHeight="1">
      <c r="A366" s="343" t="s">
        <v>516</v>
      </c>
      <c r="B366" s="275" t="s">
        <v>1063</v>
      </c>
      <c r="C366" s="275" t="s">
        <v>1049</v>
      </c>
      <c r="D366" s="289" t="s">
        <v>851</v>
      </c>
      <c r="E366" s="284" t="s">
        <v>517</v>
      </c>
      <c r="F366" s="282">
        <v>167800</v>
      </c>
      <c r="G366" s="371">
        <v>167800</v>
      </c>
    </row>
    <row r="367" spans="1:7" ht="44.25" customHeight="1">
      <c r="A367" s="385" t="s">
        <v>937</v>
      </c>
      <c r="B367" s="275" t="s">
        <v>1063</v>
      </c>
      <c r="C367" s="275" t="s">
        <v>1049</v>
      </c>
      <c r="D367" s="275" t="s">
        <v>938</v>
      </c>
      <c r="E367" s="303"/>
      <c r="F367" s="282">
        <f aca="true" t="shared" si="18" ref="F367:G370">F368</f>
        <v>10000</v>
      </c>
      <c r="G367" s="371">
        <f t="shared" si="18"/>
        <v>10000</v>
      </c>
    </row>
    <row r="368" spans="1:7" ht="63" customHeight="1">
      <c r="A368" s="376" t="s">
        <v>939</v>
      </c>
      <c r="B368" s="275" t="s">
        <v>1063</v>
      </c>
      <c r="C368" s="275" t="s">
        <v>1049</v>
      </c>
      <c r="D368" s="275" t="s">
        <v>940</v>
      </c>
      <c r="E368" s="303"/>
      <c r="F368" s="282">
        <f t="shared" si="18"/>
        <v>10000</v>
      </c>
      <c r="G368" s="371">
        <f t="shared" si="18"/>
        <v>10000</v>
      </c>
    </row>
    <row r="369" spans="1:7" ht="30" customHeight="1">
      <c r="A369" s="383" t="s">
        <v>941</v>
      </c>
      <c r="B369" s="275" t="s">
        <v>1063</v>
      </c>
      <c r="C369" s="275" t="s">
        <v>1049</v>
      </c>
      <c r="D369" s="275" t="s">
        <v>942</v>
      </c>
      <c r="E369" s="303"/>
      <c r="F369" s="282">
        <f t="shared" si="18"/>
        <v>10000</v>
      </c>
      <c r="G369" s="371">
        <f t="shared" si="18"/>
        <v>10000</v>
      </c>
    </row>
    <row r="370" spans="1:7" ht="16.5" customHeight="1">
      <c r="A370" s="383" t="s">
        <v>943</v>
      </c>
      <c r="B370" s="275" t="s">
        <v>1063</v>
      </c>
      <c r="C370" s="275" t="s">
        <v>1049</v>
      </c>
      <c r="D370" s="275" t="s">
        <v>944</v>
      </c>
      <c r="E370" s="303"/>
      <c r="F370" s="282">
        <f t="shared" si="18"/>
        <v>10000</v>
      </c>
      <c r="G370" s="371">
        <f t="shared" si="18"/>
        <v>10000</v>
      </c>
    </row>
    <row r="371" spans="1:7" ht="30" customHeight="1">
      <c r="A371" s="343" t="s">
        <v>516</v>
      </c>
      <c r="B371" s="275" t="s">
        <v>1063</v>
      </c>
      <c r="C371" s="275" t="s">
        <v>1049</v>
      </c>
      <c r="D371" s="275" t="s">
        <v>944</v>
      </c>
      <c r="E371" s="284" t="s">
        <v>517</v>
      </c>
      <c r="F371" s="282">
        <v>10000</v>
      </c>
      <c r="G371" s="371">
        <v>10000</v>
      </c>
    </row>
    <row r="372" spans="1:8" ht="22.5" customHeight="1">
      <c r="A372" s="343" t="s">
        <v>1111</v>
      </c>
      <c r="B372" s="275" t="s">
        <v>1063</v>
      </c>
      <c r="C372" s="275" t="s">
        <v>1051</v>
      </c>
      <c r="D372" s="275"/>
      <c r="E372" s="284"/>
      <c r="F372" s="282">
        <f>F373</f>
        <v>31283463</v>
      </c>
      <c r="G372" s="371">
        <f>G373</f>
        <v>33831463</v>
      </c>
      <c r="H372" s="306"/>
    </row>
    <row r="373" spans="1:7" ht="33.75" customHeight="1">
      <c r="A373" s="370" t="s">
        <v>611</v>
      </c>
      <c r="B373" s="275" t="s">
        <v>1063</v>
      </c>
      <c r="C373" s="275" t="s">
        <v>1051</v>
      </c>
      <c r="D373" s="275" t="s">
        <v>612</v>
      </c>
      <c r="E373" s="284"/>
      <c r="F373" s="282">
        <f>F374</f>
        <v>31283463</v>
      </c>
      <c r="G373" s="371">
        <f>G374</f>
        <v>33831463</v>
      </c>
    </row>
    <row r="374" spans="1:7" ht="53.25" customHeight="1">
      <c r="A374" s="343" t="s">
        <v>665</v>
      </c>
      <c r="B374" s="275" t="s">
        <v>1063</v>
      </c>
      <c r="C374" s="275" t="s">
        <v>1051</v>
      </c>
      <c r="D374" s="275" t="s">
        <v>666</v>
      </c>
      <c r="E374" s="284"/>
      <c r="F374" s="282">
        <f>F375+F380</f>
        <v>31283463</v>
      </c>
      <c r="G374" s="371">
        <f>G375+G380</f>
        <v>33831463</v>
      </c>
    </row>
    <row r="375" spans="1:7" ht="30.75" customHeight="1">
      <c r="A375" s="373" t="s">
        <v>667</v>
      </c>
      <c r="B375" s="275" t="s">
        <v>1063</v>
      </c>
      <c r="C375" s="275" t="s">
        <v>1051</v>
      </c>
      <c r="D375" s="275" t="s">
        <v>668</v>
      </c>
      <c r="E375" s="284"/>
      <c r="F375" s="282">
        <f>F376</f>
        <v>14612063</v>
      </c>
      <c r="G375" s="371">
        <f>G376</f>
        <v>15160063</v>
      </c>
    </row>
    <row r="376" spans="1:7" ht="29.25" customHeight="1">
      <c r="A376" s="373" t="s">
        <v>520</v>
      </c>
      <c r="B376" s="275" t="s">
        <v>1063</v>
      </c>
      <c r="C376" s="275" t="s">
        <v>1051</v>
      </c>
      <c r="D376" s="275" t="s">
        <v>669</v>
      </c>
      <c r="E376" s="284"/>
      <c r="F376" s="282">
        <f>F377+F378+F379</f>
        <v>14612063</v>
      </c>
      <c r="G376" s="371">
        <f>G377+G378+G379</f>
        <v>15160063</v>
      </c>
    </row>
    <row r="377" spans="1:7" ht="41.25" customHeight="1">
      <c r="A377" s="343" t="s">
        <v>522</v>
      </c>
      <c r="B377" s="275" t="s">
        <v>1063</v>
      </c>
      <c r="C377" s="275" t="s">
        <v>1051</v>
      </c>
      <c r="D377" s="275" t="s">
        <v>669</v>
      </c>
      <c r="E377" s="284" t="s">
        <v>523</v>
      </c>
      <c r="F377" s="282">
        <f>12852300+1000000</f>
        <v>13852300</v>
      </c>
      <c r="G377" s="371">
        <f>10400300+4000000</f>
        <v>14400300</v>
      </c>
    </row>
    <row r="378" spans="1:7" ht="24.75" customHeight="1">
      <c r="A378" s="343" t="s">
        <v>516</v>
      </c>
      <c r="B378" s="275" t="s">
        <v>1063</v>
      </c>
      <c r="C378" s="275" t="s">
        <v>1051</v>
      </c>
      <c r="D378" s="275" t="s">
        <v>669</v>
      </c>
      <c r="E378" s="284" t="s">
        <v>517</v>
      </c>
      <c r="F378" s="282">
        <v>644300</v>
      </c>
      <c r="G378" s="371">
        <v>644300</v>
      </c>
    </row>
    <row r="379" spans="1:7" ht="15.75" customHeight="1">
      <c r="A379" s="373" t="s">
        <v>524</v>
      </c>
      <c r="B379" s="275" t="s">
        <v>1063</v>
      </c>
      <c r="C379" s="275" t="s">
        <v>1051</v>
      </c>
      <c r="D379" s="275" t="s">
        <v>669</v>
      </c>
      <c r="E379" s="284" t="s">
        <v>525</v>
      </c>
      <c r="F379" s="282">
        <v>115463</v>
      </c>
      <c r="G379" s="371">
        <v>115463</v>
      </c>
    </row>
    <row r="380" spans="1:7" ht="17.25" customHeight="1">
      <c r="A380" s="373" t="s">
        <v>670</v>
      </c>
      <c r="B380" s="275" t="s">
        <v>1063</v>
      </c>
      <c r="C380" s="275" t="s">
        <v>1051</v>
      </c>
      <c r="D380" s="275" t="s">
        <v>671</v>
      </c>
      <c r="E380" s="284"/>
      <c r="F380" s="282">
        <f>F381</f>
        <v>16671400</v>
      </c>
      <c r="G380" s="371">
        <f>G381</f>
        <v>18671400</v>
      </c>
    </row>
    <row r="381" spans="1:7" ht="29.25" customHeight="1">
      <c r="A381" s="373" t="s">
        <v>520</v>
      </c>
      <c r="B381" s="275" t="s">
        <v>1063</v>
      </c>
      <c r="C381" s="275" t="s">
        <v>1051</v>
      </c>
      <c r="D381" s="275" t="s">
        <v>672</v>
      </c>
      <c r="E381" s="284"/>
      <c r="F381" s="282">
        <f>F382+F383+F384</f>
        <v>16671400</v>
      </c>
      <c r="G381" s="371">
        <f>G382+G383+G384</f>
        <v>18671400</v>
      </c>
    </row>
    <row r="382" spans="1:7" ht="37.5" customHeight="1">
      <c r="A382" s="343" t="s">
        <v>522</v>
      </c>
      <c r="B382" s="275" t="s">
        <v>1063</v>
      </c>
      <c r="C382" s="275" t="s">
        <v>1051</v>
      </c>
      <c r="D382" s="275" t="s">
        <v>672</v>
      </c>
      <c r="E382" s="284" t="s">
        <v>523</v>
      </c>
      <c r="F382" s="282">
        <v>15937600</v>
      </c>
      <c r="G382" s="371">
        <f>15937600+2000000</f>
        <v>17937600</v>
      </c>
    </row>
    <row r="383" spans="1:7" ht="27" customHeight="1">
      <c r="A383" s="343" t="s">
        <v>516</v>
      </c>
      <c r="B383" s="275" t="s">
        <v>1063</v>
      </c>
      <c r="C383" s="275" t="s">
        <v>1051</v>
      </c>
      <c r="D383" s="275" t="s">
        <v>672</v>
      </c>
      <c r="E383" s="284" t="s">
        <v>517</v>
      </c>
      <c r="F383" s="282">
        <v>688100</v>
      </c>
      <c r="G383" s="371">
        <v>688100</v>
      </c>
    </row>
    <row r="384" spans="1:7" ht="15" customHeight="1">
      <c r="A384" s="373" t="s">
        <v>524</v>
      </c>
      <c r="B384" s="275" t="s">
        <v>1063</v>
      </c>
      <c r="C384" s="275" t="s">
        <v>1051</v>
      </c>
      <c r="D384" s="275" t="s">
        <v>672</v>
      </c>
      <c r="E384" s="284" t="s">
        <v>525</v>
      </c>
      <c r="F384" s="282">
        <v>45700</v>
      </c>
      <c r="G384" s="371">
        <v>45700</v>
      </c>
    </row>
    <row r="385" spans="1:8" ht="13.5">
      <c r="A385" s="370" t="s">
        <v>1112</v>
      </c>
      <c r="B385" s="275" t="s">
        <v>1063</v>
      </c>
      <c r="C385" s="275" t="s">
        <v>1063</v>
      </c>
      <c r="D385" s="275"/>
      <c r="E385" s="284"/>
      <c r="F385" s="282">
        <f>F386</f>
        <v>3431909</v>
      </c>
      <c r="G385" s="371">
        <f>G386</f>
        <v>3237190</v>
      </c>
      <c r="H385" s="306"/>
    </row>
    <row r="386" spans="1:7" ht="54.75" customHeight="1">
      <c r="A386" s="373" t="s">
        <v>771</v>
      </c>
      <c r="B386" s="275" t="s">
        <v>1063</v>
      </c>
      <c r="C386" s="275" t="s">
        <v>1063</v>
      </c>
      <c r="D386" s="289" t="s">
        <v>772</v>
      </c>
      <c r="E386" s="284"/>
      <c r="F386" s="282">
        <f>F387+F392</f>
        <v>3431909</v>
      </c>
      <c r="G386" s="371">
        <f>G387+G392</f>
        <v>3237190</v>
      </c>
    </row>
    <row r="387" spans="1:7" s="308" customFormat="1" ht="69.75" customHeight="1">
      <c r="A387" s="373" t="s">
        <v>773</v>
      </c>
      <c r="B387" s="275" t="s">
        <v>1063</v>
      </c>
      <c r="C387" s="275" t="s">
        <v>1063</v>
      </c>
      <c r="D387" s="289" t="s">
        <v>774</v>
      </c>
      <c r="E387" s="324"/>
      <c r="F387" s="282">
        <f>F388</f>
        <v>85000</v>
      </c>
      <c r="G387" s="371">
        <f>G388</f>
        <v>85000</v>
      </c>
    </row>
    <row r="388" spans="1:7" ht="39.75" customHeight="1">
      <c r="A388" s="373" t="s">
        <v>775</v>
      </c>
      <c r="B388" s="275" t="s">
        <v>1063</v>
      </c>
      <c r="C388" s="275" t="s">
        <v>1063</v>
      </c>
      <c r="D388" s="289" t="s">
        <v>776</v>
      </c>
      <c r="E388" s="324"/>
      <c r="F388" s="282">
        <f>F389</f>
        <v>85000</v>
      </c>
      <c r="G388" s="371">
        <f>G389</f>
        <v>85000</v>
      </c>
    </row>
    <row r="389" spans="1:7" ht="19.5" customHeight="1">
      <c r="A389" s="373" t="s">
        <v>777</v>
      </c>
      <c r="B389" s="275" t="s">
        <v>1063</v>
      </c>
      <c r="C389" s="275" t="s">
        <v>1063</v>
      </c>
      <c r="D389" s="289" t="s">
        <v>778</v>
      </c>
      <c r="E389" s="324"/>
      <c r="F389" s="282">
        <f>F390+F391</f>
        <v>85000</v>
      </c>
      <c r="G389" s="371">
        <f>G390+G391</f>
        <v>85000</v>
      </c>
    </row>
    <row r="390" spans="1:7" ht="27.75" customHeight="1">
      <c r="A390" s="343" t="s">
        <v>516</v>
      </c>
      <c r="B390" s="275" t="s">
        <v>1063</v>
      </c>
      <c r="C390" s="275" t="s">
        <v>1063</v>
      </c>
      <c r="D390" s="289" t="s">
        <v>778</v>
      </c>
      <c r="E390" s="324" t="s">
        <v>517</v>
      </c>
      <c r="F390" s="282">
        <f>85000-20000</f>
        <v>65000</v>
      </c>
      <c r="G390" s="371">
        <f>85000-20000</f>
        <v>65000</v>
      </c>
    </row>
    <row r="391" spans="1:7" ht="21" customHeight="1">
      <c r="A391" s="370" t="s">
        <v>550</v>
      </c>
      <c r="B391" s="275" t="s">
        <v>1063</v>
      </c>
      <c r="C391" s="275" t="s">
        <v>1063</v>
      </c>
      <c r="D391" s="289" t="s">
        <v>778</v>
      </c>
      <c r="E391" s="324" t="s">
        <v>551</v>
      </c>
      <c r="F391" s="282">
        <v>20000</v>
      </c>
      <c r="G391" s="371">
        <v>20000</v>
      </c>
    </row>
    <row r="392" spans="1:7" s="308" customFormat="1" ht="53.25" customHeight="1">
      <c r="A392" s="386" t="s">
        <v>788</v>
      </c>
      <c r="B392" s="275" t="s">
        <v>1063</v>
      </c>
      <c r="C392" s="275" t="s">
        <v>1063</v>
      </c>
      <c r="D392" s="289" t="s">
        <v>789</v>
      </c>
      <c r="E392" s="324"/>
      <c r="F392" s="282">
        <f>F393+F403+F400</f>
        <v>3346909</v>
      </c>
      <c r="G392" s="371">
        <f>G393+G403+G400</f>
        <v>3152190</v>
      </c>
    </row>
    <row r="393" spans="1:7" ht="23.25" customHeight="1">
      <c r="A393" s="373" t="s">
        <v>790</v>
      </c>
      <c r="B393" s="275" t="s">
        <v>1063</v>
      </c>
      <c r="C393" s="275" t="s">
        <v>1063</v>
      </c>
      <c r="D393" s="289" t="s">
        <v>791</v>
      </c>
      <c r="E393" s="324"/>
      <c r="F393" s="282">
        <f>F394+F397</f>
        <v>1270269</v>
      </c>
      <c r="G393" s="371">
        <f>G394+G397</f>
        <v>1102863</v>
      </c>
    </row>
    <row r="394" spans="1:7" ht="48" customHeight="1" hidden="1">
      <c r="A394" s="370" t="s">
        <v>792</v>
      </c>
      <c r="B394" s="275" t="s">
        <v>1063</v>
      </c>
      <c r="C394" s="275" t="s">
        <v>1063</v>
      </c>
      <c r="D394" s="289" t="s">
        <v>793</v>
      </c>
      <c r="E394" s="284"/>
      <c r="F394" s="282">
        <f>F395+F396</f>
        <v>0</v>
      </c>
      <c r="G394" s="371">
        <f>G395+G396</f>
        <v>0</v>
      </c>
    </row>
    <row r="395" spans="1:7" ht="48" customHeight="1" hidden="1">
      <c r="A395" s="343" t="s">
        <v>516</v>
      </c>
      <c r="B395" s="275" t="s">
        <v>1063</v>
      </c>
      <c r="C395" s="275" t="s">
        <v>1063</v>
      </c>
      <c r="D395" s="289" t="s">
        <v>793</v>
      </c>
      <c r="E395" s="324" t="s">
        <v>517</v>
      </c>
      <c r="F395" s="282"/>
      <c r="G395" s="371"/>
    </row>
    <row r="396" spans="1:7" ht="48" customHeight="1" hidden="1">
      <c r="A396" s="370" t="s">
        <v>550</v>
      </c>
      <c r="B396" s="275" t="s">
        <v>1063</v>
      </c>
      <c r="C396" s="275" t="s">
        <v>1063</v>
      </c>
      <c r="D396" s="289" t="s">
        <v>793</v>
      </c>
      <c r="E396" s="324" t="s">
        <v>551</v>
      </c>
      <c r="F396" s="282"/>
      <c r="G396" s="371"/>
    </row>
    <row r="397" spans="1:7" ht="20.25" customHeight="1">
      <c r="A397" s="375" t="s">
        <v>794</v>
      </c>
      <c r="B397" s="275" t="s">
        <v>1063</v>
      </c>
      <c r="C397" s="275" t="s">
        <v>1063</v>
      </c>
      <c r="D397" s="289" t="s">
        <v>795</v>
      </c>
      <c r="E397" s="284"/>
      <c r="F397" s="282">
        <f>F399+F398</f>
        <v>1270269</v>
      </c>
      <c r="G397" s="371">
        <f>G399+G398</f>
        <v>1102863</v>
      </c>
    </row>
    <row r="398" spans="1:7" ht="26.25">
      <c r="A398" s="343" t="s">
        <v>516</v>
      </c>
      <c r="B398" s="275" t="s">
        <v>1063</v>
      </c>
      <c r="C398" s="275" t="s">
        <v>1063</v>
      </c>
      <c r="D398" s="289" t="s">
        <v>795</v>
      </c>
      <c r="E398" s="284" t="s">
        <v>517</v>
      </c>
      <c r="F398" s="282">
        <v>520743</v>
      </c>
      <c r="G398" s="371">
        <v>520743</v>
      </c>
    </row>
    <row r="399" spans="1:7" ht="19.5" customHeight="1">
      <c r="A399" s="370" t="s">
        <v>550</v>
      </c>
      <c r="B399" s="275" t="s">
        <v>1063</v>
      </c>
      <c r="C399" s="275" t="s">
        <v>1063</v>
      </c>
      <c r="D399" s="289" t="s">
        <v>795</v>
      </c>
      <c r="E399" s="324" t="s">
        <v>551</v>
      </c>
      <c r="F399" s="282">
        <f>582120+167406</f>
        <v>749526</v>
      </c>
      <c r="G399" s="371">
        <v>582120</v>
      </c>
    </row>
    <row r="400" spans="1:7" ht="18" customHeight="1">
      <c r="A400" s="373" t="s">
        <v>796</v>
      </c>
      <c r="B400" s="275" t="s">
        <v>1063</v>
      </c>
      <c r="C400" s="275" t="s">
        <v>1063</v>
      </c>
      <c r="D400" s="289" t="s">
        <v>797</v>
      </c>
      <c r="E400" s="324"/>
      <c r="F400" s="282">
        <f>F401</f>
        <v>36000</v>
      </c>
      <c r="G400" s="371">
        <f>G401</f>
        <v>36000</v>
      </c>
    </row>
    <row r="401" spans="1:7" ht="17.25" customHeight="1">
      <c r="A401" s="343" t="s">
        <v>798</v>
      </c>
      <c r="B401" s="275" t="s">
        <v>1063</v>
      </c>
      <c r="C401" s="275" t="s">
        <v>1063</v>
      </c>
      <c r="D401" s="289" t="s">
        <v>799</v>
      </c>
      <c r="E401" s="324"/>
      <c r="F401" s="282">
        <f>F402</f>
        <v>36000</v>
      </c>
      <c r="G401" s="371">
        <f>G402</f>
        <v>36000</v>
      </c>
    </row>
    <row r="402" spans="1:7" ht="26.25" customHeight="1">
      <c r="A402" s="343" t="s">
        <v>516</v>
      </c>
      <c r="B402" s="275" t="s">
        <v>1063</v>
      </c>
      <c r="C402" s="275" t="s">
        <v>1063</v>
      </c>
      <c r="D402" s="289" t="s">
        <v>799</v>
      </c>
      <c r="E402" s="324" t="s">
        <v>517</v>
      </c>
      <c r="F402" s="282">
        <f>36000</f>
        <v>36000</v>
      </c>
      <c r="G402" s="371">
        <f>36000</f>
        <v>36000</v>
      </c>
    </row>
    <row r="403" spans="1:7" ht="43.5" customHeight="1">
      <c r="A403" s="373" t="s">
        <v>800</v>
      </c>
      <c r="B403" s="275" t="s">
        <v>1063</v>
      </c>
      <c r="C403" s="275" t="s">
        <v>1063</v>
      </c>
      <c r="D403" s="289" t="s">
        <v>801</v>
      </c>
      <c r="E403" s="324"/>
      <c r="F403" s="282">
        <f>F404</f>
        <v>2040640</v>
      </c>
      <c r="G403" s="371">
        <f>G404</f>
        <v>2013327</v>
      </c>
    </row>
    <row r="404" spans="1:7" ht="24.75" customHeight="1">
      <c r="A404" s="372" t="s">
        <v>520</v>
      </c>
      <c r="B404" s="275" t="s">
        <v>1063</v>
      </c>
      <c r="C404" s="275" t="s">
        <v>1063</v>
      </c>
      <c r="D404" s="289" t="s">
        <v>802</v>
      </c>
      <c r="E404" s="324"/>
      <c r="F404" s="282">
        <f>F405+F406+F407</f>
        <v>2040640</v>
      </c>
      <c r="G404" s="371">
        <f>G405+G406+G407</f>
        <v>2013327</v>
      </c>
    </row>
    <row r="405" spans="1:7" ht="27.75" customHeight="1">
      <c r="A405" s="370" t="s">
        <v>803</v>
      </c>
      <c r="B405" s="275" t="s">
        <v>1063</v>
      </c>
      <c r="C405" s="275" t="s">
        <v>1063</v>
      </c>
      <c r="D405" s="289" t="s">
        <v>802</v>
      </c>
      <c r="E405" s="284" t="s">
        <v>523</v>
      </c>
      <c r="F405" s="282">
        <v>616000</v>
      </c>
      <c r="G405" s="371">
        <v>588687</v>
      </c>
    </row>
    <row r="406" spans="1:7" ht="29.25" customHeight="1">
      <c r="A406" s="343" t="s">
        <v>516</v>
      </c>
      <c r="B406" s="275" t="s">
        <v>1063</v>
      </c>
      <c r="C406" s="275" t="s">
        <v>1063</v>
      </c>
      <c r="D406" s="289" t="s">
        <v>802</v>
      </c>
      <c r="E406" s="324" t="s">
        <v>517</v>
      </c>
      <c r="F406" s="282">
        <v>1354640</v>
      </c>
      <c r="G406" s="371">
        <v>1354640</v>
      </c>
    </row>
    <row r="407" spans="1:7" ht="13.5">
      <c r="A407" s="373" t="s">
        <v>524</v>
      </c>
      <c r="B407" s="275" t="s">
        <v>1063</v>
      </c>
      <c r="C407" s="275" t="s">
        <v>1063</v>
      </c>
      <c r="D407" s="289" t="s">
        <v>802</v>
      </c>
      <c r="E407" s="324" t="s">
        <v>525</v>
      </c>
      <c r="F407" s="282">
        <v>70000</v>
      </c>
      <c r="G407" s="371">
        <v>70000</v>
      </c>
    </row>
    <row r="408" spans="1:7" ht="13.5">
      <c r="A408" s="370" t="s">
        <v>1113</v>
      </c>
      <c r="B408" s="275" t="s">
        <v>1063</v>
      </c>
      <c r="C408" s="275" t="s">
        <v>1079</v>
      </c>
      <c r="D408" s="275"/>
      <c r="E408" s="284"/>
      <c r="F408" s="282">
        <f>F409+F421</f>
        <v>6348866</v>
      </c>
      <c r="G408" s="371">
        <f>G409+G421</f>
        <v>6348866</v>
      </c>
    </row>
    <row r="409" spans="1:7" ht="34.5" customHeight="1">
      <c r="A409" s="370" t="s">
        <v>611</v>
      </c>
      <c r="B409" s="275" t="s">
        <v>1063</v>
      </c>
      <c r="C409" s="275" t="s">
        <v>1079</v>
      </c>
      <c r="D409" s="275" t="s">
        <v>612</v>
      </c>
      <c r="E409" s="284"/>
      <c r="F409" s="282">
        <f>F410</f>
        <v>6348866</v>
      </c>
      <c r="G409" s="371">
        <f>G410</f>
        <v>6348866</v>
      </c>
    </row>
    <row r="410" spans="1:7" s="308" customFormat="1" ht="57.75" customHeight="1">
      <c r="A410" s="385" t="s">
        <v>677</v>
      </c>
      <c r="B410" s="275" t="s">
        <v>1063</v>
      </c>
      <c r="C410" s="275" t="s">
        <v>1079</v>
      </c>
      <c r="D410" s="275" t="s">
        <v>678</v>
      </c>
      <c r="E410" s="284"/>
      <c r="F410" s="282">
        <f>F411+F416</f>
        <v>6348866</v>
      </c>
      <c r="G410" s="371">
        <f>G411+G416</f>
        <v>6348866</v>
      </c>
    </row>
    <row r="411" spans="1:7" ht="34.5" customHeight="1">
      <c r="A411" s="373" t="s">
        <v>679</v>
      </c>
      <c r="B411" s="275" t="s">
        <v>1063</v>
      </c>
      <c r="C411" s="275" t="s">
        <v>1079</v>
      </c>
      <c r="D411" s="275" t="s">
        <v>680</v>
      </c>
      <c r="E411" s="284"/>
      <c r="F411" s="282">
        <f>F412</f>
        <v>6125814</v>
      </c>
      <c r="G411" s="371">
        <f>G412</f>
        <v>6125814</v>
      </c>
    </row>
    <row r="412" spans="1:7" ht="28.5" customHeight="1">
      <c r="A412" s="373" t="s">
        <v>520</v>
      </c>
      <c r="B412" s="275" t="s">
        <v>1063</v>
      </c>
      <c r="C412" s="275" t="s">
        <v>1079</v>
      </c>
      <c r="D412" s="275" t="s">
        <v>681</v>
      </c>
      <c r="E412" s="284"/>
      <c r="F412" s="282">
        <f>F413+F414+F415</f>
        <v>6125814</v>
      </c>
      <c r="G412" s="371">
        <f>G413+G414+G415</f>
        <v>6125814</v>
      </c>
    </row>
    <row r="413" spans="1:7" ht="42.75" customHeight="1">
      <c r="A413" s="343" t="s">
        <v>522</v>
      </c>
      <c r="B413" s="275" t="s">
        <v>1063</v>
      </c>
      <c r="C413" s="275" t="s">
        <v>1079</v>
      </c>
      <c r="D413" s="275" t="s">
        <v>681</v>
      </c>
      <c r="E413" s="284" t="s">
        <v>523</v>
      </c>
      <c r="F413" s="282">
        <v>5573300</v>
      </c>
      <c r="G413" s="371">
        <v>5573300</v>
      </c>
    </row>
    <row r="414" spans="1:7" ht="26.25">
      <c r="A414" s="343" t="s">
        <v>516</v>
      </c>
      <c r="B414" s="275" t="s">
        <v>1063</v>
      </c>
      <c r="C414" s="275" t="s">
        <v>1079</v>
      </c>
      <c r="D414" s="275" t="s">
        <v>681</v>
      </c>
      <c r="E414" s="284" t="s">
        <v>517</v>
      </c>
      <c r="F414" s="282">
        <v>517200</v>
      </c>
      <c r="G414" s="371">
        <v>517200</v>
      </c>
    </row>
    <row r="415" spans="1:7" ht="15.75" customHeight="1">
      <c r="A415" s="373" t="s">
        <v>524</v>
      </c>
      <c r="B415" s="275" t="s">
        <v>1063</v>
      </c>
      <c r="C415" s="275" t="s">
        <v>1079</v>
      </c>
      <c r="D415" s="275" t="s">
        <v>681</v>
      </c>
      <c r="E415" s="284" t="s">
        <v>525</v>
      </c>
      <c r="F415" s="282">
        <v>35314</v>
      </c>
      <c r="G415" s="371">
        <v>35314</v>
      </c>
    </row>
    <row r="416" spans="1:7" ht="28.5" customHeight="1">
      <c r="A416" s="373" t="s">
        <v>682</v>
      </c>
      <c r="B416" s="275" t="s">
        <v>1063</v>
      </c>
      <c r="C416" s="275" t="s">
        <v>1079</v>
      </c>
      <c r="D416" s="275" t="s">
        <v>683</v>
      </c>
      <c r="E416" s="284"/>
      <c r="F416" s="282">
        <f>F417+F419</f>
        <v>223052</v>
      </c>
      <c r="G416" s="371">
        <f>G417+G419</f>
        <v>223052</v>
      </c>
    </row>
    <row r="417" spans="1:7" ht="34.5" customHeight="1">
      <c r="A417" s="409" t="s">
        <v>684</v>
      </c>
      <c r="B417" s="275" t="s">
        <v>1063</v>
      </c>
      <c r="C417" s="275" t="s">
        <v>1079</v>
      </c>
      <c r="D417" s="275" t="s">
        <v>685</v>
      </c>
      <c r="E417" s="284"/>
      <c r="F417" s="282">
        <f>F418</f>
        <v>223052</v>
      </c>
      <c r="G417" s="371">
        <f>G418</f>
        <v>223052</v>
      </c>
    </row>
    <row r="418" spans="1:7" ht="43.5" customHeight="1">
      <c r="A418" s="343" t="s">
        <v>522</v>
      </c>
      <c r="B418" s="275" t="s">
        <v>1063</v>
      </c>
      <c r="C418" s="275" t="s">
        <v>1079</v>
      </c>
      <c r="D418" s="275" t="s">
        <v>685</v>
      </c>
      <c r="E418" s="284" t="s">
        <v>523</v>
      </c>
      <c r="F418" s="282">
        <v>223052</v>
      </c>
      <c r="G418" s="371">
        <v>223052</v>
      </c>
    </row>
    <row r="419" spans="1:7" ht="48" customHeight="1" hidden="1">
      <c r="A419" s="343" t="s">
        <v>655</v>
      </c>
      <c r="B419" s="275" t="s">
        <v>1063</v>
      </c>
      <c r="C419" s="275" t="s">
        <v>1079</v>
      </c>
      <c r="D419" s="275" t="s">
        <v>686</v>
      </c>
      <c r="E419" s="284"/>
      <c r="F419" s="282">
        <f>F420</f>
        <v>0</v>
      </c>
      <c r="G419" s="371">
        <f>G420</f>
        <v>0</v>
      </c>
    </row>
    <row r="420" spans="1:7" ht="48" customHeight="1" hidden="1">
      <c r="A420" s="343" t="s">
        <v>516</v>
      </c>
      <c r="B420" s="275" t="s">
        <v>1063</v>
      </c>
      <c r="C420" s="275" t="s">
        <v>1079</v>
      </c>
      <c r="D420" s="275" t="s">
        <v>686</v>
      </c>
      <c r="E420" s="284" t="s">
        <v>517</v>
      </c>
      <c r="F420" s="282"/>
      <c r="G420" s="371"/>
    </row>
    <row r="421" spans="1:7" ht="48" customHeight="1" hidden="1">
      <c r="A421" s="373" t="s">
        <v>1114</v>
      </c>
      <c r="B421" s="275" t="s">
        <v>1063</v>
      </c>
      <c r="C421" s="275" t="s">
        <v>1079</v>
      </c>
      <c r="D421" s="302" t="s">
        <v>1028</v>
      </c>
      <c r="E421" s="284"/>
      <c r="F421" s="282">
        <f aca="true" t="shared" si="19" ref="F421:G423">F422</f>
        <v>0</v>
      </c>
      <c r="G421" s="371">
        <f t="shared" si="19"/>
        <v>0</v>
      </c>
    </row>
    <row r="422" spans="1:7" ht="48" customHeight="1" hidden="1">
      <c r="A422" s="373" t="s">
        <v>1029</v>
      </c>
      <c r="B422" s="275" t="s">
        <v>1063</v>
      </c>
      <c r="C422" s="275" t="s">
        <v>1079</v>
      </c>
      <c r="D422" s="302" t="s">
        <v>1030</v>
      </c>
      <c r="E422" s="284"/>
      <c r="F422" s="282">
        <f t="shared" si="19"/>
        <v>0</v>
      </c>
      <c r="G422" s="371">
        <f t="shared" si="19"/>
        <v>0</v>
      </c>
    </row>
    <row r="423" spans="1:7" ht="48" customHeight="1" hidden="1">
      <c r="A423" s="373" t="s">
        <v>1031</v>
      </c>
      <c r="B423" s="275" t="s">
        <v>1063</v>
      </c>
      <c r="C423" s="275" t="s">
        <v>1079</v>
      </c>
      <c r="D423" s="410" t="s">
        <v>1032</v>
      </c>
      <c r="E423" s="284"/>
      <c r="F423" s="282">
        <f t="shared" si="19"/>
        <v>0</v>
      </c>
      <c r="G423" s="371">
        <f t="shared" si="19"/>
        <v>0</v>
      </c>
    </row>
    <row r="424" spans="1:7" ht="48" customHeight="1" hidden="1">
      <c r="A424" s="343" t="s">
        <v>516</v>
      </c>
      <c r="B424" s="275" t="s">
        <v>1063</v>
      </c>
      <c r="C424" s="275" t="s">
        <v>1079</v>
      </c>
      <c r="D424" s="302" t="s">
        <v>1032</v>
      </c>
      <c r="E424" s="284" t="s">
        <v>517</v>
      </c>
      <c r="F424" s="282"/>
      <c r="G424" s="371"/>
    </row>
    <row r="425" spans="1:7" ht="21" customHeight="1">
      <c r="A425" s="370" t="s">
        <v>1115</v>
      </c>
      <c r="B425" s="275" t="s">
        <v>1082</v>
      </c>
      <c r="C425" s="275"/>
      <c r="D425" s="275"/>
      <c r="E425" s="324"/>
      <c r="F425" s="282">
        <f>F426+F455</f>
        <v>22659094</v>
      </c>
      <c r="G425" s="371">
        <f>G426+G455</f>
        <v>23389220</v>
      </c>
    </row>
    <row r="426" spans="1:7" ht="21" customHeight="1">
      <c r="A426" s="370" t="s">
        <v>1116</v>
      </c>
      <c r="B426" s="275" t="s">
        <v>1082</v>
      </c>
      <c r="C426" s="275" t="s">
        <v>1047</v>
      </c>
      <c r="D426" s="289"/>
      <c r="E426" s="324"/>
      <c r="F426" s="282">
        <f>F427+F450</f>
        <v>18962922</v>
      </c>
      <c r="G426" s="371">
        <f>G427+G450</f>
        <v>20693048</v>
      </c>
    </row>
    <row r="427" spans="1:7" ht="28.5" customHeight="1">
      <c r="A427" s="370" t="s">
        <v>508</v>
      </c>
      <c r="B427" s="275" t="s">
        <v>1082</v>
      </c>
      <c r="C427" s="275" t="s">
        <v>1047</v>
      </c>
      <c r="D427" s="275" t="s">
        <v>1117</v>
      </c>
      <c r="E427" s="324"/>
      <c r="F427" s="282">
        <f>F428+F442</f>
        <v>18957922</v>
      </c>
      <c r="G427" s="371">
        <f>G428+G442</f>
        <v>20688048</v>
      </c>
    </row>
    <row r="428" spans="1:7" s="308" customFormat="1" ht="42.75" customHeight="1">
      <c r="A428" s="370" t="s">
        <v>510</v>
      </c>
      <c r="B428" s="275" t="s">
        <v>1118</v>
      </c>
      <c r="C428" s="275" t="s">
        <v>1047</v>
      </c>
      <c r="D428" s="275" t="s">
        <v>511</v>
      </c>
      <c r="E428" s="284"/>
      <c r="F428" s="282">
        <f>F429</f>
        <v>10758622</v>
      </c>
      <c r="G428" s="371">
        <f>G429</f>
        <v>12488748</v>
      </c>
    </row>
    <row r="429" spans="1:7" ht="45.75" customHeight="1">
      <c r="A429" s="376" t="s">
        <v>512</v>
      </c>
      <c r="B429" s="275" t="s">
        <v>1118</v>
      </c>
      <c r="C429" s="275" t="s">
        <v>1047</v>
      </c>
      <c r="D429" s="275" t="s">
        <v>513</v>
      </c>
      <c r="E429" s="284"/>
      <c r="F429" s="282">
        <f>F430+F434+F440+F438+F432</f>
        <v>10758622</v>
      </c>
      <c r="G429" s="371">
        <f>G430+G434+G440+G438+G432</f>
        <v>12488748</v>
      </c>
    </row>
    <row r="430" spans="1:7" ht="48" customHeight="1" hidden="1">
      <c r="A430" s="373" t="s">
        <v>514</v>
      </c>
      <c r="B430" s="275" t="s">
        <v>1118</v>
      </c>
      <c r="C430" s="275" t="s">
        <v>1047</v>
      </c>
      <c r="D430" s="275" t="s">
        <v>1119</v>
      </c>
      <c r="E430" s="284"/>
      <c r="F430" s="282">
        <f>F431</f>
        <v>0</v>
      </c>
      <c r="G430" s="371">
        <f>G431</f>
        <v>0</v>
      </c>
    </row>
    <row r="431" spans="1:7" ht="48" customHeight="1" hidden="1">
      <c r="A431" s="343" t="s">
        <v>516</v>
      </c>
      <c r="B431" s="275" t="s">
        <v>1118</v>
      </c>
      <c r="C431" s="275" t="s">
        <v>1047</v>
      </c>
      <c r="D431" s="275" t="s">
        <v>1119</v>
      </c>
      <c r="E431" s="284" t="s">
        <v>517</v>
      </c>
      <c r="F431" s="282"/>
      <c r="G431" s="371"/>
    </row>
    <row r="432" spans="1:7" ht="48" customHeight="1" hidden="1">
      <c r="A432" s="375" t="s">
        <v>518</v>
      </c>
      <c r="B432" s="275" t="s">
        <v>1118</v>
      </c>
      <c r="C432" s="275" t="s">
        <v>1047</v>
      </c>
      <c r="D432" s="275" t="s">
        <v>1120</v>
      </c>
      <c r="E432" s="284"/>
      <c r="F432" s="282">
        <f>F433</f>
        <v>0</v>
      </c>
      <c r="G432" s="371">
        <f>G433</f>
        <v>0</v>
      </c>
    </row>
    <row r="433" spans="1:7" ht="48" customHeight="1" hidden="1">
      <c r="A433" s="343" t="s">
        <v>516</v>
      </c>
      <c r="B433" s="275" t="s">
        <v>1118</v>
      </c>
      <c r="C433" s="275" t="s">
        <v>1047</v>
      </c>
      <c r="D433" s="275" t="s">
        <v>1120</v>
      </c>
      <c r="E433" s="284" t="s">
        <v>517</v>
      </c>
      <c r="F433" s="282"/>
      <c r="G433" s="371"/>
    </row>
    <row r="434" spans="1:7" ht="26.25">
      <c r="A434" s="370" t="s">
        <v>520</v>
      </c>
      <c r="B434" s="275" t="s">
        <v>1118</v>
      </c>
      <c r="C434" s="275" t="s">
        <v>1047</v>
      </c>
      <c r="D434" s="275" t="s">
        <v>1121</v>
      </c>
      <c r="E434" s="284"/>
      <c r="F434" s="282">
        <f>F435+F436+F437</f>
        <v>10758622</v>
      </c>
      <c r="G434" s="371">
        <f>G435+G436+G437</f>
        <v>12488748</v>
      </c>
    </row>
    <row r="435" spans="1:7" ht="42.75" customHeight="1">
      <c r="A435" s="343" t="s">
        <v>522</v>
      </c>
      <c r="B435" s="275" t="s">
        <v>1118</v>
      </c>
      <c r="C435" s="275" t="s">
        <v>1047</v>
      </c>
      <c r="D435" s="275" t="s">
        <v>1121</v>
      </c>
      <c r="E435" s="284" t="s">
        <v>523</v>
      </c>
      <c r="F435" s="282">
        <v>9049474</v>
      </c>
      <c r="G435" s="371">
        <f>8779600+2000000</f>
        <v>10779600</v>
      </c>
    </row>
    <row r="436" spans="1:7" ht="26.25" customHeight="1">
      <c r="A436" s="343" t="s">
        <v>516</v>
      </c>
      <c r="B436" s="275" t="s">
        <v>1118</v>
      </c>
      <c r="C436" s="275" t="s">
        <v>1047</v>
      </c>
      <c r="D436" s="275" t="s">
        <v>1121</v>
      </c>
      <c r="E436" s="284" t="s">
        <v>517</v>
      </c>
      <c r="F436" s="282">
        <v>1641748</v>
      </c>
      <c r="G436" s="371">
        <v>1641748</v>
      </c>
    </row>
    <row r="437" spans="1:7" ht="21.75" customHeight="1">
      <c r="A437" s="393" t="s">
        <v>524</v>
      </c>
      <c r="B437" s="275" t="s">
        <v>1118</v>
      </c>
      <c r="C437" s="275" t="s">
        <v>1047</v>
      </c>
      <c r="D437" s="275" t="s">
        <v>1121</v>
      </c>
      <c r="E437" s="284" t="s">
        <v>525</v>
      </c>
      <c r="F437" s="282">
        <v>67400</v>
      </c>
      <c r="G437" s="371">
        <v>67400</v>
      </c>
    </row>
    <row r="438" spans="1:7" ht="48" customHeight="1" hidden="1">
      <c r="A438" s="375" t="s">
        <v>528</v>
      </c>
      <c r="B438" s="275" t="s">
        <v>1118</v>
      </c>
      <c r="C438" s="275" t="s">
        <v>1047</v>
      </c>
      <c r="D438" s="275" t="s">
        <v>529</v>
      </c>
      <c r="E438" s="284"/>
      <c r="F438" s="282">
        <f>F439</f>
        <v>0</v>
      </c>
      <c r="G438" s="371">
        <f>G439</f>
        <v>0</v>
      </c>
    </row>
    <row r="439" spans="1:7" ht="48" customHeight="1" hidden="1">
      <c r="A439" s="343" t="s">
        <v>516</v>
      </c>
      <c r="B439" s="275" t="s">
        <v>1118</v>
      </c>
      <c r="C439" s="275" t="s">
        <v>1047</v>
      </c>
      <c r="D439" s="275" t="s">
        <v>529</v>
      </c>
      <c r="E439" s="284" t="s">
        <v>517</v>
      </c>
      <c r="F439" s="282"/>
      <c r="G439" s="371"/>
    </row>
    <row r="440" spans="1:7" ht="48" customHeight="1" hidden="1">
      <c r="A440" s="393" t="s">
        <v>526</v>
      </c>
      <c r="B440" s="275" t="s">
        <v>1118</v>
      </c>
      <c r="C440" s="275" t="s">
        <v>1047</v>
      </c>
      <c r="D440" s="289" t="s">
        <v>527</v>
      </c>
      <c r="E440" s="284"/>
      <c r="F440" s="282">
        <f>F441</f>
        <v>0</v>
      </c>
      <c r="G440" s="371">
        <f>G441</f>
        <v>0</v>
      </c>
    </row>
    <row r="441" spans="1:7" ht="48" customHeight="1" hidden="1">
      <c r="A441" s="343" t="s">
        <v>516</v>
      </c>
      <c r="B441" s="275" t="s">
        <v>1118</v>
      </c>
      <c r="C441" s="275" t="s">
        <v>1047</v>
      </c>
      <c r="D441" s="289" t="s">
        <v>527</v>
      </c>
      <c r="E441" s="284" t="s">
        <v>517</v>
      </c>
      <c r="F441" s="282"/>
      <c r="G441" s="371"/>
    </row>
    <row r="442" spans="1:7" s="308" customFormat="1" ht="42.75" customHeight="1">
      <c r="A442" s="370" t="s">
        <v>530</v>
      </c>
      <c r="B442" s="275" t="s">
        <v>1118</v>
      </c>
      <c r="C442" s="275" t="s">
        <v>1047</v>
      </c>
      <c r="D442" s="289" t="s">
        <v>531</v>
      </c>
      <c r="E442" s="284"/>
      <c r="F442" s="282">
        <f>F443</f>
        <v>8199300</v>
      </c>
      <c r="G442" s="371">
        <f>G443</f>
        <v>8199300</v>
      </c>
    </row>
    <row r="443" spans="1:7" ht="28.5" customHeight="1">
      <c r="A443" s="373" t="s">
        <v>532</v>
      </c>
      <c r="B443" s="275" t="s">
        <v>1118</v>
      </c>
      <c r="C443" s="275" t="s">
        <v>1047</v>
      </c>
      <c r="D443" s="289" t="s">
        <v>533</v>
      </c>
      <c r="E443" s="284"/>
      <c r="F443" s="282">
        <f>F444+F448</f>
        <v>8199300</v>
      </c>
      <c r="G443" s="371">
        <f>G444+G448</f>
        <v>8199300</v>
      </c>
    </row>
    <row r="444" spans="1:7" ht="26.25">
      <c r="A444" s="370" t="s">
        <v>520</v>
      </c>
      <c r="B444" s="275" t="s">
        <v>1118</v>
      </c>
      <c r="C444" s="275" t="s">
        <v>1047</v>
      </c>
      <c r="D444" s="289" t="s">
        <v>534</v>
      </c>
      <c r="E444" s="284"/>
      <c r="F444" s="282">
        <f>F445+F446+F447</f>
        <v>8199300</v>
      </c>
      <c r="G444" s="371">
        <f>G445+G446+G447</f>
        <v>8199300</v>
      </c>
    </row>
    <row r="445" spans="1:7" ht="40.5" customHeight="1">
      <c r="A445" s="343" t="s">
        <v>522</v>
      </c>
      <c r="B445" s="275" t="s">
        <v>1118</v>
      </c>
      <c r="C445" s="275" t="s">
        <v>1047</v>
      </c>
      <c r="D445" s="289" t="s">
        <v>534</v>
      </c>
      <c r="E445" s="284" t="s">
        <v>523</v>
      </c>
      <c r="F445" s="282">
        <v>7967000</v>
      </c>
      <c r="G445" s="371">
        <v>7967000</v>
      </c>
    </row>
    <row r="446" spans="1:7" ht="27" customHeight="1">
      <c r="A446" s="343" t="s">
        <v>516</v>
      </c>
      <c r="B446" s="275" t="s">
        <v>1118</v>
      </c>
      <c r="C446" s="275" t="s">
        <v>1047</v>
      </c>
      <c r="D446" s="289" t="s">
        <v>534</v>
      </c>
      <c r="E446" s="284" t="s">
        <v>517</v>
      </c>
      <c r="F446" s="282">
        <v>230200</v>
      </c>
      <c r="G446" s="371">
        <v>230200</v>
      </c>
    </row>
    <row r="447" spans="1:7" ht="12.75" customHeight="1">
      <c r="A447" s="393" t="s">
        <v>524</v>
      </c>
      <c r="B447" s="275" t="s">
        <v>1118</v>
      </c>
      <c r="C447" s="275" t="s">
        <v>1047</v>
      </c>
      <c r="D447" s="289" t="s">
        <v>534</v>
      </c>
      <c r="E447" s="284" t="s">
        <v>525</v>
      </c>
      <c r="F447" s="282">
        <v>2100</v>
      </c>
      <c r="G447" s="371">
        <v>2100</v>
      </c>
    </row>
    <row r="448" spans="1:7" ht="48" customHeight="1" hidden="1">
      <c r="A448" s="393" t="s">
        <v>535</v>
      </c>
      <c r="B448" s="275" t="s">
        <v>1118</v>
      </c>
      <c r="C448" s="275" t="s">
        <v>1047</v>
      </c>
      <c r="D448" s="289" t="s">
        <v>536</v>
      </c>
      <c r="E448" s="284"/>
      <c r="F448" s="282">
        <f>F449</f>
        <v>0</v>
      </c>
      <c r="G448" s="371">
        <f>G449</f>
        <v>0</v>
      </c>
    </row>
    <row r="449" spans="1:7" ht="48" customHeight="1" hidden="1">
      <c r="A449" s="343" t="s">
        <v>554</v>
      </c>
      <c r="B449" s="275" t="s">
        <v>1118</v>
      </c>
      <c r="C449" s="275" t="s">
        <v>1047</v>
      </c>
      <c r="D449" s="289" t="s">
        <v>536</v>
      </c>
      <c r="E449" s="284" t="s">
        <v>517</v>
      </c>
      <c r="F449" s="282">
        <f>20000-20000</f>
        <v>0</v>
      </c>
      <c r="G449" s="371">
        <f>20000-20000</f>
        <v>0</v>
      </c>
    </row>
    <row r="450" spans="1:7" ht="26.25">
      <c r="A450" s="385" t="s">
        <v>1122</v>
      </c>
      <c r="B450" s="275" t="s">
        <v>1118</v>
      </c>
      <c r="C450" s="275" t="s">
        <v>1047</v>
      </c>
      <c r="D450" s="275" t="s">
        <v>938</v>
      </c>
      <c r="E450" s="303"/>
      <c r="F450" s="282">
        <f aca="true" t="shared" si="20" ref="F450:G453">F451</f>
        <v>5000</v>
      </c>
      <c r="G450" s="371">
        <f t="shared" si="20"/>
        <v>5000</v>
      </c>
    </row>
    <row r="451" spans="1:7" ht="39">
      <c r="A451" s="376" t="s">
        <v>939</v>
      </c>
      <c r="B451" s="275" t="s">
        <v>1118</v>
      </c>
      <c r="C451" s="275" t="s">
        <v>1047</v>
      </c>
      <c r="D451" s="275" t="s">
        <v>940</v>
      </c>
      <c r="E451" s="303"/>
      <c r="F451" s="282">
        <f t="shared" si="20"/>
        <v>5000</v>
      </c>
      <c r="G451" s="371">
        <f t="shared" si="20"/>
        <v>5000</v>
      </c>
    </row>
    <row r="452" spans="1:7" ht="26.25">
      <c r="A452" s="383" t="s">
        <v>941</v>
      </c>
      <c r="B452" s="275" t="s">
        <v>1118</v>
      </c>
      <c r="C452" s="275" t="s">
        <v>1047</v>
      </c>
      <c r="D452" s="275" t="s">
        <v>942</v>
      </c>
      <c r="E452" s="303"/>
      <c r="F452" s="282">
        <f t="shared" si="20"/>
        <v>5000</v>
      </c>
      <c r="G452" s="371">
        <f t="shared" si="20"/>
        <v>5000</v>
      </c>
    </row>
    <row r="453" spans="1:7" ht="13.5">
      <c r="A453" s="383" t="s">
        <v>943</v>
      </c>
      <c r="B453" s="275" t="s">
        <v>1118</v>
      </c>
      <c r="C453" s="275" t="s">
        <v>1047</v>
      </c>
      <c r="D453" s="275" t="s">
        <v>944</v>
      </c>
      <c r="E453" s="303"/>
      <c r="F453" s="282">
        <f t="shared" si="20"/>
        <v>5000</v>
      </c>
      <c r="G453" s="371">
        <f t="shared" si="20"/>
        <v>5000</v>
      </c>
    </row>
    <row r="454" spans="1:7" ht="26.25">
      <c r="A454" s="343" t="s">
        <v>516</v>
      </c>
      <c r="B454" s="275" t="s">
        <v>1118</v>
      </c>
      <c r="C454" s="275" t="s">
        <v>1047</v>
      </c>
      <c r="D454" s="275" t="s">
        <v>944</v>
      </c>
      <c r="E454" s="284" t="s">
        <v>517</v>
      </c>
      <c r="F454" s="282">
        <v>5000</v>
      </c>
      <c r="G454" s="371">
        <v>5000</v>
      </c>
    </row>
    <row r="455" spans="1:7" ht="13.5">
      <c r="A455" s="370" t="s">
        <v>1123</v>
      </c>
      <c r="B455" s="275" t="s">
        <v>1082</v>
      </c>
      <c r="C455" s="275" t="s">
        <v>1054</v>
      </c>
      <c r="D455" s="275"/>
      <c r="E455" s="284"/>
      <c r="F455" s="282">
        <f>F456</f>
        <v>3696172</v>
      </c>
      <c r="G455" s="371">
        <f>G456</f>
        <v>2696172</v>
      </c>
    </row>
    <row r="456" spans="1:7" ht="32.25" customHeight="1">
      <c r="A456" s="370" t="s">
        <v>508</v>
      </c>
      <c r="B456" s="275" t="s">
        <v>1082</v>
      </c>
      <c r="C456" s="275" t="s">
        <v>1054</v>
      </c>
      <c r="D456" s="275" t="s">
        <v>1117</v>
      </c>
      <c r="E456" s="284"/>
      <c r="F456" s="282">
        <f>F457</f>
        <v>3696172</v>
      </c>
      <c r="G456" s="371">
        <f>G457</f>
        <v>2696172</v>
      </c>
    </row>
    <row r="457" spans="1:7" ht="56.25" customHeight="1">
      <c r="A457" s="370" t="s">
        <v>537</v>
      </c>
      <c r="B457" s="275" t="s">
        <v>1082</v>
      </c>
      <c r="C457" s="275" t="s">
        <v>1054</v>
      </c>
      <c r="D457" s="275" t="s">
        <v>538</v>
      </c>
      <c r="E457" s="284"/>
      <c r="F457" s="282">
        <f>F458+F463</f>
        <v>3696172</v>
      </c>
      <c r="G457" s="371">
        <f>G458+G463</f>
        <v>2696172</v>
      </c>
    </row>
    <row r="458" spans="1:7" ht="28.5" customHeight="1">
      <c r="A458" s="411" t="s">
        <v>539</v>
      </c>
      <c r="B458" s="275" t="s">
        <v>1082</v>
      </c>
      <c r="C458" s="275" t="s">
        <v>1054</v>
      </c>
      <c r="D458" s="275" t="s">
        <v>540</v>
      </c>
      <c r="E458" s="284"/>
      <c r="F458" s="282">
        <f>F459</f>
        <v>3643300</v>
      </c>
      <c r="G458" s="371">
        <f>G459</f>
        <v>2643300</v>
      </c>
    </row>
    <row r="459" spans="1:7" ht="32.25" customHeight="1">
      <c r="A459" s="370" t="s">
        <v>520</v>
      </c>
      <c r="B459" s="275" t="s">
        <v>1082</v>
      </c>
      <c r="C459" s="275" t="s">
        <v>1054</v>
      </c>
      <c r="D459" s="275" t="s">
        <v>541</v>
      </c>
      <c r="E459" s="284"/>
      <c r="F459" s="282">
        <f>F460+F461+F462</f>
        <v>3643300</v>
      </c>
      <c r="G459" s="371">
        <f>G460+G461+G462</f>
        <v>2643300</v>
      </c>
    </row>
    <row r="460" spans="1:7" ht="42.75" customHeight="1">
      <c r="A460" s="343" t="s">
        <v>522</v>
      </c>
      <c r="B460" s="275" t="s">
        <v>1082</v>
      </c>
      <c r="C460" s="275" t="s">
        <v>1054</v>
      </c>
      <c r="D460" s="275" t="s">
        <v>541</v>
      </c>
      <c r="E460" s="284" t="s">
        <v>523</v>
      </c>
      <c r="F460" s="282">
        <v>3411200</v>
      </c>
      <c r="G460" s="371">
        <v>2411200</v>
      </c>
    </row>
    <row r="461" spans="1:7" ht="26.25" customHeight="1">
      <c r="A461" s="343" t="s">
        <v>516</v>
      </c>
      <c r="B461" s="275" t="s">
        <v>1082</v>
      </c>
      <c r="C461" s="275" t="s">
        <v>1054</v>
      </c>
      <c r="D461" s="275" t="s">
        <v>541</v>
      </c>
      <c r="E461" s="284" t="s">
        <v>517</v>
      </c>
      <c r="F461" s="282">
        <v>230100</v>
      </c>
      <c r="G461" s="371">
        <v>230100</v>
      </c>
    </row>
    <row r="462" spans="1:7" ht="15.75" customHeight="1">
      <c r="A462" s="393" t="s">
        <v>524</v>
      </c>
      <c r="B462" s="275" t="s">
        <v>1082</v>
      </c>
      <c r="C462" s="275" t="s">
        <v>1054</v>
      </c>
      <c r="D462" s="275" t="s">
        <v>541</v>
      </c>
      <c r="E462" s="284" t="s">
        <v>525</v>
      </c>
      <c r="F462" s="282">
        <v>2000</v>
      </c>
      <c r="G462" s="371">
        <v>2000</v>
      </c>
    </row>
    <row r="463" spans="1:7" ht="38.25" customHeight="1">
      <c r="A463" s="412" t="s">
        <v>542</v>
      </c>
      <c r="B463" s="275" t="s">
        <v>1082</v>
      </c>
      <c r="C463" s="275" t="s">
        <v>1054</v>
      </c>
      <c r="D463" s="275" t="s">
        <v>543</v>
      </c>
      <c r="E463" s="284"/>
      <c r="F463" s="282">
        <f>F464</f>
        <v>52872</v>
      </c>
      <c r="G463" s="371">
        <f>G464</f>
        <v>52872</v>
      </c>
    </row>
    <row r="464" spans="1:7" ht="42.75" customHeight="1">
      <c r="A464" s="372" t="s">
        <v>544</v>
      </c>
      <c r="B464" s="275" t="s">
        <v>1082</v>
      </c>
      <c r="C464" s="275" t="s">
        <v>1054</v>
      </c>
      <c r="D464" s="275" t="s">
        <v>545</v>
      </c>
      <c r="E464" s="284"/>
      <c r="F464" s="282">
        <f>F465</f>
        <v>52872</v>
      </c>
      <c r="G464" s="371">
        <f>G465</f>
        <v>52872</v>
      </c>
    </row>
    <row r="465" spans="1:7" ht="42" customHeight="1">
      <c r="A465" s="343" t="s">
        <v>522</v>
      </c>
      <c r="B465" s="275" t="s">
        <v>1082</v>
      </c>
      <c r="C465" s="275" t="s">
        <v>1054</v>
      </c>
      <c r="D465" s="275" t="s">
        <v>545</v>
      </c>
      <c r="E465" s="284" t="s">
        <v>523</v>
      </c>
      <c r="F465" s="282">
        <v>52872</v>
      </c>
      <c r="G465" s="371">
        <v>52872</v>
      </c>
    </row>
    <row r="466" spans="1:7" ht="17.25" customHeight="1">
      <c r="A466" s="370" t="s">
        <v>1124</v>
      </c>
      <c r="B466" s="275" t="s">
        <v>1079</v>
      </c>
      <c r="C466" s="275"/>
      <c r="D466" s="289"/>
      <c r="E466" s="324"/>
      <c r="F466" s="282">
        <f aca="true" t="shared" si="21" ref="F466:G468">F467</f>
        <v>280884</v>
      </c>
      <c r="G466" s="371">
        <f t="shared" si="21"/>
        <v>280884</v>
      </c>
    </row>
    <row r="467" spans="1:7" ht="22.5" customHeight="1">
      <c r="A467" s="413" t="s">
        <v>1125</v>
      </c>
      <c r="B467" s="275" t="s">
        <v>1079</v>
      </c>
      <c r="C467" s="275" t="s">
        <v>1063</v>
      </c>
      <c r="D467" s="275"/>
      <c r="E467" s="284"/>
      <c r="F467" s="282">
        <f t="shared" si="21"/>
        <v>280884</v>
      </c>
      <c r="G467" s="371">
        <f t="shared" si="21"/>
        <v>280884</v>
      </c>
    </row>
    <row r="468" spans="1:7" ht="18" customHeight="1">
      <c r="A468" s="370" t="s">
        <v>995</v>
      </c>
      <c r="B468" s="275" t="s">
        <v>1079</v>
      </c>
      <c r="C468" s="275" t="s">
        <v>1063</v>
      </c>
      <c r="D468" s="298" t="s">
        <v>996</v>
      </c>
      <c r="E468" s="303"/>
      <c r="F468" s="282">
        <f t="shared" si="21"/>
        <v>280884</v>
      </c>
      <c r="G468" s="371">
        <f t="shared" si="21"/>
        <v>280884</v>
      </c>
    </row>
    <row r="469" spans="1:7" ht="17.25" customHeight="1">
      <c r="A469" s="370" t="s">
        <v>1001</v>
      </c>
      <c r="B469" s="275" t="s">
        <v>1079</v>
      </c>
      <c r="C469" s="275" t="s">
        <v>1063</v>
      </c>
      <c r="D469" s="275" t="s">
        <v>1002</v>
      </c>
      <c r="E469" s="284"/>
      <c r="F469" s="282">
        <f>F470+F472</f>
        <v>280884</v>
      </c>
      <c r="G469" s="371">
        <f>G470+G472</f>
        <v>280884</v>
      </c>
    </row>
    <row r="470" spans="1:7" ht="31.5" customHeight="1">
      <c r="A470" s="378" t="s">
        <v>1003</v>
      </c>
      <c r="B470" s="275" t="s">
        <v>1079</v>
      </c>
      <c r="C470" s="275" t="s">
        <v>1063</v>
      </c>
      <c r="D470" s="275" t="s">
        <v>1004</v>
      </c>
      <c r="E470" s="284"/>
      <c r="F470" s="282">
        <f>F471</f>
        <v>280884</v>
      </c>
      <c r="G470" s="371">
        <f>G471</f>
        <v>280884</v>
      </c>
    </row>
    <row r="471" spans="1:7" ht="29.25" customHeight="1">
      <c r="A471" s="343" t="s">
        <v>516</v>
      </c>
      <c r="B471" s="275" t="s">
        <v>1079</v>
      </c>
      <c r="C471" s="275" t="s">
        <v>1063</v>
      </c>
      <c r="D471" s="275" t="s">
        <v>1004</v>
      </c>
      <c r="E471" s="303" t="s">
        <v>517</v>
      </c>
      <c r="F471" s="282">
        <f>5758+275126</f>
        <v>280884</v>
      </c>
      <c r="G471" s="371">
        <f>5758+275126</f>
        <v>280884</v>
      </c>
    </row>
    <row r="472" spans="1:7" ht="48" customHeight="1" hidden="1">
      <c r="A472" s="373" t="s">
        <v>1126</v>
      </c>
      <c r="B472" s="275" t="s">
        <v>1079</v>
      </c>
      <c r="C472" s="275" t="s">
        <v>1063</v>
      </c>
      <c r="D472" s="275" t="s">
        <v>1006</v>
      </c>
      <c r="E472" s="284"/>
      <c r="F472" s="282">
        <f>F473</f>
        <v>0</v>
      </c>
      <c r="G472" s="371">
        <f>G473</f>
        <v>0</v>
      </c>
    </row>
    <row r="473" spans="1:7" ht="48" customHeight="1" hidden="1">
      <c r="A473" s="343" t="s">
        <v>516</v>
      </c>
      <c r="B473" s="275" t="s">
        <v>1079</v>
      </c>
      <c r="C473" s="275" t="s">
        <v>1063</v>
      </c>
      <c r="D473" s="275" t="s">
        <v>1006</v>
      </c>
      <c r="E473" s="303" t="s">
        <v>523</v>
      </c>
      <c r="F473" s="282"/>
      <c r="G473" s="371"/>
    </row>
    <row r="474" spans="1:7" ht="17.25" customHeight="1">
      <c r="A474" s="370" t="s">
        <v>1127</v>
      </c>
      <c r="B474" s="275" t="s">
        <v>1128</v>
      </c>
      <c r="C474" s="275"/>
      <c r="D474" s="289"/>
      <c r="E474" s="324"/>
      <c r="F474" s="282">
        <f>F475+F481+F522</f>
        <v>45620221</v>
      </c>
      <c r="G474" s="371">
        <f>G475+G481+G522</f>
        <v>45620221</v>
      </c>
    </row>
    <row r="475" spans="1:7" ht="13.5">
      <c r="A475" s="370" t="s">
        <v>1129</v>
      </c>
      <c r="B475" s="275" t="s">
        <v>1128</v>
      </c>
      <c r="C475" s="275" t="s">
        <v>1047</v>
      </c>
      <c r="D475" s="275"/>
      <c r="E475" s="284"/>
      <c r="F475" s="282">
        <f>F476</f>
        <v>148731</v>
      </c>
      <c r="G475" s="371">
        <f>G476</f>
        <v>148731</v>
      </c>
    </row>
    <row r="476" spans="1:7" ht="41.25" customHeight="1">
      <c r="A476" s="370" t="s">
        <v>555</v>
      </c>
      <c r="B476" s="275" t="s">
        <v>1128</v>
      </c>
      <c r="C476" s="275" t="s">
        <v>1047</v>
      </c>
      <c r="D476" s="275" t="s">
        <v>556</v>
      </c>
      <c r="E476" s="284"/>
      <c r="F476" s="282">
        <f>F477</f>
        <v>148731</v>
      </c>
      <c r="G476" s="371">
        <f>G477</f>
        <v>148731</v>
      </c>
    </row>
    <row r="477" spans="1:7" s="308" customFormat="1" ht="55.5" customHeight="1">
      <c r="A477" s="414" t="s">
        <v>1130</v>
      </c>
      <c r="B477" s="275" t="s">
        <v>1128</v>
      </c>
      <c r="C477" s="275" t="s">
        <v>1047</v>
      </c>
      <c r="D477" s="275" t="s">
        <v>558</v>
      </c>
      <c r="E477" s="284"/>
      <c r="F477" s="282">
        <f>F479</f>
        <v>148731</v>
      </c>
      <c r="G477" s="371">
        <f>G479</f>
        <v>148731</v>
      </c>
    </row>
    <row r="478" spans="1:7" ht="30.75" customHeight="1">
      <c r="A478" s="389" t="s">
        <v>575</v>
      </c>
      <c r="B478" s="275" t="s">
        <v>1128</v>
      </c>
      <c r="C478" s="275" t="s">
        <v>1047</v>
      </c>
      <c r="D478" s="275" t="s">
        <v>576</v>
      </c>
      <c r="E478" s="284"/>
      <c r="F478" s="282">
        <f>F479</f>
        <v>148731</v>
      </c>
      <c r="G478" s="371">
        <f>G479</f>
        <v>148731</v>
      </c>
    </row>
    <row r="479" spans="1:7" ht="21.75" customHeight="1">
      <c r="A479" s="414" t="s">
        <v>577</v>
      </c>
      <c r="B479" s="275" t="s">
        <v>1131</v>
      </c>
      <c r="C479" s="275" t="s">
        <v>1047</v>
      </c>
      <c r="D479" s="275" t="s">
        <v>1132</v>
      </c>
      <c r="E479" s="284"/>
      <c r="F479" s="282">
        <f>F480</f>
        <v>148731</v>
      </c>
      <c r="G479" s="371">
        <f>G480</f>
        <v>148731</v>
      </c>
    </row>
    <row r="480" spans="1:7" ht="13.5">
      <c r="A480" s="393" t="s">
        <v>550</v>
      </c>
      <c r="B480" s="275" t="s">
        <v>1131</v>
      </c>
      <c r="C480" s="275" t="s">
        <v>1047</v>
      </c>
      <c r="D480" s="275" t="s">
        <v>1132</v>
      </c>
      <c r="E480" s="284" t="s">
        <v>551</v>
      </c>
      <c r="F480" s="282">
        <v>148731</v>
      </c>
      <c r="G480" s="371">
        <v>148731</v>
      </c>
    </row>
    <row r="481" spans="1:7" ht="13.5">
      <c r="A481" s="370" t="s">
        <v>1133</v>
      </c>
      <c r="B481" s="275">
        <v>10</v>
      </c>
      <c r="C481" s="275" t="s">
        <v>1051</v>
      </c>
      <c r="D481" s="275"/>
      <c r="E481" s="284"/>
      <c r="F481" s="282">
        <f>F487+F513+F502+F482</f>
        <v>32779629</v>
      </c>
      <c r="G481" s="371">
        <f>G487+G513+G502+G482</f>
        <v>32779629</v>
      </c>
    </row>
    <row r="482" spans="1:7" ht="26.25">
      <c r="A482" s="370" t="s">
        <v>508</v>
      </c>
      <c r="B482" s="275">
        <v>10</v>
      </c>
      <c r="C482" s="275" t="s">
        <v>1051</v>
      </c>
      <c r="D482" s="275" t="s">
        <v>1117</v>
      </c>
      <c r="E482" s="284"/>
      <c r="F482" s="282">
        <f aca="true" t="shared" si="22" ref="F482:G485">F483</f>
        <v>1416480</v>
      </c>
      <c r="G482" s="371">
        <f t="shared" si="22"/>
        <v>1416480</v>
      </c>
    </row>
    <row r="483" spans="1:7" s="308" customFormat="1" ht="57.75" customHeight="1">
      <c r="A483" s="370" t="s">
        <v>537</v>
      </c>
      <c r="B483" s="275">
        <v>10</v>
      </c>
      <c r="C483" s="275" t="s">
        <v>1051</v>
      </c>
      <c r="D483" s="275" t="s">
        <v>538</v>
      </c>
      <c r="E483" s="284"/>
      <c r="F483" s="282">
        <f t="shared" si="22"/>
        <v>1416480</v>
      </c>
      <c r="G483" s="371">
        <f t="shared" si="22"/>
        <v>1416480</v>
      </c>
    </row>
    <row r="484" spans="1:7" ht="32.25" customHeight="1">
      <c r="A484" s="389" t="s">
        <v>546</v>
      </c>
      <c r="B484" s="275">
        <v>10</v>
      </c>
      <c r="C484" s="275" t="s">
        <v>1051</v>
      </c>
      <c r="D484" s="275" t="s">
        <v>547</v>
      </c>
      <c r="E484" s="284"/>
      <c r="F484" s="282">
        <f t="shared" si="22"/>
        <v>1416480</v>
      </c>
      <c r="G484" s="371">
        <f t="shared" si="22"/>
        <v>1416480</v>
      </c>
    </row>
    <row r="485" spans="1:7" ht="36" customHeight="1">
      <c r="A485" s="375" t="s">
        <v>548</v>
      </c>
      <c r="B485" s="275">
        <v>10</v>
      </c>
      <c r="C485" s="275" t="s">
        <v>1051</v>
      </c>
      <c r="D485" s="298" t="s">
        <v>549</v>
      </c>
      <c r="E485" s="284"/>
      <c r="F485" s="282">
        <f t="shared" si="22"/>
        <v>1416480</v>
      </c>
      <c r="G485" s="371">
        <f t="shared" si="22"/>
        <v>1416480</v>
      </c>
    </row>
    <row r="486" spans="1:7" ht="18" customHeight="1">
      <c r="A486" s="393" t="s">
        <v>550</v>
      </c>
      <c r="B486" s="275">
        <v>10</v>
      </c>
      <c r="C486" s="275" t="s">
        <v>1051</v>
      </c>
      <c r="D486" s="298" t="s">
        <v>549</v>
      </c>
      <c r="E486" s="284" t="s">
        <v>551</v>
      </c>
      <c r="F486" s="282">
        <v>1416480</v>
      </c>
      <c r="G486" s="371">
        <v>1416480</v>
      </c>
    </row>
    <row r="487" spans="1:7" ht="46.5" customHeight="1">
      <c r="A487" s="370" t="s">
        <v>1134</v>
      </c>
      <c r="B487" s="275">
        <v>10</v>
      </c>
      <c r="C487" s="275" t="s">
        <v>1051</v>
      </c>
      <c r="D487" s="275" t="s">
        <v>556</v>
      </c>
      <c r="E487" s="284"/>
      <c r="F487" s="282">
        <f>F488</f>
        <v>10897141</v>
      </c>
      <c r="G487" s="371">
        <f>G488</f>
        <v>10897141</v>
      </c>
    </row>
    <row r="488" spans="1:8" s="308" customFormat="1" ht="58.5" customHeight="1">
      <c r="A488" s="382" t="s">
        <v>557</v>
      </c>
      <c r="B488" s="275">
        <v>10</v>
      </c>
      <c r="C488" s="275" t="s">
        <v>1051</v>
      </c>
      <c r="D488" s="275" t="s">
        <v>558</v>
      </c>
      <c r="E488" s="284"/>
      <c r="F488" s="282">
        <f>F489</f>
        <v>10897141</v>
      </c>
      <c r="G488" s="371">
        <f>G489</f>
        <v>10897141</v>
      </c>
      <c r="H488" s="398"/>
    </row>
    <row r="489" spans="1:7" ht="28.5" customHeight="1">
      <c r="A489" s="382" t="s">
        <v>559</v>
      </c>
      <c r="B489" s="275">
        <v>10</v>
      </c>
      <c r="C489" s="275" t="s">
        <v>1051</v>
      </c>
      <c r="D489" s="275" t="s">
        <v>560</v>
      </c>
      <c r="E489" s="284"/>
      <c r="F489" s="282">
        <f>F490+F493+F496+F499</f>
        <v>10897141</v>
      </c>
      <c r="G489" s="371">
        <f>G490+G493+G496+G499</f>
        <v>10897141</v>
      </c>
    </row>
    <row r="490" spans="1:7" ht="26.25">
      <c r="A490" s="372" t="s">
        <v>563</v>
      </c>
      <c r="B490" s="275">
        <v>10</v>
      </c>
      <c r="C490" s="275" t="s">
        <v>1051</v>
      </c>
      <c r="D490" s="275" t="s">
        <v>564</v>
      </c>
      <c r="E490" s="284"/>
      <c r="F490" s="282">
        <f>F492+F491</f>
        <v>63415</v>
      </c>
      <c r="G490" s="371">
        <f>G492+G491</f>
        <v>63415</v>
      </c>
    </row>
    <row r="491" spans="1:7" ht="27" customHeight="1">
      <c r="A491" s="343" t="s">
        <v>516</v>
      </c>
      <c r="B491" s="275">
        <v>10</v>
      </c>
      <c r="C491" s="275" t="s">
        <v>1051</v>
      </c>
      <c r="D491" s="275" t="s">
        <v>564</v>
      </c>
      <c r="E491" s="284" t="s">
        <v>517</v>
      </c>
      <c r="F491" s="282">
        <v>980</v>
      </c>
      <c r="G491" s="371">
        <v>980</v>
      </c>
    </row>
    <row r="492" spans="1:7" ht="13.5">
      <c r="A492" s="415" t="s">
        <v>550</v>
      </c>
      <c r="B492" s="275">
        <v>10</v>
      </c>
      <c r="C492" s="275" t="s">
        <v>1051</v>
      </c>
      <c r="D492" s="275" t="s">
        <v>564</v>
      </c>
      <c r="E492" s="284" t="s">
        <v>551</v>
      </c>
      <c r="F492" s="282">
        <v>62435</v>
      </c>
      <c r="G492" s="371">
        <v>62435</v>
      </c>
    </row>
    <row r="493" spans="1:7" ht="26.25" customHeight="1">
      <c r="A493" s="372" t="s">
        <v>565</v>
      </c>
      <c r="B493" s="275">
        <v>10</v>
      </c>
      <c r="C493" s="275" t="s">
        <v>1051</v>
      </c>
      <c r="D493" s="275" t="s">
        <v>566</v>
      </c>
      <c r="E493" s="284"/>
      <c r="F493" s="282">
        <f>F495+F494</f>
        <v>295849</v>
      </c>
      <c r="G493" s="371">
        <f>G495+G494</f>
        <v>295849</v>
      </c>
    </row>
    <row r="494" spans="1:7" ht="24.75" customHeight="1">
      <c r="A494" s="343" t="s">
        <v>516</v>
      </c>
      <c r="B494" s="275">
        <v>10</v>
      </c>
      <c r="C494" s="275" t="s">
        <v>1051</v>
      </c>
      <c r="D494" s="275" t="s">
        <v>566</v>
      </c>
      <c r="E494" s="284" t="s">
        <v>517</v>
      </c>
      <c r="F494" s="282">
        <v>5240</v>
      </c>
      <c r="G494" s="371">
        <v>5240</v>
      </c>
    </row>
    <row r="495" spans="1:7" ht="13.5">
      <c r="A495" s="415" t="s">
        <v>550</v>
      </c>
      <c r="B495" s="275">
        <v>10</v>
      </c>
      <c r="C495" s="275" t="s">
        <v>1051</v>
      </c>
      <c r="D495" s="275" t="s">
        <v>566</v>
      </c>
      <c r="E495" s="284" t="s">
        <v>551</v>
      </c>
      <c r="F495" s="282">
        <v>290609</v>
      </c>
      <c r="G495" s="371">
        <v>290609</v>
      </c>
    </row>
    <row r="496" spans="1:7" ht="15" customHeight="1">
      <c r="A496" s="370" t="s">
        <v>567</v>
      </c>
      <c r="B496" s="275">
        <v>10</v>
      </c>
      <c r="C496" s="275" t="s">
        <v>1051</v>
      </c>
      <c r="D496" s="275" t="s">
        <v>568</v>
      </c>
      <c r="E496" s="284"/>
      <c r="F496" s="282">
        <f>F498+F497</f>
        <v>9062577</v>
      </c>
      <c r="G496" s="371">
        <f>G498+G497</f>
        <v>9062577</v>
      </c>
    </row>
    <row r="497" spans="1:7" ht="27" customHeight="1">
      <c r="A497" s="343" t="s">
        <v>516</v>
      </c>
      <c r="B497" s="275">
        <v>10</v>
      </c>
      <c r="C497" s="275" t="s">
        <v>1051</v>
      </c>
      <c r="D497" s="275" t="s">
        <v>568</v>
      </c>
      <c r="E497" s="284" t="s">
        <v>517</v>
      </c>
      <c r="F497" s="282">
        <f>90140+58300</f>
        <v>148440</v>
      </c>
      <c r="G497" s="371">
        <f>90140+58300</f>
        <v>148440</v>
      </c>
    </row>
    <row r="498" spans="1:7" ht="16.5" customHeight="1">
      <c r="A498" s="415" t="s">
        <v>550</v>
      </c>
      <c r="B498" s="275">
        <v>10</v>
      </c>
      <c r="C498" s="275" t="s">
        <v>1051</v>
      </c>
      <c r="D498" s="275" t="s">
        <v>568</v>
      </c>
      <c r="E498" s="284" t="s">
        <v>551</v>
      </c>
      <c r="F498" s="282">
        <v>8914137</v>
      </c>
      <c r="G498" s="371">
        <v>8914137</v>
      </c>
    </row>
    <row r="499" spans="1:7" ht="15.75" customHeight="1">
      <c r="A499" s="370" t="s">
        <v>569</v>
      </c>
      <c r="B499" s="275">
        <v>10</v>
      </c>
      <c r="C499" s="275" t="s">
        <v>1051</v>
      </c>
      <c r="D499" s="275" t="s">
        <v>570</v>
      </c>
      <c r="E499" s="284"/>
      <c r="F499" s="282">
        <f>F501+F500</f>
        <v>1475300</v>
      </c>
      <c r="G499" s="371">
        <f>G501+G500</f>
        <v>1475300</v>
      </c>
    </row>
    <row r="500" spans="1:7" ht="24.75" customHeight="1">
      <c r="A500" s="343" t="s">
        <v>516</v>
      </c>
      <c r="B500" s="275">
        <v>10</v>
      </c>
      <c r="C500" s="275" t="s">
        <v>1051</v>
      </c>
      <c r="D500" s="275" t="s">
        <v>570</v>
      </c>
      <c r="E500" s="284" t="s">
        <v>517</v>
      </c>
      <c r="F500" s="282">
        <f>19920+4570</f>
        <v>24490</v>
      </c>
      <c r="G500" s="371">
        <f>19920+4570</f>
        <v>24490</v>
      </c>
    </row>
    <row r="501" spans="1:7" ht="18" customHeight="1">
      <c r="A501" s="415" t="s">
        <v>550</v>
      </c>
      <c r="B501" s="275">
        <v>10</v>
      </c>
      <c r="C501" s="275" t="s">
        <v>1051</v>
      </c>
      <c r="D501" s="275" t="s">
        <v>570</v>
      </c>
      <c r="E501" s="284" t="s">
        <v>551</v>
      </c>
      <c r="F501" s="282">
        <v>1450810</v>
      </c>
      <c r="G501" s="371">
        <v>1450810</v>
      </c>
    </row>
    <row r="502" spans="1:7" ht="26.25" customHeight="1">
      <c r="A502" s="370" t="s">
        <v>611</v>
      </c>
      <c r="B502" s="275">
        <v>10</v>
      </c>
      <c r="C502" s="275" t="s">
        <v>1051</v>
      </c>
      <c r="D502" s="275" t="s">
        <v>612</v>
      </c>
      <c r="E502" s="284"/>
      <c r="F502" s="282">
        <f>F503+F508</f>
        <v>20466008</v>
      </c>
      <c r="G502" s="371">
        <f>G503+G508</f>
        <v>20466008</v>
      </c>
    </row>
    <row r="503" spans="1:7" s="308" customFormat="1" ht="43.5" customHeight="1">
      <c r="A503" s="406" t="s">
        <v>613</v>
      </c>
      <c r="B503" s="275">
        <v>10</v>
      </c>
      <c r="C503" s="275" t="s">
        <v>1051</v>
      </c>
      <c r="D503" s="275" t="s">
        <v>614</v>
      </c>
      <c r="E503" s="284"/>
      <c r="F503" s="282">
        <f>F504</f>
        <v>18966008</v>
      </c>
      <c r="G503" s="371">
        <f>G504</f>
        <v>18966008</v>
      </c>
    </row>
    <row r="504" spans="1:7" ht="29.25" customHeight="1">
      <c r="A504" s="373" t="s">
        <v>657</v>
      </c>
      <c r="B504" s="275">
        <v>10</v>
      </c>
      <c r="C504" s="275" t="s">
        <v>1051</v>
      </c>
      <c r="D504" s="275" t="s">
        <v>658</v>
      </c>
      <c r="E504" s="284"/>
      <c r="F504" s="282">
        <f>F505</f>
        <v>18966008</v>
      </c>
      <c r="G504" s="371">
        <f>G505</f>
        <v>18966008</v>
      </c>
    </row>
    <row r="505" spans="1:7" ht="55.5" customHeight="1">
      <c r="A505" s="375" t="s">
        <v>663</v>
      </c>
      <c r="B505" s="275">
        <v>10</v>
      </c>
      <c r="C505" s="275" t="s">
        <v>1051</v>
      </c>
      <c r="D505" s="275" t="s">
        <v>664</v>
      </c>
      <c r="E505" s="284"/>
      <c r="F505" s="282">
        <f>F506+F507</f>
        <v>18966008</v>
      </c>
      <c r="G505" s="371">
        <f>G506+G507</f>
        <v>18966008</v>
      </c>
    </row>
    <row r="506" spans="1:7" ht="48" customHeight="1" hidden="1">
      <c r="A506" s="343" t="s">
        <v>516</v>
      </c>
      <c r="B506" s="275">
        <v>10</v>
      </c>
      <c r="C506" s="275" t="s">
        <v>1051</v>
      </c>
      <c r="D506" s="275" t="s">
        <v>664</v>
      </c>
      <c r="E506" s="284" t="s">
        <v>517</v>
      </c>
      <c r="F506" s="282"/>
      <c r="G506" s="371"/>
    </row>
    <row r="507" spans="1:7" ht="21" customHeight="1">
      <c r="A507" s="415" t="s">
        <v>550</v>
      </c>
      <c r="B507" s="275">
        <v>10</v>
      </c>
      <c r="C507" s="275" t="s">
        <v>1051</v>
      </c>
      <c r="D507" s="275" t="s">
        <v>664</v>
      </c>
      <c r="E507" s="284" t="s">
        <v>551</v>
      </c>
      <c r="F507" s="282">
        <v>18966008</v>
      </c>
      <c r="G507" s="371">
        <v>18966008</v>
      </c>
    </row>
    <row r="508" spans="1:7" s="308" customFormat="1" ht="53.25" customHeight="1">
      <c r="A508" s="343" t="s">
        <v>665</v>
      </c>
      <c r="B508" s="275">
        <v>10</v>
      </c>
      <c r="C508" s="275" t="s">
        <v>1051</v>
      </c>
      <c r="D508" s="275" t="s">
        <v>666</v>
      </c>
      <c r="E508" s="284"/>
      <c r="F508" s="282">
        <f>F509</f>
        <v>1500000</v>
      </c>
      <c r="G508" s="371">
        <f>G509</f>
        <v>1500000</v>
      </c>
    </row>
    <row r="509" spans="1:7" ht="29.25" customHeight="1">
      <c r="A509" s="416" t="s">
        <v>673</v>
      </c>
      <c r="B509" s="275">
        <v>10</v>
      </c>
      <c r="C509" s="275" t="s">
        <v>1051</v>
      </c>
      <c r="D509" s="275" t="s">
        <v>674</v>
      </c>
      <c r="E509" s="284"/>
      <c r="F509" s="282">
        <f>F510</f>
        <v>1500000</v>
      </c>
      <c r="G509" s="371">
        <f>G510</f>
        <v>1500000</v>
      </c>
    </row>
    <row r="510" spans="1:7" ht="54.75" customHeight="1">
      <c r="A510" s="401" t="s">
        <v>675</v>
      </c>
      <c r="B510" s="275">
        <v>10</v>
      </c>
      <c r="C510" s="275" t="s">
        <v>1051</v>
      </c>
      <c r="D510" s="275" t="s">
        <v>676</v>
      </c>
      <c r="E510" s="284"/>
      <c r="F510" s="282">
        <f>F512</f>
        <v>1500000</v>
      </c>
      <c r="G510" s="371">
        <f>G512</f>
        <v>1500000</v>
      </c>
    </row>
    <row r="511" spans="1:7" ht="48" customHeight="1" hidden="1">
      <c r="A511" s="343" t="s">
        <v>516</v>
      </c>
      <c r="B511" s="275">
        <v>10</v>
      </c>
      <c r="C511" s="275" t="s">
        <v>1051</v>
      </c>
      <c r="D511" s="275" t="s">
        <v>676</v>
      </c>
      <c r="E511" s="284" t="s">
        <v>517</v>
      </c>
      <c r="F511" s="282"/>
      <c r="G511" s="371"/>
    </row>
    <row r="512" spans="1:7" ht="19.5" customHeight="1">
      <c r="A512" s="415" t="s">
        <v>550</v>
      </c>
      <c r="B512" s="275">
        <v>10</v>
      </c>
      <c r="C512" s="275" t="s">
        <v>1051</v>
      </c>
      <c r="D512" s="275" t="s">
        <v>676</v>
      </c>
      <c r="E512" s="284" t="s">
        <v>551</v>
      </c>
      <c r="F512" s="325">
        <f>400000+1100000</f>
        <v>1500000</v>
      </c>
      <c r="G512" s="417">
        <f>400000+1100000</f>
        <v>1500000</v>
      </c>
    </row>
    <row r="513" spans="1:7" ht="48" customHeight="1" hidden="1">
      <c r="A513" s="402" t="s">
        <v>1107</v>
      </c>
      <c r="B513" s="275">
        <v>10</v>
      </c>
      <c r="C513" s="275" t="s">
        <v>1051</v>
      </c>
      <c r="D513" s="289" t="s">
        <v>722</v>
      </c>
      <c r="E513" s="303"/>
      <c r="F513" s="282">
        <f>F514</f>
        <v>0</v>
      </c>
      <c r="G513" s="371">
        <f>G514</f>
        <v>0</v>
      </c>
    </row>
    <row r="514" spans="1:7" s="308" customFormat="1" ht="48" customHeight="1" hidden="1">
      <c r="A514" s="408" t="s">
        <v>1108</v>
      </c>
      <c r="B514" s="275">
        <v>10</v>
      </c>
      <c r="C514" s="275" t="s">
        <v>1051</v>
      </c>
      <c r="D514" s="289" t="s">
        <v>1097</v>
      </c>
      <c r="E514" s="303"/>
      <c r="F514" s="282">
        <f>F515</f>
        <v>0</v>
      </c>
      <c r="G514" s="371">
        <f>G515</f>
        <v>0</v>
      </c>
    </row>
    <row r="515" spans="1:7" s="255" customFormat="1" ht="48" customHeight="1" hidden="1">
      <c r="A515" s="418" t="s">
        <v>738</v>
      </c>
      <c r="B515" s="275">
        <v>10</v>
      </c>
      <c r="C515" s="275" t="s">
        <v>1051</v>
      </c>
      <c r="D515" s="298" t="s">
        <v>739</v>
      </c>
      <c r="E515" s="303"/>
      <c r="F515" s="282">
        <f>F516+F518+F520</f>
        <v>0</v>
      </c>
      <c r="G515" s="371">
        <f>G516+G518+G520</f>
        <v>0</v>
      </c>
    </row>
    <row r="516" spans="1:7" ht="48" customHeight="1" hidden="1">
      <c r="A516" s="372" t="s">
        <v>740</v>
      </c>
      <c r="B516" s="275">
        <v>10</v>
      </c>
      <c r="C516" s="275" t="s">
        <v>1051</v>
      </c>
      <c r="D516" s="298" t="s">
        <v>741</v>
      </c>
      <c r="E516" s="303"/>
      <c r="F516" s="282">
        <f>F517</f>
        <v>0</v>
      </c>
      <c r="G516" s="371">
        <f>G517</f>
        <v>0</v>
      </c>
    </row>
    <row r="517" spans="1:7" ht="48" customHeight="1" hidden="1">
      <c r="A517" s="401" t="s">
        <v>713</v>
      </c>
      <c r="B517" s="275">
        <v>10</v>
      </c>
      <c r="C517" s="275" t="s">
        <v>1051</v>
      </c>
      <c r="D517" s="298" t="s">
        <v>741</v>
      </c>
      <c r="E517" s="303" t="s">
        <v>714</v>
      </c>
      <c r="F517" s="282"/>
      <c r="G517" s="371"/>
    </row>
    <row r="518" spans="1:7" ht="48" customHeight="1" hidden="1">
      <c r="A518" s="372" t="s">
        <v>742</v>
      </c>
      <c r="B518" s="275">
        <v>10</v>
      </c>
      <c r="C518" s="275" t="s">
        <v>1051</v>
      </c>
      <c r="D518" s="298" t="s">
        <v>743</v>
      </c>
      <c r="E518" s="303"/>
      <c r="F518" s="282">
        <f>F519</f>
        <v>0</v>
      </c>
      <c r="G518" s="371">
        <f>G519</f>
        <v>0</v>
      </c>
    </row>
    <row r="519" spans="1:7" ht="48" customHeight="1" hidden="1">
      <c r="A519" s="401" t="s">
        <v>713</v>
      </c>
      <c r="B519" s="275">
        <v>10</v>
      </c>
      <c r="C519" s="275" t="s">
        <v>1051</v>
      </c>
      <c r="D519" s="298" t="s">
        <v>743</v>
      </c>
      <c r="E519" s="303" t="s">
        <v>714</v>
      </c>
      <c r="F519" s="282"/>
      <c r="G519" s="371"/>
    </row>
    <row r="520" spans="1:7" ht="48" customHeight="1" hidden="1">
      <c r="A520" s="372" t="s">
        <v>742</v>
      </c>
      <c r="B520" s="275">
        <v>10</v>
      </c>
      <c r="C520" s="275" t="s">
        <v>1051</v>
      </c>
      <c r="D520" s="298" t="s">
        <v>744</v>
      </c>
      <c r="E520" s="303"/>
      <c r="F520" s="282">
        <f>F521</f>
        <v>0</v>
      </c>
      <c r="G520" s="371">
        <f>G521</f>
        <v>0</v>
      </c>
    </row>
    <row r="521" spans="1:7" ht="48" customHeight="1" hidden="1">
      <c r="A521" s="401" t="s">
        <v>713</v>
      </c>
      <c r="B521" s="275">
        <v>10</v>
      </c>
      <c r="C521" s="275" t="s">
        <v>1051</v>
      </c>
      <c r="D521" s="298" t="s">
        <v>744</v>
      </c>
      <c r="E521" s="303" t="s">
        <v>714</v>
      </c>
      <c r="F521" s="282"/>
      <c r="G521" s="371"/>
    </row>
    <row r="522" spans="1:7" ht="15" customHeight="1">
      <c r="A522" s="370" t="s">
        <v>1135</v>
      </c>
      <c r="B522" s="275">
        <v>10</v>
      </c>
      <c r="C522" s="275" t="s">
        <v>1054</v>
      </c>
      <c r="D522" s="275"/>
      <c r="E522" s="284"/>
      <c r="F522" s="282">
        <f>F533+F523</f>
        <v>12691861</v>
      </c>
      <c r="G522" s="371">
        <f>G533+G523</f>
        <v>12691861</v>
      </c>
    </row>
    <row r="523" spans="1:7" ht="44.25" customHeight="1">
      <c r="A523" s="370" t="s">
        <v>1068</v>
      </c>
      <c r="B523" s="275">
        <v>10</v>
      </c>
      <c r="C523" s="275" t="s">
        <v>1054</v>
      </c>
      <c r="D523" s="309" t="s">
        <v>556</v>
      </c>
      <c r="E523" s="284"/>
      <c r="F523" s="282">
        <f>F529+F524</f>
        <v>10611051</v>
      </c>
      <c r="G523" s="371">
        <f>G529+G524</f>
        <v>10611051</v>
      </c>
    </row>
    <row r="524" spans="1:7" ht="52.5" customHeight="1">
      <c r="A524" s="382" t="s">
        <v>557</v>
      </c>
      <c r="B524" s="275">
        <v>10</v>
      </c>
      <c r="C524" s="275" t="s">
        <v>1054</v>
      </c>
      <c r="D524" s="275" t="s">
        <v>558</v>
      </c>
      <c r="E524" s="284"/>
      <c r="F524" s="282">
        <f>F525</f>
        <v>1556884</v>
      </c>
      <c r="G524" s="371">
        <f>G525</f>
        <v>1556884</v>
      </c>
    </row>
    <row r="525" spans="1:7" ht="33" customHeight="1">
      <c r="A525" s="382" t="s">
        <v>559</v>
      </c>
      <c r="B525" s="275">
        <v>10</v>
      </c>
      <c r="C525" s="275" t="s">
        <v>1054</v>
      </c>
      <c r="D525" s="275" t="s">
        <v>560</v>
      </c>
      <c r="E525" s="284"/>
      <c r="F525" s="282">
        <f>F526</f>
        <v>1556884</v>
      </c>
      <c r="G525" s="371">
        <f>G526</f>
        <v>1556884</v>
      </c>
    </row>
    <row r="526" spans="1:7" ht="17.25" customHeight="1">
      <c r="A526" s="370" t="s">
        <v>561</v>
      </c>
      <c r="B526" s="275">
        <v>10</v>
      </c>
      <c r="C526" s="275" t="s">
        <v>1054</v>
      </c>
      <c r="D526" s="275" t="s">
        <v>562</v>
      </c>
      <c r="E526" s="284"/>
      <c r="F526" s="282">
        <f>F528+F527</f>
        <v>1556884</v>
      </c>
      <c r="G526" s="371">
        <f>G528+G527</f>
        <v>1556884</v>
      </c>
    </row>
    <row r="527" spans="1:7" ht="32.25" customHeight="1">
      <c r="A527" s="343" t="s">
        <v>516</v>
      </c>
      <c r="B527" s="275">
        <v>10</v>
      </c>
      <c r="C527" s="275" t="s">
        <v>1054</v>
      </c>
      <c r="D527" s="275" t="s">
        <v>562</v>
      </c>
      <c r="E527" s="284" t="s">
        <v>517</v>
      </c>
      <c r="F527" s="282">
        <v>280</v>
      </c>
      <c r="G527" s="371">
        <v>280</v>
      </c>
    </row>
    <row r="528" spans="1:7" ht="20.25" customHeight="1">
      <c r="A528" s="415" t="s">
        <v>550</v>
      </c>
      <c r="B528" s="275">
        <v>10</v>
      </c>
      <c r="C528" s="275" t="s">
        <v>1054</v>
      </c>
      <c r="D528" s="275" t="s">
        <v>562</v>
      </c>
      <c r="E528" s="284" t="s">
        <v>551</v>
      </c>
      <c r="F528" s="282">
        <v>1556604</v>
      </c>
      <c r="G528" s="371">
        <v>1556604</v>
      </c>
    </row>
    <row r="529" spans="1:7" ht="58.5" customHeight="1">
      <c r="A529" s="386" t="s">
        <v>579</v>
      </c>
      <c r="B529" s="275">
        <v>10</v>
      </c>
      <c r="C529" s="275" t="s">
        <v>1054</v>
      </c>
      <c r="D529" s="275" t="s">
        <v>580</v>
      </c>
      <c r="E529" s="284"/>
      <c r="F529" s="282">
        <f>F531</f>
        <v>9054167</v>
      </c>
      <c r="G529" s="371">
        <f>G531</f>
        <v>9054167</v>
      </c>
    </row>
    <row r="530" spans="1:7" ht="43.5" customHeight="1">
      <c r="A530" s="373" t="s">
        <v>581</v>
      </c>
      <c r="B530" s="275">
        <v>10</v>
      </c>
      <c r="C530" s="275" t="s">
        <v>1054</v>
      </c>
      <c r="D530" s="275" t="s">
        <v>582</v>
      </c>
      <c r="E530" s="284"/>
      <c r="F530" s="282">
        <f>F531</f>
        <v>9054167</v>
      </c>
      <c r="G530" s="371">
        <f>G531</f>
        <v>9054167</v>
      </c>
    </row>
    <row r="531" spans="1:7" ht="30.75" customHeight="1">
      <c r="A531" s="372" t="s">
        <v>583</v>
      </c>
      <c r="B531" s="275">
        <v>10</v>
      </c>
      <c r="C531" s="275" t="s">
        <v>1054</v>
      </c>
      <c r="D531" s="275" t="s">
        <v>584</v>
      </c>
      <c r="E531" s="284"/>
      <c r="F531" s="282">
        <f>F532</f>
        <v>9054167</v>
      </c>
      <c r="G531" s="371">
        <f>G532</f>
        <v>9054167</v>
      </c>
    </row>
    <row r="532" spans="1:7" ht="19.5" customHeight="1">
      <c r="A532" s="415" t="s">
        <v>550</v>
      </c>
      <c r="B532" s="275">
        <v>10</v>
      </c>
      <c r="C532" s="275" t="s">
        <v>1054</v>
      </c>
      <c r="D532" s="275" t="s">
        <v>584</v>
      </c>
      <c r="E532" s="284" t="s">
        <v>551</v>
      </c>
      <c r="F532" s="282">
        <v>9054167</v>
      </c>
      <c r="G532" s="371">
        <v>9054167</v>
      </c>
    </row>
    <row r="533" spans="1:7" ht="28.5" customHeight="1">
      <c r="A533" s="370" t="s">
        <v>1136</v>
      </c>
      <c r="B533" s="275">
        <v>10</v>
      </c>
      <c r="C533" s="275" t="s">
        <v>1054</v>
      </c>
      <c r="D533" s="309" t="s">
        <v>612</v>
      </c>
      <c r="E533" s="284"/>
      <c r="F533" s="282">
        <f>F534</f>
        <v>2080810</v>
      </c>
      <c r="G533" s="371">
        <f>G534</f>
        <v>2080810</v>
      </c>
    </row>
    <row r="534" spans="1:7" s="308" customFormat="1" ht="45" customHeight="1">
      <c r="A534" s="406" t="s">
        <v>613</v>
      </c>
      <c r="B534" s="275">
        <v>10</v>
      </c>
      <c r="C534" s="275" t="s">
        <v>1054</v>
      </c>
      <c r="D534" s="309" t="s">
        <v>614</v>
      </c>
      <c r="E534" s="284"/>
      <c r="F534" s="282">
        <f>F536</f>
        <v>2080810</v>
      </c>
      <c r="G534" s="371">
        <f>G536</f>
        <v>2080810</v>
      </c>
    </row>
    <row r="535" spans="1:7" ht="30" customHeight="1">
      <c r="A535" s="373" t="s">
        <v>615</v>
      </c>
      <c r="B535" s="275">
        <v>10</v>
      </c>
      <c r="C535" s="275" t="s">
        <v>1054</v>
      </c>
      <c r="D535" s="309" t="s">
        <v>616</v>
      </c>
      <c r="E535" s="284"/>
      <c r="F535" s="282">
        <f>F536</f>
        <v>2080810</v>
      </c>
      <c r="G535" s="371">
        <f>G536</f>
        <v>2080810</v>
      </c>
    </row>
    <row r="536" spans="1:7" ht="14.25" customHeight="1">
      <c r="A536" s="419" t="s">
        <v>617</v>
      </c>
      <c r="B536" s="275">
        <v>10</v>
      </c>
      <c r="C536" s="275" t="s">
        <v>1054</v>
      </c>
      <c r="D536" s="309" t="s">
        <v>618</v>
      </c>
      <c r="E536" s="284"/>
      <c r="F536" s="282">
        <f>F538+F537</f>
        <v>2080810</v>
      </c>
      <c r="G536" s="371">
        <f>G538+G537</f>
        <v>2080810</v>
      </c>
    </row>
    <row r="537" spans="1:7" ht="48" customHeight="1" hidden="1">
      <c r="A537" s="343" t="s">
        <v>516</v>
      </c>
      <c r="B537" s="275">
        <v>10</v>
      </c>
      <c r="C537" s="275" t="s">
        <v>1054</v>
      </c>
      <c r="D537" s="309" t="s">
        <v>618</v>
      </c>
      <c r="E537" s="284" t="s">
        <v>517</v>
      </c>
      <c r="F537" s="282"/>
      <c r="G537" s="371"/>
    </row>
    <row r="538" spans="1:7" ht="16.5" customHeight="1">
      <c r="A538" s="415" t="s">
        <v>550</v>
      </c>
      <c r="B538" s="275">
        <v>10</v>
      </c>
      <c r="C538" s="275" t="s">
        <v>1054</v>
      </c>
      <c r="D538" s="309" t="s">
        <v>618</v>
      </c>
      <c r="E538" s="284" t="s">
        <v>551</v>
      </c>
      <c r="F538" s="282">
        <v>2080810</v>
      </c>
      <c r="G538" s="371">
        <v>2080810</v>
      </c>
    </row>
    <row r="539" spans="1:7" ht="13.5">
      <c r="A539" s="370" t="s">
        <v>1137</v>
      </c>
      <c r="B539" s="275" t="s">
        <v>1065</v>
      </c>
      <c r="C539" s="275"/>
      <c r="D539" s="275"/>
      <c r="E539" s="284"/>
      <c r="F539" s="282">
        <f aca="true" t="shared" si="23" ref="F539:G543">F540</f>
        <v>100000</v>
      </c>
      <c r="G539" s="371">
        <f t="shared" si="23"/>
        <v>100000</v>
      </c>
    </row>
    <row r="540" spans="1:7" ht="13.5">
      <c r="A540" s="370" t="s">
        <v>1138</v>
      </c>
      <c r="B540" s="275" t="s">
        <v>1065</v>
      </c>
      <c r="C540" s="275" t="s">
        <v>1047</v>
      </c>
      <c r="D540" s="275"/>
      <c r="E540" s="284"/>
      <c r="F540" s="282">
        <f t="shared" si="23"/>
        <v>100000</v>
      </c>
      <c r="G540" s="371">
        <f t="shared" si="23"/>
        <v>100000</v>
      </c>
    </row>
    <row r="541" spans="1:7" ht="55.5" customHeight="1">
      <c r="A541" s="373" t="s">
        <v>771</v>
      </c>
      <c r="B541" s="275" t="s">
        <v>1065</v>
      </c>
      <c r="C541" s="275" t="s">
        <v>1047</v>
      </c>
      <c r="D541" s="289" t="s">
        <v>772</v>
      </c>
      <c r="E541" s="284"/>
      <c r="F541" s="282">
        <f t="shared" si="23"/>
        <v>100000</v>
      </c>
      <c r="G541" s="371">
        <f t="shared" si="23"/>
        <v>100000</v>
      </c>
    </row>
    <row r="542" spans="1:7" s="308" customFormat="1" ht="72.75" customHeight="1">
      <c r="A542" s="386" t="s">
        <v>779</v>
      </c>
      <c r="B542" s="275" t="s">
        <v>1065</v>
      </c>
      <c r="C542" s="275" t="s">
        <v>1047</v>
      </c>
      <c r="D542" s="289" t="s">
        <v>780</v>
      </c>
      <c r="E542" s="284"/>
      <c r="F542" s="282">
        <f t="shared" si="23"/>
        <v>100000</v>
      </c>
      <c r="G542" s="371">
        <f t="shared" si="23"/>
        <v>100000</v>
      </c>
    </row>
    <row r="543" spans="1:7" ht="42" customHeight="1">
      <c r="A543" s="386" t="s">
        <v>781</v>
      </c>
      <c r="B543" s="275" t="s">
        <v>1065</v>
      </c>
      <c r="C543" s="275" t="s">
        <v>1047</v>
      </c>
      <c r="D543" s="289" t="s">
        <v>782</v>
      </c>
      <c r="E543" s="284"/>
      <c r="F543" s="282">
        <f t="shared" si="23"/>
        <v>100000</v>
      </c>
      <c r="G543" s="371">
        <f t="shared" si="23"/>
        <v>100000</v>
      </c>
    </row>
    <row r="544" spans="1:7" ht="45.75" customHeight="1">
      <c r="A544" s="370" t="s">
        <v>783</v>
      </c>
      <c r="B544" s="275" t="s">
        <v>1065</v>
      </c>
      <c r="C544" s="275" t="s">
        <v>1047</v>
      </c>
      <c r="D544" s="289" t="s">
        <v>784</v>
      </c>
      <c r="E544" s="284"/>
      <c r="F544" s="282">
        <f>F546+F545</f>
        <v>100000</v>
      </c>
      <c r="G544" s="371">
        <f>G546+G545</f>
        <v>100000</v>
      </c>
    </row>
    <row r="545" spans="1:7" ht="48" customHeight="1" hidden="1">
      <c r="A545" s="343" t="s">
        <v>522</v>
      </c>
      <c r="B545" s="275" t="s">
        <v>1065</v>
      </c>
      <c r="C545" s="275" t="s">
        <v>1047</v>
      </c>
      <c r="D545" s="289" t="s">
        <v>784</v>
      </c>
      <c r="E545" s="284" t="s">
        <v>523</v>
      </c>
      <c r="F545" s="282">
        <f>3195-3195</f>
        <v>0</v>
      </c>
      <c r="G545" s="371">
        <f>3195-3195</f>
        <v>0</v>
      </c>
    </row>
    <row r="546" spans="1:7" ht="25.5" customHeight="1">
      <c r="A546" s="343" t="s">
        <v>516</v>
      </c>
      <c r="B546" s="275" t="s">
        <v>1065</v>
      </c>
      <c r="C546" s="275" t="s">
        <v>1047</v>
      </c>
      <c r="D546" s="289" t="s">
        <v>784</v>
      </c>
      <c r="E546" s="284" t="s">
        <v>517</v>
      </c>
      <c r="F546" s="282">
        <v>100000</v>
      </c>
      <c r="G546" s="371">
        <v>100000</v>
      </c>
    </row>
    <row r="547" spans="1:7" ht="48" customHeight="1" hidden="1">
      <c r="A547" s="386" t="s">
        <v>785</v>
      </c>
      <c r="B547" s="275" t="s">
        <v>1065</v>
      </c>
      <c r="C547" s="275" t="s">
        <v>1047</v>
      </c>
      <c r="D547" s="289" t="s">
        <v>786</v>
      </c>
      <c r="E547" s="284"/>
      <c r="F547" s="282"/>
      <c r="G547" s="371"/>
    </row>
    <row r="548" spans="1:7" ht="48" customHeight="1" hidden="1">
      <c r="A548" s="370" t="s">
        <v>783</v>
      </c>
      <c r="B548" s="275" t="s">
        <v>1065</v>
      </c>
      <c r="C548" s="275" t="s">
        <v>1047</v>
      </c>
      <c r="D548" s="289" t="s">
        <v>1139</v>
      </c>
      <c r="E548" s="284"/>
      <c r="F548" s="282">
        <f>F549</f>
        <v>0</v>
      </c>
      <c r="G548" s="371">
        <f>G549</f>
        <v>0</v>
      </c>
    </row>
    <row r="549" spans="1:7" ht="48" customHeight="1" hidden="1">
      <c r="A549" s="343" t="s">
        <v>516</v>
      </c>
      <c r="B549" s="275" t="s">
        <v>1065</v>
      </c>
      <c r="C549" s="275" t="s">
        <v>1047</v>
      </c>
      <c r="D549" s="289" t="s">
        <v>1139</v>
      </c>
      <c r="E549" s="284" t="s">
        <v>517</v>
      </c>
      <c r="F549" s="282"/>
      <c r="G549" s="371"/>
    </row>
    <row r="550" spans="1:7" ht="21" customHeight="1">
      <c r="A550" s="370" t="s">
        <v>1140</v>
      </c>
      <c r="B550" s="275" t="s">
        <v>1067</v>
      </c>
      <c r="C550" s="275"/>
      <c r="D550" s="275"/>
      <c r="E550" s="284"/>
      <c r="F550" s="282">
        <f aca="true" t="shared" si="24" ref="F550:G552">F551</f>
        <v>1868.22</v>
      </c>
      <c r="G550" s="371">
        <f t="shared" si="24"/>
        <v>0</v>
      </c>
    </row>
    <row r="551" spans="1:7" ht="20.25" customHeight="1">
      <c r="A551" s="370" t="s">
        <v>1141</v>
      </c>
      <c r="B551" s="275" t="s">
        <v>1067</v>
      </c>
      <c r="C551" s="275" t="s">
        <v>1047</v>
      </c>
      <c r="D551" s="275"/>
      <c r="E551" s="284"/>
      <c r="F551" s="282">
        <f t="shared" si="24"/>
        <v>1868.22</v>
      </c>
      <c r="G551" s="371">
        <f t="shared" si="24"/>
        <v>0</v>
      </c>
    </row>
    <row r="552" spans="1:7" ht="48.75" customHeight="1">
      <c r="A552" s="376" t="s">
        <v>1142</v>
      </c>
      <c r="B552" s="275" t="s">
        <v>1067</v>
      </c>
      <c r="C552" s="275" t="s">
        <v>1047</v>
      </c>
      <c r="D552" s="298" t="s">
        <v>888</v>
      </c>
      <c r="E552" s="284"/>
      <c r="F552" s="282">
        <f t="shared" si="24"/>
        <v>1868.22</v>
      </c>
      <c r="G552" s="371">
        <f t="shared" si="24"/>
        <v>0</v>
      </c>
    </row>
    <row r="553" spans="1:7" s="308" customFormat="1" ht="56.25" customHeight="1">
      <c r="A553" s="367" t="s">
        <v>889</v>
      </c>
      <c r="B553" s="275" t="s">
        <v>1067</v>
      </c>
      <c r="C553" s="275" t="s">
        <v>1047</v>
      </c>
      <c r="D553" s="298" t="s">
        <v>890</v>
      </c>
      <c r="E553" s="284"/>
      <c r="F553" s="282">
        <f>F555</f>
        <v>1868.22</v>
      </c>
      <c r="G553" s="371">
        <f>G555</f>
        <v>0</v>
      </c>
    </row>
    <row r="554" spans="1:7" s="308" customFormat="1" ht="41.25" customHeight="1">
      <c r="A554" s="367" t="s">
        <v>891</v>
      </c>
      <c r="B554" s="275" t="s">
        <v>1067</v>
      </c>
      <c r="C554" s="275" t="s">
        <v>1047</v>
      </c>
      <c r="D554" s="298" t="s">
        <v>892</v>
      </c>
      <c r="E554" s="284"/>
      <c r="F554" s="282">
        <f>F555</f>
        <v>1868.22</v>
      </c>
      <c r="G554" s="371">
        <f>G555</f>
        <v>0</v>
      </c>
    </row>
    <row r="555" spans="1:7" ht="13.5">
      <c r="A555" s="370" t="s">
        <v>893</v>
      </c>
      <c r="B555" s="275" t="s">
        <v>1067</v>
      </c>
      <c r="C555" s="275" t="s">
        <v>1047</v>
      </c>
      <c r="D555" s="298" t="s">
        <v>894</v>
      </c>
      <c r="E555" s="284"/>
      <c r="F555" s="282">
        <f>F556</f>
        <v>1868.22</v>
      </c>
      <c r="G555" s="371">
        <f>G556</f>
        <v>0</v>
      </c>
    </row>
    <row r="556" spans="1:7" ht="13.5">
      <c r="A556" s="367" t="s">
        <v>895</v>
      </c>
      <c r="B556" s="275" t="s">
        <v>1067</v>
      </c>
      <c r="C556" s="275" t="s">
        <v>1047</v>
      </c>
      <c r="D556" s="298" t="s">
        <v>894</v>
      </c>
      <c r="E556" s="284" t="s">
        <v>896</v>
      </c>
      <c r="F556" s="282">
        <v>1868.22</v>
      </c>
      <c r="G556" s="371"/>
    </row>
    <row r="557" spans="1:7" ht="29.25" customHeight="1">
      <c r="A557" s="370" t="s">
        <v>1143</v>
      </c>
      <c r="B557" s="275" t="s">
        <v>1144</v>
      </c>
      <c r="C557" s="275"/>
      <c r="D557" s="275"/>
      <c r="E557" s="284"/>
      <c r="F557" s="282">
        <f aca="true" t="shared" si="25" ref="F557:G562">F558</f>
        <v>6680765</v>
      </c>
      <c r="G557" s="371">
        <f t="shared" si="25"/>
        <v>6214665</v>
      </c>
    </row>
    <row r="558" spans="1:7" ht="32.25" customHeight="1">
      <c r="A558" s="370" t="s">
        <v>1145</v>
      </c>
      <c r="B558" s="275" t="s">
        <v>1144</v>
      </c>
      <c r="C558" s="275" t="s">
        <v>1047</v>
      </c>
      <c r="D558" s="275"/>
      <c r="E558" s="284"/>
      <c r="F558" s="282">
        <f t="shared" si="25"/>
        <v>6680765</v>
      </c>
      <c r="G558" s="371">
        <f t="shared" si="25"/>
        <v>6214665</v>
      </c>
    </row>
    <row r="559" spans="1:7" ht="41.25" customHeight="1">
      <c r="A559" s="376" t="s">
        <v>887</v>
      </c>
      <c r="B559" s="275" t="s">
        <v>1144</v>
      </c>
      <c r="C559" s="275" t="s">
        <v>1047</v>
      </c>
      <c r="D559" s="275" t="s">
        <v>888</v>
      </c>
      <c r="E559" s="284"/>
      <c r="F559" s="282">
        <f t="shared" si="25"/>
        <v>6680765</v>
      </c>
      <c r="G559" s="371">
        <f t="shared" si="25"/>
        <v>6214665</v>
      </c>
    </row>
    <row r="560" spans="1:7" s="308" customFormat="1" ht="53.25" customHeight="1">
      <c r="A560" s="367" t="s">
        <v>897</v>
      </c>
      <c r="B560" s="275" t="s">
        <v>1144</v>
      </c>
      <c r="C560" s="275" t="s">
        <v>1047</v>
      </c>
      <c r="D560" s="275" t="s">
        <v>898</v>
      </c>
      <c r="E560" s="284"/>
      <c r="F560" s="282">
        <f t="shared" si="25"/>
        <v>6680765</v>
      </c>
      <c r="G560" s="371">
        <f t="shared" si="25"/>
        <v>6214665</v>
      </c>
    </row>
    <row r="561" spans="1:7" ht="36" customHeight="1">
      <c r="A561" s="376" t="s">
        <v>899</v>
      </c>
      <c r="B561" s="275" t="s">
        <v>1144</v>
      </c>
      <c r="C561" s="275" t="s">
        <v>1047</v>
      </c>
      <c r="D561" s="275" t="s">
        <v>900</v>
      </c>
      <c r="E561" s="284"/>
      <c r="F561" s="282">
        <f t="shared" si="25"/>
        <v>6680765</v>
      </c>
      <c r="G561" s="371">
        <f t="shared" si="25"/>
        <v>6214665</v>
      </c>
    </row>
    <row r="562" spans="1:7" ht="39">
      <c r="A562" s="375" t="s">
        <v>901</v>
      </c>
      <c r="B562" s="275" t="s">
        <v>1144</v>
      </c>
      <c r="C562" s="275" t="s">
        <v>1047</v>
      </c>
      <c r="D562" s="275" t="s">
        <v>902</v>
      </c>
      <c r="E562" s="284"/>
      <c r="F562" s="282">
        <f t="shared" si="25"/>
        <v>6680765</v>
      </c>
      <c r="G562" s="371">
        <f t="shared" si="25"/>
        <v>6214665</v>
      </c>
    </row>
    <row r="563" spans="1:7" ht="14.25" thickBot="1">
      <c r="A563" s="420" t="s">
        <v>713</v>
      </c>
      <c r="B563" s="421" t="s">
        <v>1144</v>
      </c>
      <c r="C563" s="421" t="s">
        <v>1047</v>
      </c>
      <c r="D563" s="421" t="s">
        <v>902</v>
      </c>
      <c r="E563" s="422" t="s">
        <v>714</v>
      </c>
      <c r="F563" s="423">
        <v>6680765</v>
      </c>
      <c r="G563" s="424">
        <v>6214665</v>
      </c>
    </row>
    <row r="564" spans="2:7" ht="13.5">
      <c r="B564" s="263"/>
      <c r="C564" s="263"/>
      <c r="D564" s="263"/>
      <c r="E564" s="425"/>
      <c r="F564" s="426"/>
      <c r="G564" s="426"/>
    </row>
  </sheetData>
  <sheetProtection/>
  <mergeCells count="11">
    <mergeCell ref="D8:D9"/>
    <mergeCell ref="E8:E9"/>
    <mergeCell ref="F8:F9"/>
    <mergeCell ref="G8:G9"/>
    <mergeCell ref="D2:G2"/>
    <mergeCell ref="D3:G3"/>
    <mergeCell ref="D4:G4"/>
    <mergeCell ref="A5:G5"/>
    <mergeCell ref="A8:A9"/>
    <mergeCell ref="B8:B9"/>
    <mergeCell ref="C8:C9"/>
  </mergeCells>
  <hyperlinks>
    <hyperlink ref="A249" r:id="rId1" display="consultantplus://offline/ref=C6EF3AE28B6C46D1117CBBA251A07B11C6C7C5768D606C8B0E322DA1BBA42282C9440EEF08E6CC43400230U6VFM"/>
  </hyperlink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5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4"/>
  <sheetViews>
    <sheetView view="pageBreakPreview" zoomScale="60" zoomScalePageLayoutView="0" workbookViewId="0" topLeftCell="A138">
      <selection activeCell="I151" sqref="I151:I152"/>
    </sheetView>
  </sheetViews>
  <sheetFormatPr defaultColWidth="9.140625" defaultRowHeight="15"/>
  <cols>
    <col min="1" max="1" width="64.8515625" style="248" customWidth="1"/>
    <col min="2" max="2" width="5.140625" style="360" customWidth="1"/>
    <col min="3" max="3" width="4.8515625" style="360" customWidth="1"/>
    <col min="4" max="4" width="5.00390625" style="360" customWidth="1"/>
    <col min="5" max="5" width="17.140625" style="360" customWidth="1"/>
    <col min="6" max="6" width="6.00390625" style="354" customWidth="1"/>
    <col min="7" max="7" width="16.7109375" style="426" hidden="1" customWidth="1"/>
    <col min="8" max="8" width="13.7109375" style="434" hidden="1" customWidth="1"/>
    <col min="9" max="9" width="18.7109375" style="426" customWidth="1"/>
    <col min="10" max="10" width="15.421875" style="252" bestFit="1" customWidth="1"/>
    <col min="11" max="11" width="20.00390625" style="252" customWidth="1"/>
    <col min="12" max="12" width="13.8515625" style="252" bestFit="1" customWidth="1"/>
    <col min="13" max="16384" width="9.140625" style="252" customWidth="1"/>
  </cols>
  <sheetData>
    <row r="1" spans="2:8" ht="13.5">
      <c r="B1" s="250" t="s">
        <v>1177</v>
      </c>
      <c r="D1" s="250"/>
      <c r="E1" s="250"/>
      <c r="F1" s="352"/>
      <c r="H1" s="429"/>
    </row>
    <row r="2" spans="2:8" ht="15.75" customHeight="1">
      <c r="B2" s="250" t="s">
        <v>491</v>
      </c>
      <c r="C2" s="250"/>
      <c r="D2" s="250"/>
      <c r="E2" s="250"/>
      <c r="F2" s="352"/>
      <c r="H2" s="266"/>
    </row>
    <row r="3" spans="2:8" ht="15">
      <c r="B3" s="255" t="s">
        <v>492</v>
      </c>
      <c r="C3" s="255"/>
      <c r="D3" s="255"/>
      <c r="E3" s="430"/>
      <c r="F3" s="431"/>
      <c r="H3" s="266"/>
    </row>
    <row r="4" spans="1:8" ht="14.25" customHeight="1">
      <c r="A4" s="256"/>
      <c r="B4" s="255" t="s">
        <v>1178</v>
      </c>
      <c r="C4" s="255"/>
      <c r="D4" s="255"/>
      <c r="E4" s="430"/>
      <c r="F4" s="431"/>
      <c r="H4" s="266"/>
    </row>
    <row r="5" spans="1:9" ht="30" customHeight="1">
      <c r="A5" s="258"/>
      <c r="B5" s="603" t="s">
        <v>1179</v>
      </c>
      <c r="C5" s="603"/>
      <c r="D5" s="603"/>
      <c r="E5" s="603"/>
      <c r="F5" s="603"/>
      <c r="G5" s="603"/>
      <c r="H5" s="603"/>
      <c r="I5" s="603"/>
    </row>
    <row r="6" spans="1:9" ht="27" customHeight="1">
      <c r="A6" s="258"/>
      <c r="B6" s="583" t="s">
        <v>1180</v>
      </c>
      <c r="C6" s="583"/>
      <c r="D6" s="583"/>
      <c r="E6" s="583"/>
      <c r="F6" s="583"/>
      <c r="G6" s="583"/>
      <c r="H6" s="583"/>
      <c r="I6" s="583"/>
    </row>
    <row r="7" spans="1:9" ht="12.75">
      <c r="A7" s="258"/>
      <c r="B7" s="260"/>
      <c r="C7" s="260"/>
      <c r="D7" s="260"/>
      <c r="E7" s="260"/>
      <c r="F7" s="260"/>
      <c r="G7" s="432"/>
      <c r="H7" s="260"/>
      <c r="I7" s="260"/>
    </row>
    <row r="8" spans="1:9" ht="41.25" customHeight="1">
      <c r="A8" s="604" t="s">
        <v>1220</v>
      </c>
      <c r="B8" s="604"/>
      <c r="C8" s="604"/>
      <c r="D8" s="604"/>
      <c r="E8" s="604"/>
      <c r="F8" s="604"/>
      <c r="G8" s="604"/>
      <c r="H8" s="604"/>
      <c r="I8" s="604"/>
    </row>
    <row r="9" spans="6:9" ht="18.75" customHeight="1" thickBot="1">
      <c r="F9" s="361"/>
      <c r="G9" s="433"/>
      <c r="I9" s="265" t="s">
        <v>497</v>
      </c>
    </row>
    <row r="10" spans="1:11" ht="27.75" customHeight="1">
      <c r="A10" s="585" t="s">
        <v>498</v>
      </c>
      <c r="B10" s="587" t="s">
        <v>1150</v>
      </c>
      <c r="C10" s="587" t="s">
        <v>1043</v>
      </c>
      <c r="D10" s="587" t="s">
        <v>1044</v>
      </c>
      <c r="E10" s="589" t="s">
        <v>499</v>
      </c>
      <c r="F10" s="589" t="s">
        <v>500</v>
      </c>
      <c r="G10" s="599" t="s">
        <v>1181</v>
      </c>
      <c r="H10" s="593" t="s">
        <v>1152</v>
      </c>
      <c r="I10" s="601" t="s">
        <v>1182</v>
      </c>
      <c r="K10" s="368"/>
    </row>
    <row r="11" spans="1:9" ht="3.75" customHeight="1" thickBot="1">
      <c r="A11" s="586"/>
      <c r="B11" s="588"/>
      <c r="C11" s="588"/>
      <c r="D11" s="588"/>
      <c r="E11" s="590"/>
      <c r="F11" s="590"/>
      <c r="G11" s="600"/>
      <c r="H11" s="594"/>
      <c r="I11" s="602"/>
    </row>
    <row r="12" spans="1:9" s="273" customFormat="1" ht="12.75" customHeight="1">
      <c r="A12" s="362">
        <v>1</v>
      </c>
      <c r="B12" s="463">
        <v>2</v>
      </c>
      <c r="C12" s="463" t="s">
        <v>504</v>
      </c>
      <c r="D12" s="463" t="s">
        <v>505</v>
      </c>
      <c r="E12" s="464" t="s">
        <v>1045</v>
      </c>
      <c r="F12" s="464" t="s">
        <v>1156</v>
      </c>
      <c r="G12" s="465"/>
      <c r="H12" s="465"/>
      <c r="I12" s="466" t="s">
        <v>1157</v>
      </c>
    </row>
    <row r="13" spans="1:12" s="280" customFormat="1" ht="21">
      <c r="A13" s="467" t="s">
        <v>506</v>
      </c>
      <c r="B13" s="275"/>
      <c r="C13" s="275"/>
      <c r="D13" s="275"/>
      <c r="E13" s="275"/>
      <c r="F13" s="284"/>
      <c r="G13" s="282">
        <f>G14+G393+G554</f>
        <v>645105637.8899999</v>
      </c>
      <c r="H13" s="282">
        <f>H14+H393+H554</f>
        <v>17437130.47</v>
      </c>
      <c r="I13" s="371">
        <f>G13+H13</f>
        <v>662542768.3599999</v>
      </c>
      <c r="J13" s="252"/>
      <c r="L13" s="369"/>
    </row>
    <row r="14" spans="1:10" ht="16.5" customHeight="1">
      <c r="A14" s="467" t="s">
        <v>1158</v>
      </c>
      <c r="B14" s="275" t="s">
        <v>1159</v>
      </c>
      <c r="C14" s="275"/>
      <c r="D14" s="275"/>
      <c r="E14" s="275"/>
      <c r="F14" s="284"/>
      <c r="G14" s="282">
        <f>G15+G178+G194+G264+G313+G329+G337+G366+G379+G386+G307</f>
        <v>172558520.45</v>
      </c>
      <c r="H14" s="282">
        <f>H15+H178+H194+H264+H313+H329+H337+H366+H379+H386+H307</f>
        <v>150000</v>
      </c>
      <c r="I14" s="371">
        <f>G14+H14</f>
        <v>172708520.45</v>
      </c>
      <c r="J14" s="306"/>
    </row>
    <row r="15" spans="1:11" ht="13.5">
      <c r="A15" s="370" t="s">
        <v>1046</v>
      </c>
      <c r="B15" s="275" t="s">
        <v>1159</v>
      </c>
      <c r="C15" s="275" t="s">
        <v>1047</v>
      </c>
      <c r="D15" s="275"/>
      <c r="E15" s="275"/>
      <c r="F15" s="284"/>
      <c r="G15" s="282">
        <f>G16+G21+G30+G88+G93+G76+G71+G83</f>
        <v>92693477.2</v>
      </c>
      <c r="H15" s="442"/>
      <c r="I15" s="371">
        <f aca="true" t="shared" si="0" ref="I15:I90">G15+H15</f>
        <v>92693477.2</v>
      </c>
      <c r="K15" s="306"/>
    </row>
    <row r="16" spans="1:9" ht="28.5" customHeight="1">
      <c r="A16" s="372" t="s">
        <v>1048</v>
      </c>
      <c r="B16" s="275" t="s">
        <v>1159</v>
      </c>
      <c r="C16" s="275" t="s">
        <v>1047</v>
      </c>
      <c r="D16" s="275" t="s">
        <v>1049</v>
      </c>
      <c r="E16" s="275"/>
      <c r="F16" s="284"/>
      <c r="G16" s="282">
        <f>G18</f>
        <v>1552000</v>
      </c>
      <c r="H16" s="442"/>
      <c r="I16" s="371">
        <f t="shared" si="0"/>
        <v>1552000</v>
      </c>
    </row>
    <row r="17" spans="1:9" ht="19.5" customHeight="1">
      <c r="A17" s="343" t="s">
        <v>966</v>
      </c>
      <c r="B17" s="275" t="s">
        <v>1159</v>
      </c>
      <c r="C17" s="275" t="s">
        <v>1047</v>
      </c>
      <c r="D17" s="275" t="s">
        <v>1049</v>
      </c>
      <c r="E17" s="302" t="s">
        <v>967</v>
      </c>
      <c r="F17" s="284"/>
      <c r="G17" s="282">
        <f>G18</f>
        <v>1552000</v>
      </c>
      <c r="H17" s="442"/>
      <c r="I17" s="371">
        <f t="shared" si="0"/>
        <v>1552000</v>
      </c>
    </row>
    <row r="18" spans="1:9" ht="17.25" customHeight="1">
      <c r="A18" s="370" t="s">
        <v>968</v>
      </c>
      <c r="B18" s="275" t="s">
        <v>1159</v>
      </c>
      <c r="C18" s="275" t="s">
        <v>1047</v>
      </c>
      <c r="D18" s="275" t="s">
        <v>1049</v>
      </c>
      <c r="E18" s="302" t="s">
        <v>969</v>
      </c>
      <c r="F18" s="284"/>
      <c r="G18" s="282">
        <f>G20</f>
        <v>1552000</v>
      </c>
      <c r="H18" s="442"/>
      <c r="I18" s="371">
        <f t="shared" si="0"/>
        <v>1552000</v>
      </c>
    </row>
    <row r="19" spans="1:9" ht="30" customHeight="1">
      <c r="A19" s="372" t="s">
        <v>970</v>
      </c>
      <c r="B19" s="275" t="s">
        <v>1159</v>
      </c>
      <c r="C19" s="275" t="s">
        <v>1047</v>
      </c>
      <c r="D19" s="275" t="s">
        <v>1049</v>
      </c>
      <c r="E19" s="302" t="s">
        <v>971</v>
      </c>
      <c r="F19" s="284"/>
      <c r="G19" s="282">
        <f>G20</f>
        <v>1552000</v>
      </c>
      <c r="H19" s="442"/>
      <c r="I19" s="371">
        <f t="shared" si="0"/>
        <v>1552000</v>
      </c>
    </row>
    <row r="20" spans="1:9" ht="41.25" customHeight="1">
      <c r="A20" s="343" t="s">
        <v>522</v>
      </c>
      <c r="B20" s="275" t="s">
        <v>1159</v>
      </c>
      <c r="C20" s="275" t="s">
        <v>1047</v>
      </c>
      <c r="D20" s="275" t="s">
        <v>1049</v>
      </c>
      <c r="E20" s="302" t="s">
        <v>971</v>
      </c>
      <c r="F20" s="303" t="s">
        <v>523</v>
      </c>
      <c r="G20" s="282">
        <f>1537000+15000</f>
        <v>1552000</v>
      </c>
      <c r="H20" s="442"/>
      <c r="I20" s="371">
        <f t="shared" si="0"/>
        <v>1552000</v>
      </c>
    </row>
    <row r="21" spans="1:9" ht="42" customHeight="1">
      <c r="A21" s="372" t="s">
        <v>1050</v>
      </c>
      <c r="B21" s="275" t="s">
        <v>1159</v>
      </c>
      <c r="C21" s="275" t="s">
        <v>1047</v>
      </c>
      <c r="D21" s="275" t="s">
        <v>1051</v>
      </c>
      <c r="E21" s="275"/>
      <c r="F21" s="284"/>
      <c r="G21" s="282">
        <f>G22</f>
        <v>2011315</v>
      </c>
      <c r="H21" s="442"/>
      <c r="I21" s="371">
        <f t="shared" si="0"/>
        <v>2011315</v>
      </c>
    </row>
    <row r="22" spans="1:9" ht="30.75" customHeight="1">
      <c r="A22" s="343" t="s">
        <v>982</v>
      </c>
      <c r="B22" s="275" t="s">
        <v>1159</v>
      </c>
      <c r="C22" s="275" t="s">
        <v>1047</v>
      </c>
      <c r="D22" s="275" t="s">
        <v>1051</v>
      </c>
      <c r="E22" s="302" t="s">
        <v>983</v>
      </c>
      <c r="F22" s="284"/>
      <c r="G22" s="282">
        <f>G23+G26</f>
        <v>2011315</v>
      </c>
      <c r="H22" s="442"/>
      <c r="I22" s="371">
        <f t="shared" si="0"/>
        <v>2011315</v>
      </c>
    </row>
    <row r="23" spans="1:9" ht="18.75" customHeight="1">
      <c r="A23" s="370" t="s">
        <v>984</v>
      </c>
      <c r="B23" s="275" t="s">
        <v>1159</v>
      </c>
      <c r="C23" s="275" t="s">
        <v>1047</v>
      </c>
      <c r="D23" s="275" t="s">
        <v>1051</v>
      </c>
      <c r="E23" s="302" t="s">
        <v>985</v>
      </c>
      <c r="F23" s="284"/>
      <c r="G23" s="282">
        <f>G24</f>
        <v>890000</v>
      </c>
      <c r="H23" s="442"/>
      <c r="I23" s="371">
        <f t="shared" si="0"/>
        <v>890000</v>
      </c>
    </row>
    <row r="24" spans="1:9" ht="26.25">
      <c r="A24" s="372" t="s">
        <v>970</v>
      </c>
      <c r="B24" s="275" t="s">
        <v>1159</v>
      </c>
      <c r="C24" s="275" t="s">
        <v>1047</v>
      </c>
      <c r="D24" s="275" t="s">
        <v>1051</v>
      </c>
      <c r="E24" s="302" t="s">
        <v>986</v>
      </c>
      <c r="F24" s="303"/>
      <c r="G24" s="282">
        <f>G25</f>
        <v>890000</v>
      </c>
      <c r="H24" s="442"/>
      <c r="I24" s="371">
        <f t="shared" si="0"/>
        <v>890000</v>
      </c>
    </row>
    <row r="25" spans="1:9" ht="44.25" customHeight="1">
      <c r="A25" s="343" t="s">
        <v>522</v>
      </c>
      <c r="B25" s="275" t="s">
        <v>1159</v>
      </c>
      <c r="C25" s="275" t="s">
        <v>1047</v>
      </c>
      <c r="D25" s="275" t="s">
        <v>1051</v>
      </c>
      <c r="E25" s="302" t="s">
        <v>986</v>
      </c>
      <c r="F25" s="303" t="s">
        <v>523</v>
      </c>
      <c r="G25" s="282">
        <f>880000+10000</f>
        <v>890000</v>
      </c>
      <c r="H25" s="442"/>
      <c r="I25" s="371">
        <f t="shared" si="0"/>
        <v>890000</v>
      </c>
    </row>
    <row r="26" spans="1:9" ht="18" customHeight="1">
      <c r="A26" s="370" t="s">
        <v>987</v>
      </c>
      <c r="B26" s="275" t="s">
        <v>1159</v>
      </c>
      <c r="C26" s="275" t="s">
        <v>1047</v>
      </c>
      <c r="D26" s="275" t="s">
        <v>1051</v>
      </c>
      <c r="E26" s="302" t="s">
        <v>988</v>
      </c>
      <c r="F26" s="303"/>
      <c r="G26" s="282">
        <f>G27</f>
        <v>1121315</v>
      </c>
      <c r="H26" s="442"/>
      <c r="I26" s="371">
        <f t="shared" si="0"/>
        <v>1121315</v>
      </c>
    </row>
    <row r="27" spans="1:9" ht="27.75" customHeight="1">
      <c r="A27" s="372" t="s">
        <v>970</v>
      </c>
      <c r="B27" s="275" t="s">
        <v>1159</v>
      </c>
      <c r="C27" s="275" t="s">
        <v>1047</v>
      </c>
      <c r="D27" s="275" t="s">
        <v>1051</v>
      </c>
      <c r="E27" s="302" t="s">
        <v>989</v>
      </c>
      <c r="F27" s="303"/>
      <c r="G27" s="282">
        <f>G28+G29</f>
        <v>1121315</v>
      </c>
      <c r="H27" s="442"/>
      <c r="I27" s="371">
        <f t="shared" si="0"/>
        <v>1121315</v>
      </c>
    </row>
    <row r="28" spans="1:9" ht="39">
      <c r="A28" s="343" t="s">
        <v>522</v>
      </c>
      <c r="B28" s="275" t="s">
        <v>1159</v>
      </c>
      <c r="C28" s="275" t="s">
        <v>1047</v>
      </c>
      <c r="D28" s="275" t="s">
        <v>1051</v>
      </c>
      <c r="E28" s="302" t="s">
        <v>989</v>
      </c>
      <c r="F28" s="303" t="s">
        <v>523</v>
      </c>
      <c r="G28" s="282">
        <f>1062800+22915+10600</f>
        <v>1096315</v>
      </c>
      <c r="H28" s="442"/>
      <c r="I28" s="371">
        <f t="shared" si="0"/>
        <v>1096315</v>
      </c>
    </row>
    <row r="29" spans="1:9" ht="26.25">
      <c r="A29" s="343" t="s">
        <v>516</v>
      </c>
      <c r="B29" s="275" t="s">
        <v>1159</v>
      </c>
      <c r="C29" s="275" t="s">
        <v>1047</v>
      </c>
      <c r="D29" s="275" t="s">
        <v>1051</v>
      </c>
      <c r="E29" s="302" t="s">
        <v>989</v>
      </c>
      <c r="F29" s="303" t="s">
        <v>517</v>
      </c>
      <c r="G29" s="282">
        <f>10000+15000</f>
        <v>25000</v>
      </c>
      <c r="H29" s="442"/>
      <c r="I29" s="371">
        <f t="shared" si="0"/>
        <v>25000</v>
      </c>
    </row>
    <row r="30" spans="1:9" ht="39">
      <c r="A30" s="372" t="s">
        <v>1052</v>
      </c>
      <c r="B30" s="275" t="s">
        <v>1159</v>
      </c>
      <c r="C30" s="275" t="s">
        <v>1053</v>
      </c>
      <c r="D30" s="275" t="s">
        <v>1054</v>
      </c>
      <c r="E30" s="275"/>
      <c r="F30" s="284"/>
      <c r="G30" s="282">
        <f>G31+G48+G63+G57+G42</f>
        <v>20680699</v>
      </c>
      <c r="H30" s="442"/>
      <c r="I30" s="371">
        <f t="shared" si="0"/>
        <v>20680699</v>
      </c>
    </row>
    <row r="31" spans="1:9" ht="42" customHeight="1">
      <c r="A31" s="370" t="s">
        <v>1055</v>
      </c>
      <c r="B31" s="275" t="s">
        <v>1159</v>
      </c>
      <c r="C31" s="275" t="s">
        <v>1053</v>
      </c>
      <c r="D31" s="275" t="s">
        <v>1054</v>
      </c>
      <c r="E31" s="302" t="s">
        <v>556</v>
      </c>
      <c r="F31" s="303"/>
      <c r="G31" s="282">
        <f>G37+G32</f>
        <v>2960000</v>
      </c>
      <c r="H31" s="442"/>
      <c r="I31" s="371">
        <f t="shared" si="0"/>
        <v>2960000</v>
      </c>
    </row>
    <row r="32" spans="1:9" ht="59.25" customHeight="1">
      <c r="A32" s="343" t="s">
        <v>1056</v>
      </c>
      <c r="B32" s="275" t="s">
        <v>1159</v>
      </c>
      <c r="C32" s="443" t="s">
        <v>1047</v>
      </c>
      <c r="D32" s="443" t="s">
        <v>1054</v>
      </c>
      <c r="E32" s="444" t="s">
        <v>580</v>
      </c>
      <c r="F32" s="445"/>
      <c r="G32" s="446">
        <f>G34</f>
        <v>888000</v>
      </c>
      <c r="H32" s="442"/>
      <c r="I32" s="371">
        <f t="shared" si="0"/>
        <v>888000</v>
      </c>
    </row>
    <row r="33" spans="1:9" ht="48" customHeight="1">
      <c r="A33" s="374" t="s">
        <v>585</v>
      </c>
      <c r="B33" s="275" t="s">
        <v>1159</v>
      </c>
      <c r="C33" s="275" t="s">
        <v>1047</v>
      </c>
      <c r="D33" s="275" t="s">
        <v>1054</v>
      </c>
      <c r="E33" s="302" t="s">
        <v>586</v>
      </c>
      <c r="F33" s="303"/>
      <c r="G33" s="282">
        <f>G34</f>
        <v>888000</v>
      </c>
      <c r="H33" s="442"/>
      <c r="I33" s="371">
        <f t="shared" si="0"/>
        <v>888000</v>
      </c>
    </row>
    <row r="34" spans="1:9" ht="42" customHeight="1">
      <c r="A34" s="375" t="s">
        <v>587</v>
      </c>
      <c r="B34" s="275" t="s">
        <v>1159</v>
      </c>
      <c r="C34" s="275" t="s">
        <v>1047</v>
      </c>
      <c r="D34" s="275" t="s">
        <v>1054</v>
      </c>
      <c r="E34" s="302" t="s">
        <v>588</v>
      </c>
      <c r="F34" s="303"/>
      <c r="G34" s="282">
        <f>G35+G36</f>
        <v>888000</v>
      </c>
      <c r="H34" s="442"/>
      <c r="I34" s="371">
        <f t="shared" si="0"/>
        <v>888000</v>
      </c>
    </row>
    <row r="35" spans="1:9" ht="42.75" customHeight="1">
      <c r="A35" s="343" t="s">
        <v>522</v>
      </c>
      <c r="B35" s="275" t="s">
        <v>1159</v>
      </c>
      <c r="C35" s="275" t="s">
        <v>1047</v>
      </c>
      <c r="D35" s="275" t="s">
        <v>1054</v>
      </c>
      <c r="E35" s="302" t="s">
        <v>588</v>
      </c>
      <c r="F35" s="303" t="s">
        <v>523</v>
      </c>
      <c r="G35" s="282">
        <v>864600</v>
      </c>
      <c r="H35" s="442"/>
      <c r="I35" s="371">
        <v>803900</v>
      </c>
    </row>
    <row r="36" spans="1:9" ht="26.25">
      <c r="A36" s="343" t="s">
        <v>516</v>
      </c>
      <c r="B36" s="275" t="s">
        <v>1159</v>
      </c>
      <c r="C36" s="275" t="s">
        <v>1047</v>
      </c>
      <c r="D36" s="275" t="s">
        <v>1054</v>
      </c>
      <c r="E36" s="302" t="s">
        <v>588</v>
      </c>
      <c r="F36" s="303" t="s">
        <v>517</v>
      </c>
      <c r="G36" s="282">
        <f>12000+11400</f>
        <v>23400</v>
      </c>
      <c r="H36" s="442"/>
      <c r="I36" s="371">
        <v>84100</v>
      </c>
    </row>
    <row r="37" spans="1:9" ht="57.75" customHeight="1">
      <c r="A37" s="372" t="s">
        <v>1057</v>
      </c>
      <c r="B37" s="275" t="s">
        <v>1159</v>
      </c>
      <c r="C37" s="443" t="s">
        <v>1047</v>
      </c>
      <c r="D37" s="443" t="s">
        <v>1054</v>
      </c>
      <c r="E37" s="444" t="s">
        <v>596</v>
      </c>
      <c r="F37" s="448"/>
      <c r="G37" s="446">
        <f>G38</f>
        <v>2072000</v>
      </c>
      <c r="H37" s="442"/>
      <c r="I37" s="371">
        <f t="shared" si="0"/>
        <v>2072000</v>
      </c>
    </row>
    <row r="38" spans="1:9" ht="30" customHeight="1">
      <c r="A38" s="376" t="s">
        <v>605</v>
      </c>
      <c r="B38" s="275" t="s">
        <v>1159</v>
      </c>
      <c r="C38" s="275" t="s">
        <v>1047</v>
      </c>
      <c r="D38" s="275" t="s">
        <v>1054</v>
      </c>
      <c r="E38" s="302" t="s">
        <v>606</v>
      </c>
      <c r="F38" s="284"/>
      <c r="G38" s="282">
        <f>G39</f>
        <v>2072000</v>
      </c>
      <c r="H38" s="442"/>
      <c r="I38" s="371">
        <f t="shared" si="0"/>
        <v>2072000</v>
      </c>
    </row>
    <row r="39" spans="1:9" ht="33" customHeight="1">
      <c r="A39" s="372" t="s">
        <v>607</v>
      </c>
      <c r="B39" s="275" t="s">
        <v>1159</v>
      </c>
      <c r="C39" s="275" t="s">
        <v>1047</v>
      </c>
      <c r="D39" s="275" t="s">
        <v>1054</v>
      </c>
      <c r="E39" s="302" t="s">
        <v>608</v>
      </c>
      <c r="F39" s="284"/>
      <c r="G39" s="282">
        <f>G40+G41</f>
        <v>2072000</v>
      </c>
      <c r="H39" s="442"/>
      <c r="I39" s="371">
        <f t="shared" si="0"/>
        <v>2072000</v>
      </c>
    </row>
    <row r="40" spans="1:9" ht="43.5" customHeight="1">
      <c r="A40" s="343" t="s">
        <v>522</v>
      </c>
      <c r="B40" s="275" t="s">
        <v>1159</v>
      </c>
      <c r="C40" s="275" t="s">
        <v>1047</v>
      </c>
      <c r="D40" s="275" t="s">
        <v>1054</v>
      </c>
      <c r="E40" s="302" t="s">
        <v>608</v>
      </c>
      <c r="F40" s="303" t="s">
        <v>523</v>
      </c>
      <c r="G40" s="282">
        <f>1524168+460299+300+60633+26600</f>
        <v>2072000</v>
      </c>
      <c r="H40" s="442"/>
      <c r="I40" s="371">
        <f t="shared" si="0"/>
        <v>2072000</v>
      </c>
    </row>
    <row r="41" spans="1:9" ht="26.25" hidden="1">
      <c r="A41" s="343" t="s">
        <v>516</v>
      </c>
      <c r="B41" s="275" t="s">
        <v>1159</v>
      </c>
      <c r="C41" s="275" t="s">
        <v>1047</v>
      </c>
      <c r="D41" s="275" t="s">
        <v>1054</v>
      </c>
      <c r="E41" s="302" t="s">
        <v>608</v>
      </c>
      <c r="F41" s="303" t="s">
        <v>517</v>
      </c>
      <c r="G41" s="282">
        <f>60633-60633</f>
        <v>0</v>
      </c>
      <c r="H41" s="442"/>
      <c r="I41" s="371">
        <f t="shared" si="0"/>
        <v>0</v>
      </c>
    </row>
    <row r="42" spans="1:9" ht="45.75" customHeight="1">
      <c r="A42" s="367" t="s">
        <v>812</v>
      </c>
      <c r="B42" s="275" t="s">
        <v>1159</v>
      </c>
      <c r="C42" s="275" t="s">
        <v>1047</v>
      </c>
      <c r="D42" s="275" t="s">
        <v>1054</v>
      </c>
      <c r="E42" s="302" t="s">
        <v>813</v>
      </c>
      <c r="F42" s="284"/>
      <c r="G42" s="282">
        <f>G43</f>
        <v>329014</v>
      </c>
      <c r="H42" s="442"/>
      <c r="I42" s="371">
        <f t="shared" si="0"/>
        <v>329014</v>
      </c>
    </row>
    <row r="43" spans="1:9" s="308" customFormat="1" ht="72" customHeight="1">
      <c r="A43" s="376" t="s">
        <v>814</v>
      </c>
      <c r="B43" s="443" t="s">
        <v>1159</v>
      </c>
      <c r="C43" s="443" t="s">
        <v>1047</v>
      </c>
      <c r="D43" s="443" t="s">
        <v>1054</v>
      </c>
      <c r="E43" s="444" t="s">
        <v>815</v>
      </c>
      <c r="F43" s="448"/>
      <c r="G43" s="446">
        <f>G45</f>
        <v>329014</v>
      </c>
      <c r="H43" s="449"/>
      <c r="I43" s="468">
        <f t="shared" si="0"/>
        <v>329014</v>
      </c>
    </row>
    <row r="44" spans="1:9" ht="30.75" customHeight="1">
      <c r="A44" s="373" t="s">
        <v>816</v>
      </c>
      <c r="B44" s="275" t="s">
        <v>1159</v>
      </c>
      <c r="C44" s="275" t="s">
        <v>1047</v>
      </c>
      <c r="D44" s="275" t="s">
        <v>1054</v>
      </c>
      <c r="E44" s="302" t="s">
        <v>817</v>
      </c>
      <c r="F44" s="284"/>
      <c r="G44" s="282">
        <f>G45</f>
        <v>329014</v>
      </c>
      <c r="H44" s="442"/>
      <c r="I44" s="371">
        <f t="shared" si="0"/>
        <v>329014</v>
      </c>
    </row>
    <row r="45" spans="1:9" ht="31.5" customHeight="1">
      <c r="A45" s="375" t="s">
        <v>818</v>
      </c>
      <c r="B45" s="275" t="s">
        <v>1159</v>
      </c>
      <c r="C45" s="275" t="s">
        <v>1047</v>
      </c>
      <c r="D45" s="275" t="s">
        <v>1054</v>
      </c>
      <c r="E45" s="302" t="s">
        <v>819</v>
      </c>
      <c r="F45" s="284"/>
      <c r="G45" s="282">
        <f>G46+G47</f>
        <v>329014</v>
      </c>
      <c r="H45" s="442"/>
      <c r="I45" s="371">
        <f t="shared" si="0"/>
        <v>329014</v>
      </c>
    </row>
    <row r="46" spans="1:9" ht="39">
      <c r="A46" s="343" t="s">
        <v>522</v>
      </c>
      <c r="B46" s="275" t="s">
        <v>1159</v>
      </c>
      <c r="C46" s="275" t="s">
        <v>1047</v>
      </c>
      <c r="D46" s="275" t="s">
        <v>1054</v>
      </c>
      <c r="E46" s="302" t="s">
        <v>819</v>
      </c>
      <c r="F46" s="303" t="s">
        <v>523</v>
      </c>
      <c r="G46" s="282">
        <v>295773</v>
      </c>
      <c r="H46" s="442"/>
      <c r="I46" s="371">
        <f t="shared" si="0"/>
        <v>295773</v>
      </c>
    </row>
    <row r="47" spans="1:9" ht="31.5" customHeight="1">
      <c r="A47" s="343" t="s">
        <v>516</v>
      </c>
      <c r="B47" s="275" t="s">
        <v>1159</v>
      </c>
      <c r="C47" s="275" t="s">
        <v>1047</v>
      </c>
      <c r="D47" s="275" t="s">
        <v>1054</v>
      </c>
      <c r="E47" s="302" t="s">
        <v>819</v>
      </c>
      <c r="F47" s="303" t="s">
        <v>517</v>
      </c>
      <c r="G47" s="282">
        <v>33241</v>
      </c>
      <c r="H47" s="442"/>
      <c r="I47" s="371">
        <f t="shared" si="0"/>
        <v>33241</v>
      </c>
    </row>
    <row r="48" spans="1:9" ht="54.75" customHeight="1">
      <c r="A48" s="370" t="s">
        <v>852</v>
      </c>
      <c r="B48" s="275" t="s">
        <v>1159</v>
      </c>
      <c r="C48" s="275" t="s">
        <v>1047</v>
      </c>
      <c r="D48" s="275" t="s">
        <v>1054</v>
      </c>
      <c r="E48" s="302" t="s">
        <v>853</v>
      </c>
      <c r="F48" s="303"/>
      <c r="G48" s="282">
        <f>G49</f>
        <v>592000</v>
      </c>
      <c r="H48" s="442"/>
      <c r="I48" s="371">
        <f t="shared" si="0"/>
        <v>592000</v>
      </c>
    </row>
    <row r="49" spans="1:9" s="308" customFormat="1" ht="72.75" customHeight="1">
      <c r="A49" s="370" t="s">
        <v>862</v>
      </c>
      <c r="B49" s="443" t="s">
        <v>1159</v>
      </c>
      <c r="C49" s="443" t="s">
        <v>1047</v>
      </c>
      <c r="D49" s="443" t="s">
        <v>1054</v>
      </c>
      <c r="E49" s="444" t="s">
        <v>863</v>
      </c>
      <c r="F49" s="445"/>
      <c r="G49" s="446">
        <f>G51+G54</f>
        <v>592000</v>
      </c>
      <c r="H49" s="449"/>
      <c r="I49" s="468">
        <f t="shared" si="0"/>
        <v>592000</v>
      </c>
    </row>
    <row r="50" spans="1:9" ht="42" customHeight="1">
      <c r="A50" s="376" t="s">
        <v>864</v>
      </c>
      <c r="B50" s="275" t="s">
        <v>1159</v>
      </c>
      <c r="C50" s="275" t="s">
        <v>1047</v>
      </c>
      <c r="D50" s="275" t="s">
        <v>1054</v>
      </c>
      <c r="E50" s="302" t="s">
        <v>865</v>
      </c>
      <c r="F50" s="303"/>
      <c r="G50" s="282">
        <f>G51+G54</f>
        <v>592000</v>
      </c>
      <c r="H50" s="442"/>
      <c r="I50" s="371">
        <f t="shared" si="0"/>
        <v>592000</v>
      </c>
    </row>
    <row r="51" spans="1:9" ht="44.25" customHeight="1">
      <c r="A51" s="375" t="s">
        <v>866</v>
      </c>
      <c r="B51" s="275" t="s">
        <v>1159</v>
      </c>
      <c r="C51" s="275" t="s">
        <v>1047</v>
      </c>
      <c r="D51" s="275" t="s">
        <v>1054</v>
      </c>
      <c r="E51" s="275" t="s">
        <v>867</v>
      </c>
      <c r="F51" s="284"/>
      <c r="G51" s="282">
        <f>G52+G53</f>
        <v>296000</v>
      </c>
      <c r="H51" s="442"/>
      <c r="I51" s="371">
        <f t="shared" si="0"/>
        <v>296000</v>
      </c>
    </row>
    <row r="52" spans="1:9" ht="46.5" customHeight="1">
      <c r="A52" s="343" t="s">
        <v>522</v>
      </c>
      <c r="B52" s="275" t="s">
        <v>1159</v>
      </c>
      <c r="C52" s="275" t="s">
        <v>1047</v>
      </c>
      <c r="D52" s="275" t="s">
        <v>1054</v>
      </c>
      <c r="E52" s="275" t="s">
        <v>867</v>
      </c>
      <c r="F52" s="303" t="s">
        <v>523</v>
      </c>
      <c r="G52" s="282">
        <v>289200</v>
      </c>
      <c r="H52" s="442"/>
      <c r="I52" s="371">
        <v>270240</v>
      </c>
    </row>
    <row r="53" spans="1:9" ht="26.25">
      <c r="A53" s="343" t="s">
        <v>516</v>
      </c>
      <c r="B53" s="275" t="s">
        <v>1159</v>
      </c>
      <c r="C53" s="275" t="s">
        <v>1047</v>
      </c>
      <c r="D53" s="275" t="s">
        <v>1054</v>
      </c>
      <c r="E53" s="275" t="s">
        <v>867</v>
      </c>
      <c r="F53" s="303" t="s">
        <v>517</v>
      </c>
      <c r="G53" s="282">
        <f>3000+3800</f>
        <v>6800</v>
      </c>
      <c r="H53" s="442"/>
      <c r="I53" s="371">
        <v>25760</v>
      </c>
    </row>
    <row r="54" spans="1:9" ht="35.25" customHeight="1">
      <c r="A54" s="375" t="s">
        <v>868</v>
      </c>
      <c r="B54" s="275" t="s">
        <v>1159</v>
      </c>
      <c r="C54" s="275" t="s">
        <v>1047</v>
      </c>
      <c r="D54" s="275" t="s">
        <v>1054</v>
      </c>
      <c r="E54" s="275" t="s">
        <v>869</v>
      </c>
      <c r="F54" s="284"/>
      <c r="G54" s="282">
        <f>G55+G56</f>
        <v>296000</v>
      </c>
      <c r="H54" s="442"/>
      <c r="I54" s="371">
        <f t="shared" si="0"/>
        <v>296000</v>
      </c>
    </row>
    <row r="55" spans="1:9" ht="40.5" customHeight="1">
      <c r="A55" s="343" t="s">
        <v>522</v>
      </c>
      <c r="B55" s="275" t="s">
        <v>1159</v>
      </c>
      <c r="C55" s="275" t="s">
        <v>1047</v>
      </c>
      <c r="D55" s="275" t="s">
        <v>1054</v>
      </c>
      <c r="E55" s="275" t="s">
        <v>869</v>
      </c>
      <c r="F55" s="303" t="s">
        <v>523</v>
      </c>
      <c r="G55" s="282">
        <f>193920+58564+39716+3800</f>
        <v>296000</v>
      </c>
      <c r="H55" s="442"/>
      <c r="I55" s="371">
        <f t="shared" si="0"/>
        <v>296000</v>
      </c>
    </row>
    <row r="56" spans="1:9" ht="26.25" hidden="1">
      <c r="A56" s="343" t="s">
        <v>516</v>
      </c>
      <c r="B56" s="275" t="s">
        <v>1159</v>
      </c>
      <c r="C56" s="275" t="s">
        <v>1047</v>
      </c>
      <c r="D56" s="275" t="s">
        <v>1054</v>
      </c>
      <c r="E56" s="275" t="s">
        <v>869</v>
      </c>
      <c r="F56" s="303" t="s">
        <v>517</v>
      </c>
      <c r="G56" s="282">
        <f>39716-39716</f>
        <v>0</v>
      </c>
      <c r="H56" s="442"/>
      <c r="I56" s="371">
        <f t="shared" si="0"/>
        <v>0</v>
      </c>
    </row>
    <row r="57" spans="1:9" ht="18" customHeight="1">
      <c r="A57" s="343" t="s">
        <v>972</v>
      </c>
      <c r="B57" s="275" t="s">
        <v>1159</v>
      </c>
      <c r="C57" s="275" t="s">
        <v>1047</v>
      </c>
      <c r="D57" s="275" t="s">
        <v>1054</v>
      </c>
      <c r="E57" s="275" t="s">
        <v>973</v>
      </c>
      <c r="F57" s="284"/>
      <c r="G57" s="282">
        <f>G58</f>
        <v>16474085</v>
      </c>
      <c r="H57" s="442"/>
      <c r="I57" s="371">
        <f t="shared" si="0"/>
        <v>16474085</v>
      </c>
    </row>
    <row r="58" spans="1:9" ht="21" customHeight="1">
      <c r="A58" s="372" t="s">
        <v>974</v>
      </c>
      <c r="B58" s="275" t="s">
        <v>1159</v>
      </c>
      <c r="C58" s="275" t="s">
        <v>1047</v>
      </c>
      <c r="D58" s="275" t="s">
        <v>1054</v>
      </c>
      <c r="E58" s="275" t="s">
        <v>975</v>
      </c>
      <c r="F58" s="284"/>
      <c r="G58" s="282">
        <f>G59</f>
        <v>16474085</v>
      </c>
      <c r="H58" s="442"/>
      <c r="I58" s="371">
        <f t="shared" si="0"/>
        <v>16474085</v>
      </c>
    </row>
    <row r="59" spans="1:9" ht="32.25" customHeight="1">
      <c r="A59" s="372" t="s">
        <v>970</v>
      </c>
      <c r="B59" s="275" t="s">
        <v>1159</v>
      </c>
      <c r="C59" s="275" t="s">
        <v>1047</v>
      </c>
      <c r="D59" s="275" t="s">
        <v>1054</v>
      </c>
      <c r="E59" s="275" t="s">
        <v>976</v>
      </c>
      <c r="F59" s="284"/>
      <c r="G59" s="282">
        <f>G60+G61+G62</f>
        <v>16474085</v>
      </c>
      <c r="H59" s="442"/>
      <c r="I59" s="371">
        <f t="shared" si="0"/>
        <v>16474085</v>
      </c>
    </row>
    <row r="60" spans="1:9" ht="48.75" customHeight="1">
      <c r="A60" s="343" t="s">
        <v>522</v>
      </c>
      <c r="B60" s="275" t="s">
        <v>1159</v>
      </c>
      <c r="C60" s="275" t="s">
        <v>1047</v>
      </c>
      <c r="D60" s="275" t="s">
        <v>1054</v>
      </c>
      <c r="E60" s="275" t="s">
        <v>976</v>
      </c>
      <c r="F60" s="303" t="s">
        <v>523</v>
      </c>
      <c r="G60" s="282">
        <f>15918200+187388+172097</f>
        <v>16277685</v>
      </c>
      <c r="H60" s="442"/>
      <c r="I60" s="371">
        <f t="shared" si="0"/>
        <v>16277685</v>
      </c>
    </row>
    <row r="61" spans="1:9" ht="30" customHeight="1">
      <c r="A61" s="343" t="s">
        <v>516</v>
      </c>
      <c r="B61" s="275" t="s">
        <v>1159</v>
      </c>
      <c r="C61" s="275" t="s">
        <v>1047</v>
      </c>
      <c r="D61" s="275" t="s">
        <v>1054</v>
      </c>
      <c r="E61" s="275" t="s">
        <v>976</v>
      </c>
      <c r="F61" s="303" t="s">
        <v>517</v>
      </c>
      <c r="G61" s="334">
        <v>58500</v>
      </c>
      <c r="H61" s="442"/>
      <c r="I61" s="371">
        <f t="shared" si="0"/>
        <v>58500</v>
      </c>
    </row>
    <row r="62" spans="1:9" ht="18.75" customHeight="1">
      <c r="A62" s="373" t="s">
        <v>524</v>
      </c>
      <c r="B62" s="275" t="s">
        <v>1159</v>
      </c>
      <c r="C62" s="275" t="s">
        <v>1047</v>
      </c>
      <c r="D62" s="275" t="s">
        <v>1054</v>
      </c>
      <c r="E62" s="275" t="s">
        <v>976</v>
      </c>
      <c r="F62" s="303" t="s">
        <v>525</v>
      </c>
      <c r="G62" s="282">
        <f>80900+6000+6000+51000-6000</f>
        <v>137900</v>
      </c>
      <c r="H62" s="442"/>
      <c r="I62" s="371">
        <f t="shared" si="0"/>
        <v>137900</v>
      </c>
    </row>
    <row r="63" spans="1:9" ht="13.5">
      <c r="A63" s="370" t="s">
        <v>995</v>
      </c>
      <c r="B63" s="275" t="s">
        <v>1159</v>
      </c>
      <c r="C63" s="275" t="s">
        <v>1047</v>
      </c>
      <c r="D63" s="275" t="s">
        <v>1054</v>
      </c>
      <c r="E63" s="275" t="s">
        <v>996</v>
      </c>
      <c r="F63" s="284"/>
      <c r="G63" s="282">
        <f>G64+G68</f>
        <v>325600</v>
      </c>
      <c r="H63" s="442"/>
      <c r="I63" s="371">
        <f>G63+H63</f>
        <v>325600</v>
      </c>
    </row>
    <row r="64" spans="1:9" ht="17.25" customHeight="1">
      <c r="A64" s="376" t="s">
        <v>997</v>
      </c>
      <c r="B64" s="275" t="s">
        <v>1159</v>
      </c>
      <c r="C64" s="275" t="s">
        <v>1047</v>
      </c>
      <c r="D64" s="275" t="s">
        <v>1054</v>
      </c>
      <c r="E64" s="275" t="s">
        <v>998</v>
      </c>
      <c r="F64" s="284"/>
      <c r="G64" s="282">
        <f>G65</f>
        <v>296000</v>
      </c>
      <c r="H64" s="442"/>
      <c r="I64" s="371">
        <f t="shared" si="0"/>
        <v>296000</v>
      </c>
    </row>
    <row r="65" spans="1:9" ht="27.75" customHeight="1">
      <c r="A65" s="372" t="s">
        <v>999</v>
      </c>
      <c r="B65" s="275" t="s">
        <v>1159</v>
      </c>
      <c r="C65" s="275" t="s">
        <v>1047</v>
      </c>
      <c r="D65" s="275" t="s">
        <v>1054</v>
      </c>
      <c r="E65" s="275" t="s">
        <v>1000</v>
      </c>
      <c r="F65" s="284"/>
      <c r="G65" s="282">
        <f>G66+G67</f>
        <v>296000</v>
      </c>
      <c r="H65" s="442"/>
      <c r="I65" s="371">
        <f t="shared" si="0"/>
        <v>296000</v>
      </c>
    </row>
    <row r="66" spans="1:9" ht="39">
      <c r="A66" s="343" t="s">
        <v>522</v>
      </c>
      <c r="B66" s="275" t="s">
        <v>1159</v>
      </c>
      <c r="C66" s="275" t="s">
        <v>1047</v>
      </c>
      <c r="D66" s="275" t="s">
        <v>1054</v>
      </c>
      <c r="E66" s="275" t="s">
        <v>1000</v>
      </c>
      <c r="F66" s="303" t="s">
        <v>523</v>
      </c>
      <c r="G66" s="282">
        <f>208320+62913+20967+3800</f>
        <v>296000</v>
      </c>
      <c r="H66" s="442"/>
      <c r="I66" s="371">
        <f t="shared" si="0"/>
        <v>296000</v>
      </c>
    </row>
    <row r="67" spans="1:9" ht="13.5" hidden="1">
      <c r="A67" s="343" t="s">
        <v>554</v>
      </c>
      <c r="B67" s="275" t="s">
        <v>1159</v>
      </c>
      <c r="C67" s="275" t="s">
        <v>1047</v>
      </c>
      <c r="D67" s="275" t="s">
        <v>1054</v>
      </c>
      <c r="E67" s="275" t="s">
        <v>1000</v>
      </c>
      <c r="F67" s="303" t="s">
        <v>517</v>
      </c>
      <c r="G67" s="282">
        <f>20967-20967</f>
        <v>0</v>
      </c>
      <c r="H67" s="442"/>
      <c r="I67" s="371">
        <f t="shared" si="0"/>
        <v>0</v>
      </c>
    </row>
    <row r="68" spans="1:9" ht="13.5">
      <c r="A68" s="370" t="s">
        <v>1001</v>
      </c>
      <c r="B68" s="275" t="s">
        <v>1159</v>
      </c>
      <c r="C68" s="275" t="s">
        <v>1047</v>
      </c>
      <c r="D68" s="275" t="s">
        <v>1054</v>
      </c>
      <c r="E68" s="275" t="s">
        <v>1002</v>
      </c>
      <c r="F68" s="284"/>
      <c r="G68" s="282">
        <f>G69</f>
        <v>29600</v>
      </c>
      <c r="H68" s="442"/>
      <c r="I68" s="371">
        <f t="shared" si="0"/>
        <v>29600</v>
      </c>
    </row>
    <row r="69" spans="1:9" ht="39">
      <c r="A69" s="337" t="s">
        <v>1005</v>
      </c>
      <c r="B69" s="275" t="s">
        <v>1159</v>
      </c>
      <c r="C69" s="275" t="s">
        <v>1047</v>
      </c>
      <c r="D69" s="275" t="s">
        <v>1054</v>
      </c>
      <c r="E69" s="275" t="s">
        <v>1006</v>
      </c>
      <c r="F69" s="284"/>
      <c r="G69" s="282">
        <f>G70</f>
        <v>29600</v>
      </c>
      <c r="H69" s="442"/>
      <c r="I69" s="371">
        <f t="shared" si="0"/>
        <v>29600</v>
      </c>
    </row>
    <row r="70" spans="1:9" ht="39">
      <c r="A70" s="343" t="s">
        <v>522</v>
      </c>
      <c r="B70" s="275" t="s">
        <v>1159</v>
      </c>
      <c r="C70" s="275" t="s">
        <v>1047</v>
      </c>
      <c r="D70" s="275" t="s">
        <v>1054</v>
      </c>
      <c r="E70" s="275" t="s">
        <v>1006</v>
      </c>
      <c r="F70" s="303" t="s">
        <v>523</v>
      </c>
      <c r="G70" s="282">
        <f>22442+6778+380</f>
        <v>29600</v>
      </c>
      <c r="H70" s="442"/>
      <c r="I70" s="371">
        <f t="shared" si="0"/>
        <v>29600</v>
      </c>
    </row>
    <row r="71" spans="1:9" ht="13.5">
      <c r="A71" s="379" t="s">
        <v>1058</v>
      </c>
      <c r="B71" s="275" t="s">
        <v>1159</v>
      </c>
      <c r="C71" s="275" t="s">
        <v>1047</v>
      </c>
      <c r="D71" s="275" t="s">
        <v>1059</v>
      </c>
      <c r="E71" s="275"/>
      <c r="F71" s="303"/>
      <c r="G71" s="282">
        <f>G72</f>
        <v>16600</v>
      </c>
      <c r="H71" s="442"/>
      <c r="I71" s="371">
        <f t="shared" si="0"/>
        <v>16600</v>
      </c>
    </row>
    <row r="72" spans="1:9" ht="13.5">
      <c r="A72" s="370" t="s">
        <v>995</v>
      </c>
      <c r="B72" s="275" t="s">
        <v>1159</v>
      </c>
      <c r="C72" s="275" t="s">
        <v>1047</v>
      </c>
      <c r="D72" s="275" t="s">
        <v>1059</v>
      </c>
      <c r="E72" s="275" t="s">
        <v>996</v>
      </c>
      <c r="F72" s="303"/>
      <c r="G72" s="282">
        <f>G73</f>
        <v>16600</v>
      </c>
      <c r="H72" s="442"/>
      <c r="I72" s="371">
        <f t="shared" si="0"/>
        <v>16600</v>
      </c>
    </row>
    <row r="73" spans="1:9" ht="13.5">
      <c r="A73" s="370" t="s">
        <v>1001</v>
      </c>
      <c r="B73" s="275" t="s">
        <v>1159</v>
      </c>
      <c r="C73" s="275" t="s">
        <v>1047</v>
      </c>
      <c r="D73" s="275" t="s">
        <v>1059</v>
      </c>
      <c r="E73" s="275" t="s">
        <v>1002</v>
      </c>
      <c r="F73" s="303"/>
      <c r="G73" s="282">
        <f>G74</f>
        <v>16600</v>
      </c>
      <c r="H73" s="442"/>
      <c r="I73" s="371">
        <f t="shared" si="0"/>
        <v>16600</v>
      </c>
    </row>
    <row r="74" spans="1:9" ht="39">
      <c r="A74" s="375" t="s">
        <v>1007</v>
      </c>
      <c r="B74" s="275" t="s">
        <v>1159</v>
      </c>
      <c r="C74" s="275" t="s">
        <v>1047</v>
      </c>
      <c r="D74" s="275" t="s">
        <v>1059</v>
      </c>
      <c r="E74" s="275" t="s">
        <v>1008</v>
      </c>
      <c r="F74" s="303"/>
      <c r="G74" s="282">
        <f>G75</f>
        <v>16600</v>
      </c>
      <c r="H74" s="442"/>
      <c r="I74" s="371">
        <f t="shared" si="0"/>
        <v>16600</v>
      </c>
    </row>
    <row r="75" spans="1:9" ht="13.5">
      <c r="A75" s="343" t="s">
        <v>554</v>
      </c>
      <c r="B75" s="275" t="s">
        <v>1159</v>
      </c>
      <c r="C75" s="275" t="s">
        <v>1047</v>
      </c>
      <c r="D75" s="275" t="s">
        <v>1059</v>
      </c>
      <c r="E75" s="275" t="s">
        <v>1008</v>
      </c>
      <c r="F75" s="303" t="s">
        <v>517</v>
      </c>
      <c r="G75" s="282">
        <f>16600</f>
        <v>16600</v>
      </c>
      <c r="H75" s="442"/>
      <c r="I75" s="371">
        <f t="shared" si="0"/>
        <v>16600</v>
      </c>
    </row>
    <row r="76" spans="1:9" ht="26.25">
      <c r="A76" s="370" t="s">
        <v>1060</v>
      </c>
      <c r="B76" s="275" t="s">
        <v>1159</v>
      </c>
      <c r="C76" s="275" t="s">
        <v>1047</v>
      </c>
      <c r="D76" s="275" t="s">
        <v>1061</v>
      </c>
      <c r="E76" s="275"/>
      <c r="F76" s="284"/>
      <c r="G76" s="282">
        <f>G77</f>
        <v>559000</v>
      </c>
      <c r="H76" s="442"/>
      <c r="I76" s="371">
        <f t="shared" si="0"/>
        <v>559000</v>
      </c>
    </row>
    <row r="77" spans="1:9" ht="33.75" customHeight="1">
      <c r="A77" s="380" t="s">
        <v>977</v>
      </c>
      <c r="B77" s="275" t="s">
        <v>1159</v>
      </c>
      <c r="C77" s="275" t="s">
        <v>1047</v>
      </c>
      <c r="D77" s="275" t="s">
        <v>1061</v>
      </c>
      <c r="E77" s="298" t="s">
        <v>978</v>
      </c>
      <c r="F77" s="303"/>
      <c r="G77" s="282">
        <f>G78</f>
        <v>559000</v>
      </c>
      <c r="H77" s="442"/>
      <c r="I77" s="371">
        <f t="shared" si="0"/>
        <v>559000</v>
      </c>
    </row>
    <row r="78" spans="1:9" ht="13.5">
      <c r="A78" s="380" t="s">
        <v>979</v>
      </c>
      <c r="B78" s="275" t="s">
        <v>1159</v>
      </c>
      <c r="C78" s="275" t="s">
        <v>1047</v>
      </c>
      <c r="D78" s="275" t="s">
        <v>1061</v>
      </c>
      <c r="E78" s="298" t="s">
        <v>980</v>
      </c>
      <c r="F78" s="303"/>
      <c r="G78" s="282">
        <f>G79</f>
        <v>559000</v>
      </c>
      <c r="H78" s="442"/>
      <c r="I78" s="371">
        <f t="shared" si="0"/>
        <v>559000</v>
      </c>
    </row>
    <row r="79" spans="1:9" ht="26.25">
      <c r="A79" s="372" t="s">
        <v>970</v>
      </c>
      <c r="B79" s="275" t="s">
        <v>1159</v>
      </c>
      <c r="C79" s="275" t="s">
        <v>1047</v>
      </c>
      <c r="D79" s="275" t="s">
        <v>1061</v>
      </c>
      <c r="E79" s="298" t="s">
        <v>981</v>
      </c>
      <c r="F79" s="284"/>
      <c r="G79" s="282">
        <f>G80+G81+G82</f>
        <v>559000</v>
      </c>
      <c r="H79" s="442"/>
      <c r="I79" s="371">
        <f t="shared" si="0"/>
        <v>559000</v>
      </c>
    </row>
    <row r="80" spans="1:9" ht="39">
      <c r="A80" s="343" t="s">
        <v>522</v>
      </c>
      <c r="B80" s="275" t="s">
        <v>1159</v>
      </c>
      <c r="C80" s="275" t="s">
        <v>1047</v>
      </c>
      <c r="D80" s="275" t="s">
        <v>1061</v>
      </c>
      <c r="E80" s="298" t="s">
        <v>981</v>
      </c>
      <c r="F80" s="303" t="s">
        <v>523</v>
      </c>
      <c r="G80" s="282">
        <v>559000</v>
      </c>
      <c r="H80" s="442"/>
      <c r="I80" s="371">
        <f t="shared" si="0"/>
        <v>559000</v>
      </c>
    </row>
    <row r="81" spans="1:9" ht="13.5" hidden="1">
      <c r="A81" s="343" t="s">
        <v>554</v>
      </c>
      <c r="B81" s="275" t="s">
        <v>1159</v>
      </c>
      <c r="C81" s="275" t="s">
        <v>1047</v>
      </c>
      <c r="D81" s="275" t="s">
        <v>1061</v>
      </c>
      <c r="E81" s="298" t="s">
        <v>981</v>
      </c>
      <c r="F81" s="303" t="s">
        <v>517</v>
      </c>
      <c r="G81" s="282"/>
      <c r="H81" s="442"/>
      <c r="I81" s="371">
        <f t="shared" si="0"/>
        <v>0</v>
      </c>
    </row>
    <row r="82" spans="1:9" ht="13.5" hidden="1">
      <c r="A82" s="373" t="s">
        <v>524</v>
      </c>
      <c r="B82" s="275" t="s">
        <v>1159</v>
      </c>
      <c r="C82" s="275" t="s">
        <v>1047</v>
      </c>
      <c r="D82" s="275" t="s">
        <v>1061</v>
      </c>
      <c r="E82" s="298" t="s">
        <v>981</v>
      </c>
      <c r="F82" s="303" t="s">
        <v>525</v>
      </c>
      <c r="G82" s="282"/>
      <c r="H82" s="442"/>
      <c r="I82" s="371">
        <f t="shared" si="0"/>
        <v>0</v>
      </c>
    </row>
    <row r="83" spans="1:9" ht="13.5">
      <c r="A83" s="469" t="s">
        <v>1062</v>
      </c>
      <c r="B83" s="275" t="s">
        <v>1159</v>
      </c>
      <c r="C83" s="275" t="s">
        <v>1047</v>
      </c>
      <c r="D83" s="275" t="s">
        <v>1063</v>
      </c>
      <c r="E83" s="298"/>
      <c r="F83" s="303"/>
      <c r="G83" s="282">
        <f>G84</f>
        <v>103000</v>
      </c>
      <c r="H83" s="442"/>
      <c r="I83" s="371">
        <f t="shared" si="0"/>
        <v>103000</v>
      </c>
    </row>
    <row r="84" spans="1:9" ht="13.5">
      <c r="A84" s="370" t="s">
        <v>995</v>
      </c>
      <c r="B84" s="275" t="s">
        <v>1159</v>
      </c>
      <c r="C84" s="275" t="s">
        <v>1047</v>
      </c>
      <c r="D84" s="275" t="s">
        <v>1063</v>
      </c>
      <c r="E84" s="298" t="s">
        <v>996</v>
      </c>
      <c r="F84" s="303"/>
      <c r="G84" s="282">
        <f>G85</f>
        <v>103000</v>
      </c>
      <c r="H84" s="442"/>
      <c r="I84" s="371">
        <f t="shared" si="0"/>
        <v>103000</v>
      </c>
    </row>
    <row r="85" spans="1:9" ht="13.5">
      <c r="A85" s="373" t="s">
        <v>1017</v>
      </c>
      <c r="B85" s="275" t="s">
        <v>1159</v>
      </c>
      <c r="C85" s="275" t="s">
        <v>1047</v>
      </c>
      <c r="D85" s="275" t="s">
        <v>1063</v>
      </c>
      <c r="E85" s="298" t="s">
        <v>1018</v>
      </c>
      <c r="F85" s="303"/>
      <c r="G85" s="282">
        <f>G86</f>
        <v>103000</v>
      </c>
      <c r="H85" s="442"/>
      <c r="I85" s="371">
        <f t="shared" si="0"/>
        <v>103000</v>
      </c>
    </row>
    <row r="86" spans="1:9" ht="13.5">
      <c r="A86" s="373" t="s">
        <v>1019</v>
      </c>
      <c r="B86" s="275" t="s">
        <v>1159</v>
      </c>
      <c r="C86" s="275" t="s">
        <v>1047</v>
      </c>
      <c r="D86" s="275" t="s">
        <v>1063</v>
      </c>
      <c r="E86" s="298" t="s">
        <v>1064</v>
      </c>
      <c r="F86" s="303"/>
      <c r="G86" s="282">
        <f>G87</f>
        <v>103000</v>
      </c>
      <c r="H86" s="442"/>
      <c r="I86" s="371">
        <f t="shared" si="0"/>
        <v>103000</v>
      </c>
    </row>
    <row r="87" spans="1:9" ht="13.5">
      <c r="A87" s="373" t="s">
        <v>524</v>
      </c>
      <c r="B87" s="275" t="s">
        <v>1159</v>
      </c>
      <c r="C87" s="275" t="s">
        <v>1047</v>
      </c>
      <c r="D87" s="275" t="s">
        <v>1063</v>
      </c>
      <c r="E87" s="298" t="s">
        <v>1064</v>
      </c>
      <c r="F87" s="303" t="s">
        <v>525</v>
      </c>
      <c r="G87" s="282">
        <f>103000</f>
        <v>103000</v>
      </c>
      <c r="H87" s="442"/>
      <c r="I87" s="371">
        <f t="shared" si="0"/>
        <v>103000</v>
      </c>
    </row>
    <row r="88" spans="1:9" ht="13.5">
      <c r="A88" s="370" t="s">
        <v>1024</v>
      </c>
      <c r="B88" s="275" t="s">
        <v>1159</v>
      </c>
      <c r="C88" s="275" t="s">
        <v>1047</v>
      </c>
      <c r="D88" s="275" t="s">
        <v>1065</v>
      </c>
      <c r="E88" s="275"/>
      <c r="F88" s="284"/>
      <c r="G88" s="282">
        <f>G90</f>
        <v>50000</v>
      </c>
      <c r="H88" s="442"/>
      <c r="I88" s="371">
        <f t="shared" si="0"/>
        <v>50000</v>
      </c>
    </row>
    <row r="89" spans="1:9" ht="13.5">
      <c r="A89" s="343" t="s">
        <v>1021</v>
      </c>
      <c r="B89" s="275" t="s">
        <v>1159</v>
      </c>
      <c r="C89" s="275" t="s">
        <v>1047</v>
      </c>
      <c r="D89" s="275" t="s">
        <v>1065</v>
      </c>
      <c r="E89" s="302" t="s">
        <v>1022</v>
      </c>
      <c r="F89" s="338" t="s">
        <v>1023</v>
      </c>
      <c r="G89" s="282">
        <f>G90</f>
        <v>50000</v>
      </c>
      <c r="H89" s="442"/>
      <c r="I89" s="371">
        <f t="shared" si="0"/>
        <v>50000</v>
      </c>
    </row>
    <row r="90" spans="1:9" ht="13.5">
      <c r="A90" s="343" t="s">
        <v>1024</v>
      </c>
      <c r="B90" s="275" t="s">
        <v>1159</v>
      </c>
      <c r="C90" s="275" t="s">
        <v>1047</v>
      </c>
      <c r="D90" s="275" t="s">
        <v>1065</v>
      </c>
      <c r="E90" s="302" t="s">
        <v>1025</v>
      </c>
      <c r="F90" s="338" t="s">
        <v>1023</v>
      </c>
      <c r="G90" s="282">
        <f>G91</f>
        <v>50000</v>
      </c>
      <c r="H90" s="462"/>
      <c r="I90" s="371">
        <f t="shared" si="0"/>
        <v>50000</v>
      </c>
    </row>
    <row r="91" spans="1:9" ht="13.5">
      <c r="A91" s="372" t="s">
        <v>1026</v>
      </c>
      <c r="B91" s="275" t="s">
        <v>1159</v>
      </c>
      <c r="C91" s="275" t="s">
        <v>1047</v>
      </c>
      <c r="D91" s="275" t="s">
        <v>1065</v>
      </c>
      <c r="E91" s="302" t="s">
        <v>1027</v>
      </c>
      <c r="F91" s="338" t="s">
        <v>1023</v>
      </c>
      <c r="G91" s="282">
        <f>G92</f>
        <v>50000</v>
      </c>
      <c r="H91" s="462"/>
      <c r="I91" s="371">
        <f aca="true" t="shared" si="1" ref="I91:I243">G91+H91</f>
        <v>50000</v>
      </c>
    </row>
    <row r="92" spans="1:9" ht="13.5">
      <c r="A92" s="343" t="s">
        <v>524</v>
      </c>
      <c r="B92" s="275" t="s">
        <v>1159</v>
      </c>
      <c r="C92" s="275" t="s">
        <v>1047</v>
      </c>
      <c r="D92" s="275" t="s">
        <v>1065</v>
      </c>
      <c r="E92" s="302" t="s">
        <v>1027</v>
      </c>
      <c r="F92" s="338" t="s">
        <v>525</v>
      </c>
      <c r="G92" s="282">
        <f>50000</f>
        <v>50000</v>
      </c>
      <c r="H92" s="462"/>
      <c r="I92" s="371">
        <f t="shared" si="1"/>
        <v>50000</v>
      </c>
    </row>
    <row r="93" spans="1:9" ht="13.5">
      <c r="A93" s="370" t="s">
        <v>1066</v>
      </c>
      <c r="B93" s="275" t="s">
        <v>1159</v>
      </c>
      <c r="C93" s="275" t="s">
        <v>1047</v>
      </c>
      <c r="D93" s="275" t="s">
        <v>1067</v>
      </c>
      <c r="E93" s="275"/>
      <c r="F93" s="284"/>
      <c r="G93" s="282">
        <f>G94+G115+G147+G158+G164+G174+G126+G138+G131+G121+G153</f>
        <v>67720863.2</v>
      </c>
      <c r="H93" s="462"/>
      <c r="I93" s="371">
        <f t="shared" si="1"/>
        <v>67720863.2</v>
      </c>
    </row>
    <row r="94" spans="1:9" ht="42" customHeight="1">
      <c r="A94" s="370" t="s">
        <v>1068</v>
      </c>
      <c r="B94" s="275" t="s">
        <v>1159</v>
      </c>
      <c r="C94" s="275" t="s">
        <v>1047</v>
      </c>
      <c r="D94" s="275" t="s">
        <v>1067</v>
      </c>
      <c r="E94" s="275" t="s">
        <v>556</v>
      </c>
      <c r="F94" s="284"/>
      <c r="G94" s="282">
        <f>G106+G99+G95</f>
        <v>166300</v>
      </c>
      <c r="H94" s="462"/>
      <c r="I94" s="371">
        <f t="shared" si="1"/>
        <v>166300</v>
      </c>
    </row>
    <row r="95" spans="1:9" ht="57" customHeight="1">
      <c r="A95" s="382" t="s">
        <v>1069</v>
      </c>
      <c r="B95" s="275" t="s">
        <v>1159</v>
      </c>
      <c r="C95" s="275" t="s">
        <v>1047</v>
      </c>
      <c r="D95" s="275" t="s">
        <v>1067</v>
      </c>
      <c r="E95" s="275" t="s">
        <v>558</v>
      </c>
      <c r="F95" s="284"/>
      <c r="G95" s="282">
        <f>G96</f>
        <v>14000</v>
      </c>
      <c r="H95" s="442"/>
      <c r="I95" s="371">
        <f t="shared" si="1"/>
        <v>14000</v>
      </c>
    </row>
    <row r="96" spans="1:9" ht="32.25" customHeight="1">
      <c r="A96" s="382" t="s">
        <v>571</v>
      </c>
      <c r="B96" s="275" t="s">
        <v>1159</v>
      </c>
      <c r="C96" s="275" t="s">
        <v>1047</v>
      </c>
      <c r="D96" s="275" t="s">
        <v>1067</v>
      </c>
      <c r="E96" s="275" t="s">
        <v>572</v>
      </c>
      <c r="F96" s="284"/>
      <c r="G96" s="282">
        <f>G97</f>
        <v>14000</v>
      </c>
      <c r="H96" s="442"/>
      <c r="I96" s="371">
        <f t="shared" si="1"/>
        <v>14000</v>
      </c>
    </row>
    <row r="97" spans="1:9" ht="15.75" customHeight="1">
      <c r="A97" s="343" t="s">
        <v>573</v>
      </c>
      <c r="B97" s="275" t="s">
        <v>1159</v>
      </c>
      <c r="C97" s="275" t="s">
        <v>1047</v>
      </c>
      <c r="D97" s="275" t="s">
        <v>1067</v>
      </c>
      <c r="E97" s="289" t="s">
        <v>574</v>
      </c>
      <c r="F97" s="284"/>
      <c r="G97" s="282">
        <f>G98</f>
        <v>14000</v>
      </c>
      <c r="H97" s="442"/>
      <c r="I97" s="371">
        <f t="shared" si="1"/>
        <v>14000</v>
      </c>
    </row>
    <row r="98" spans="1:9" ht="28.5" customHeight="1">
      <c r="A98" s="343" t="s">
        <v>516</v>
      </c>
      <c r="B98" s="275" t="s">
        <v>1159</v>
      </c>
      <c r="C98" s="275" t="s">
        <v>1047</v>
      </c>
      <c r="D98" s="275" t="s">
        <v>1067</v>
      </c>
      <c r="E98" s="289" t="s">
        <v>574</v>
      </c>
      <c r="F98" s="284" t="s">
        <v>517</v>
      </c>
      <c r="G98" s="282">
        <v>14000</v>
      </c>
      <c r="H98" s="442"/>
      <c r="I98" s="371">
        <f t="shared" si="1"/>
        <v>14000</v>
      </c>
    </row>
    <row r="99" spans="1:9" ht="65.25" customHeight="1">
      <c r="A99" s="343" t="s">
        <v>1056</v>
      </c>
      <c r="B99" s="275" t="s">
        <v>1159</v>
      </c>
      <c r="C99" s="443" t="s">
        <v>1047</v>
      </c>
      <c r="D99" s="443" t="s">
        <v>1067</v>
      </c>
      <c r="E99" s="443" t="s">
        <v>580</v>
      </c>
      <c r="F99" s="448"/>
      <c r="G99" s="446">
        <f>G100+G103</f>
        <v>15000</v>
      </c>
      <c r="H99" s="442"/>
      <c r="I99" s="371">
        <f t="shared" si="1"/>
        <v>15000</v>
      </c>
    </row>
    <row r="100" spans="1:9" ht="39" hidden="1">
      <c r="A100" s="374" t="s">
        <v>585</v>
      </c>
      <c r="B100" s="275" t="s">
        <v>1159</v>
      </c>
      <c r="C100" s="275" t="s">
        <v>1047</v>
      </c>
      <c r="D100" s="275" t="s">
        <v>1067</v>
      </c>
      <c r="E100" s="275" t="s">
        <v>586</v>
      </c>
      <c r="F100" s="284"/>
      <c r="G100" s="282">
        <f>G102</f>
        <v>0</v>
      </c>
      <c r="H100" s="442"/>
      <c r="I100" s="371">
        <f t="shared" si="1"/>
        <v>0</v>
      </c>
    </row>
    <row r="101" spans="1:9" ht="66" hidden="1">
      <c r="A101" s="383" t="s">
        <v>1070</v>
      </c>
      <c r="B101" s="275" t="s">
        <v>1159</v>
      </c>
      <c r="C101" s="275" t="s">
        <v>1047</v>
      </c>
      <c r="D101" s="275" t="s">
        <v>1067</v>
      </c>
      <c r="E101" s="384" t="s">
        <v>1071</v>
      </c>
      <c r="F101" s="284"/>
      <c r="G101" s="282">
        <f>G102</f>
        <v>0</v>
      </c>
      <c r="H101" s="442"/>
      <c r="I101" s="371">
        <f t="shared" si="1"/>
        <v>0</v>
      </c>
    </row>
    <row r="102" spans="1:9" ht="26.25" hidden="1">
      <c r="A102" s="343" t="s">
        <v>516</v>
      </c>
      <c r="B102" s="275" t="s">
        <v>1159</v>
      </c>
      <c r="C102" s="275" t="s">
        <v>1047</v>
      </c>
      <c r="D102" s="275" t="s">
        <v>1067</v>
      </c>
      <c r="E102" s="384" t="s">
        <v>1071</v>
      </c>
      <c r="F102" s="284" t="s">
        <v>517</v>
      </c>
      <c r="G102" s="282"/>
      <c r="H102" s="442"/>
      <c r="I102" s="371">
        <f t="shared" si="1"/>
        <v>0</v>
      </c>
    </row>
    <row r="103" spans="1:9" ht="28.5" customHeight="1">
      <c r="A103" s="383" t="s">
        <v>591</v>
      </c>
      <c r="B103" s="275" t="s">
        <v>1159</v>
      </c>
      <c r="C103" s="275" t="s">
        <v>1047</v>
      </c>
      <c r="D103" s="275" t="s">
        <v>1067</v>
      </c>
      <c r="E103" s="275" t="s">
        <v>592</v>
      </c>
      <c r="F103" s="284"/>
      <c r="G103" s="282">
        <f>G104</f>
        <v>15000</v>
      </c>
      <c r="H103" s="442"/>
      <c r="I103" s="371">
        <f t="shared" si="1"/>
        <v>15000</v>
      </c>
    </row>
    <row r="104" spans="1:9" ht="33.75" customHeight="1">
      <c r="A104" s="382" t="s">
        <v>593</v>
      </c>
      <c r="B104" s="275" t="s">
        <v>1159</v>
      </c>
      <c r="C104" s="275" t="s">
        <v>1047</v>
      </c>
      <c r="D104" s="275" t="s">
        <v>1067</v>
      </c>
      <c r="E104" s="289" t="s">
        <v>594</v>
      </c>
      <c r="F104" s="284"/>
      <c r="G104" s="282">
        <f>G105</f>
        <v>15000</v>
      </c>
      <c r="H104" s="442"/>
      <c r="I104" s="371">
        <f t="shared" si="1"/>
        <v>15000</v>
      </c>
    </row>
    <row r="105" spans="1:9" ht="27" customHeight="1">
      <c r="A105" s="343" t="s">
        <v>516</v>
      </c>
      <c r="B105" s="275" t="s">
        <v>1159</v>
      </c>
      <c r="C105" s="275" t="s">
        <v>1047</v>
      </c>
      <c r="D105" s="275" t="s">
        <v>1067</v>
      </c>
      <c r="E105" s="289" t="s">
        <v>594</v>
      </c>
      <c r="F105" s="284" t="s">
        <v>517</v>
      </c>
      <c r="G105" s="282">
        <v>15000</v>
      </c>
      <c r="H105" s="442"/>
      <c r="I105" s="371">
        <f t="shared" si="1"/>
        <v>15000</v>
      </c>
    </row>
    <row r="106" spans="1:9" ht="57.75" customHeight="1">
      <c r="A106" s="372" t="s">
        <v>595</v>
      </c>
      <c r="B106" s="275" t="s">
        <v>1159</v>
      </c>
      <c r="C106" s="443" t="s">
        <v>1047</v>
      </c>
      <c r="D106" s="443" t="s">
        <v>1067</v>
      </c>
      <c r="E106" s="443" t="s">
        <v>596</v>
      </c>
      <c r="F106" s="448"/>
      <c r="G106" s="446">
        <f>G107+G112</f>
        <v>137300</v>
      </c>
      <c r="H106" s="442"/>
      <c r="I106" s="371">
        <f t="shared" si="1"/>
        <v>137300</v>
      </c>
    </row>
    <row r="107" spans="1:9" ht="30" customHeight="1">
      <c r="A107" s="372" t="s">
        <v>597</v>
      </c>
      <c r="B107" s="275" t="s">
        <v>1159</v>
      </c>
      <c r="C107" s="275" t="s">
        <v>1047</v>
      </c>
      <c r="D107" s="275" t="s">
        <v>1067</v>
      </c>
      <c r="E107" s="275" t="s">
        <v>598</v>
      </c>
      <c r="F107" s="284"/>
      <c r="G107" s="282">
        <f>G108+G110</f>
        <v>127300</v>
      </c>
      <c r="H107" s="442"/>
      <c r="I107" s="371">
        <f t="shared" si="1"/>
        <v>127300</v>
      </c>
    </row>
    <row r="108" spans="1:9" ht="34.5" customHeight="1">
      <c r="A108" s="372" t="s">
        <v>599</v>
      </c>
      <c r="B108" s="275" t="s">
        <v>1159</v>
      </c>
      <c r="C108" s="275" t="s">
        <v>1047</v>
      </c>
      <c r="D108" s="275" t="s">
        <v>1067</v>
      </c>
      <c r="E108" s="275" t="s">
        <v>600</v>
      </c>
      <c r="F108" s="284"/>
      <c r="G108" s="282">
        <f>G109</f>
        <v>124300</v>
      </c>
      <c r="H108" s="442"/>
      <c r="I108" s="371">
        <f t="shared" si="1"/>
        <v>124300</v>
      </c>
    </row>
    <row r="109" spans="1:9" ht="26.25">
      <c r="A109" s="343" t="s">
        <v>601</v>
      </c>
      <c r="B109" s="275" t="s">
        <v>1159</v>
      </c>
      <c r="C109" s="275" t="s">
        <v>1047</v>
      </c>
      <c r="D109" s="275" t="s">
        <v>1067</v>
      </c>
      <c r="E109" s="275" t="s">
        <v>600</v>
      </c>
      <c r="F109" s="303" t="s">
        <v>602</v>
      </c>
      <c r="G109" s="282">
        <f>122900+1400</f>
        <v>124300</v>
      </c>
      <c r="H109" s="442"/>
      <c r="I109" s="371">
        <f t="shared" si="1"/>
        <v>124300</v>
      </c>
    </row>
    <row r="110" spans="1:9" ht="18.75" customHeight="1">
      <c r="A110" s="372" t="s">
        <v>603</v>
      </c>
      <c r="B110" s="275" t="s">
        <v>1159</v>
      </c>
      <c r="C110" s="275" t="s">
        <v>1047</v>
      </c>
      <c r="D110" s="275" t="s">
        <v>1067</v>
      </c>
      <c r="E110" s="275" t="s">
        <v>604</v>
      </c>
      <c r="F110" s="303"/>
      <c r="G110" s="282">
        <f>G111</f>
        <v>3000</v>
      </c>
      <c r="H110" s="442"/>
      <c r="I110" s="371">
        <f t="shared" si="1"/>
        <v>3000</v>
      </c>
    </row>
    <row r="111" spans="1:9" ht="26.25">
      <c r="A111" s="343" t="s">
        <v>601</v>
      </c>
      <c r="B111" s="275" t="s">
        <v>1159</v>
      </c>
      <c r="C111" s="275" t="s">
        <v>1047</v>
      </c>
      <c r="D111" s="275" t="s">
        <v>1067</v>
      </c>
      <c r="E111" s="275" t="s">
        <v>604</v>
      </c>
      <c r="F111" s="303" t="s">
        <v>602</v>
      </c>
      <c r="G111" s="282">
        <v>3000</v>
      </c>
      <c r="H111" s="442"/>
      <c r="I111" s="371">
        <f t="shared" si="1"/>
        <v>3000</v>
      </c>
    </row>
    <row r="112" spans="1:9" ht="26.25">
      <c r="A112" s="376" t="s">
        <v>605</v>
      </c>
      <c r="B112" s="275" t="s">
        <v>1159</v>
      </c>
      <c r="C112" s="275" t="s">
        <v>1047</v>
      </c>
      <c r="D112" s="275" t="s">
        <v>1067</v>
      </c>
      <c r="E112" s="275" t="s">
        <v>606</v>
      </c>
      <c r="F112" s="303"/>
      <c r="G112" s="282">
        <f>G113</f>
        <v>10000</v>
      </c>
      <c r="H112" s="442"/>
      <c r="I112" s="371">
        <f t="shared" si="1"/>
        <v>10000</v>
      </c>
    </row>
    <row r="113" spans="1:9" ht="21" customHeight="1">
      <c r="A113" s="383" t="s">
        <v>609</v>
      </c>
      <c r="B113" s="275" t="s">
        <v>1159</v>
      </c>
      <c r="C113" s="275" t="s">
        <v>1047</v>
      </c>
      <c r="D113" s="275" t="s">
        <v>1067</v>
      </c>
      <c r="E113" s="275" t="s">
        <v>610</v>
      </c>
      <c r="F113" s="303"/>
      <c r="G113" s="282">
        <f>G114</f>
        <v>10000</v>
      </c>
      <c r="H113" s="442"/>
      <c r="I113" s="371">
        <f t="shared" si="1"/>
        <v>10000</v>
      </c>
    </row>
    <row r="114" spans="1:9" ht="26.25">
      <c r="A114" s="343" t="s">
        <v>516</v>
      </c>
      <c r="B114" s="275" t="s">
        <v>1159</v>
      </c>
      <c r="C114" s="275" t="s">
        <v>1047</v>
      </c>
      <c r="D114" s="275" t="s">
        <v>1067</v>
      </c>
      <c r="E114" s="275" t="s">
        <v>610</v>
      </c>
      <c r="F114" s="303" t="s">
        <v>517</v>
      </c>
      <c r="G114" s="282">
        <v>10000</v>
      </c>
      <c r="H114" s="442"/>
      <c r="I114" s="371">
        <f t="shared" si="1"/>
        <v>10000</v>
      </c>
    </row>
    <row r="115" spans="1:9" ht="26.25">
      <c r="A115" s="385" t="s">
        <v>1072</v>
      </c>
      <c r="B115" s="275" t="s">
        <v>1159</v>
      </c>
      <c r="C115" s="275" t="s">
        <v>1047</v>
      </c>
      <c r="D115" s="275" t="s">
        <v>1067</v>
      </c>
      <c r="E115" s="275" t="s">
        <v>805</v>
      </c>
      <c r="F115" s="303"/>
      <c r="G115" s="282">
        <f>G116</f>
        <v>1905973</v>
      </c>
      <c r="H115" s="442"/>
      <c r="I115" s="371">
        <f t="shared" si="1"/>
        <v>1905973</v>
      </c>
    </row>
    <row r="116" spans="1:9" ht="59.25" customHeight="1">
      <c r="A116" s="386" t="s">
        <v>806</v>
      </c>
      <c r="B116" s="275" t="s">
        <v>1159</v>
      </c>
      <c r="C116" s="443" t="s">
        <v>1047</v>
      </c>
      <c r="D116" s="443" t="s">
        <v>1067</v>
      </c>
      <c r="E116" s="443" t="s">
        <v>807</v>
      </c>
      <c r="F116" s="445"/>
      <c r="G116" s="446">
        <f>G117</f>
        <v>1905973</v>
      </c>
      <c r="H116" s="442"/>
      <c r="I116" s="371">
        <f t="shared" si="1"/>
        <v>1905973</v>
      </c>
    </row>
    <row r="117" spans="1:9" ht="28.5" customHeight="1">
      <c r="A117" s="386" t="s">
        <v>808</v>
      </c>
      <c r="B117" s="275" t="s">
        <v>1159</v>
      </c>
      <c r="C117" s="275" t="s">
        <v>1047</v>
      </c>
      <c r="D117" s="275" t="s">
        <v>1067</v>
      </c>
      <c r="E117" s="275" t="s">
        <v>809</v>
      </c>
      <c r="F117" s="303"/>
      <c r="G117" s="282">
        <f>G118</f>
        <v>1905973</v>
      </c>
      <c r="H117" s="442"/>
      <c r="I117" s="371">
        <f t="shared" si="1"/>
        <v>1905973</v>
      </c>
    </row>
    <row r="118" spans="1:9" ht="13.5">
      <c r="A118" s="386" t="s">
        <v>810</v>
      </c>
      <c r="B118" s="275" t="s">
        <v>1159</v>
      </c>
      <c r="C118" s="275" t="s">
        <v>1047</v>
      </c>
      <c r="D118" s="275" t="s">
        <v>1067</v>
      </c>
      <c r="E118" s="275" t="s">
        <v>811</v>
      </c>
      <c r="F118" s="303"/>
      <c r="G118" s="282">
        <f>G120+G119</f>
        <v>1905973</v>
      </c>
      <c r="H118" s="442"/>
      <c r="I118" s="371">
        <f t="shared" si="1"/>
        <v>1905973</v>
      </c>
    </row>
    <row r="119" spans="1:9" ht="39">
      <c r="A119" s="343" t="s">
        <v>522</v>
      </c>
      <c r="B119" s="275" t="s">
        <v>1159</v>
      </c>
      <c r="C119" s="275" t="s">
        <v>1047</v>
      </c>
      <c r="D119" s="275" t="s">
        <v>1067</v>
      </c>
      <c r="E119" s="275" t="s">
        <v>811</v>
      </c>
      <c r="F119" s="303" t="s">
        <v>523</v>
      </c>
      <c r="G119" s="282">
        <f>40000</f>
        <v>40000</v>
      </c>
      <c r="H119" s="442"/>
      <c r="I119" s="371">
        <f t="shared" si="1"/>
        <v>40000</v>
      </c>
    </row>
    <row r="120" spans="1:9" ht="26.25">
      <c r="A120" s="343" t="s">
        <v>516</v>
      </c>
      <c r="B120" s="275" t="s">
        <v>1159</v>
      </c>
      <c r="C120" s="275" t="s">
        <v>1047</v>
      </c>
      <c r="D120" s="275" t="s">
        <v>1067</v>
      </c>
      <c r="E120" s="275" t="s">
        <v>811</v>
      </c>
      <c r="F120" s="284" t="s">
        <v>517</v>
      </c>
      <c r="G120" s="282">
        <f>567100+90000+30000+270000+37422+49551+640900+100000-504000+25000+560000</f>
        <v>1865973</v>
      </c>
      <c r="H120" s="442"/>
      <c r="I120" s="371">
        <f t="shared" si="1"/>
        <v>1865973</v>
      </c>
    </row>
    <row r="121" spans="1:9" ht="39">
      <c r="A121" s="367" t="s">
        <v>812</v>
      </c>
      <c r="B121" s="275" t="s">
        <v>1159</v>
      </c>
      <c r="C121" s="275" t="s">
        <v>1047</v>
      </c>
      <c r="D121" s="275" t="s">
        <v>1067</v>
      </c>
      <c r="E121" s="302" t="s">
        <v>813</v>
      </c>
      <c r="F121" s="284"/>
      <c r="G121" s="282">
        <f>G122</f>
        <v>80000</v>
      </c>
      <c r="H121" s="442"/>
      <c r="I121" s="371">
        <f t="shared" si="1"/>
        <v>80000</v>
      </c>
    </row>
    <row r="122" spans="1:9" ht="92.25">
      <c r="A122" s="376" t="s">
        <v>814</v>
      </c>
      <c r="B122" s="275" t="s">
        <v>1159</v>
      </c>
      <c r="C122" s="275" t="s">
        <v>1047</v>
      </c>
      <c r="D122" s="275" t="s">
        <v>1067</v>
      </c>
      <c r="E122" s="444" t="s">
        <v>815</v>
      </c>
      <c r="F122" s="448"/>
      <c r="G122" s="446">
        <f>G123</f>
        <v>80000</v>
      </c>
      <c r="H122" s="442"/>
      <c r="I122" s="371">
        <f t="shared" si="1"/>
        <v>80000</v>
      </c>
    </row>
    <row r="123" spans="1:9" ht="26.25">
      <c r="A123" s="373" t="s">
        <v>816</v>
      </c>
      <c r="B123" s="275" t="s">
        <v>1159</v>
      </c>
      <c r="C123" s="275" t="s">
        <v>1047</v>
      </c>
      <c r="D123" s="275" t="s">
        <v>1067</v>
      </c>
      <c r="E123" s="302" t="s">
        <v>817</v>
      </c>
      <c r="F123" s="284"/>
      <c r="G123" s="282">
        <f>G124</f>
        <v>80000</v>
      </c>
      <c r="H123" s="442"/>
      <c r="I123" s="371">
        <f t="shared" si="1"/>
        <v>80000</v>
      </c>
    </row>
    <row r="124" spans="1:9" ht="26.25">
      <c r="A124" s="343" t="s">
        <v>820</v>
      </c>
      <c r="B124" s="275" t="s">
        <v>1159</v>
      </c>
      <c r="C124" s="275" t="s">
        <v>1047</v>
      </c>
      <c r="D124" s="275" t="s">
        <v>1067</v>
      </c>
      <c r="E124" s="302" t="s">
        <v>821</v>
      </c>
      <c r="F124" s="284"/>
      <c r="G124" s="282">
        <f>G125</f>
        <v>80000</v>
      </c>
      <c r="H124" s="442"/>
      <c r="I124" s="371">
        <f t="shared" si="1"/>
        <v>80000</v>
      </c>
    </row>
    <row r="125" spans="1:9" ht="26.25">
      <c r="A125" s="343" t="s">
        <v>516</v>
      </c>
      <c r="B125" s="275" t="s">
        <v>1159</v>
      </c>
      <c r="C125" s="275" t="s">
        <v>1047</v>
      </c>
      <c r="D125" s="275" t="s">
        <v>1067</v>
      </c>
      <c r="E125" s="302" t="s">
        <v>821</v>
      </c>
      <c r="F125" s="303" t="s">
        <v>517</v>
      </c>
      <c r="G125" s="282">
        <f>80000</f>
        <v>80000</v>
      </c>
      <c r="H125" s="442"/>
      <c r="I125" s="371">
        <f t="shared" si="1"/>
        <v>80000</v>
      </c>
    </row>
    <row r="126" spans="1:9" ht="39" hidden="1">
      <c r="A126" s="385" t="s">
        <v>822</v>
      </c>
      <c r="B126" s="275" t="s">
        <v>1159</v>
      </c>
      <c r="C126" s="275" t="s">
        <v>1047</v>
      </c>
      <c r="D126" s="275" t="s">
        <v>1067</v>
      </c>
      <c r="E126" s="275" t="s">
        <v>823</v>
      </c>
      <c r="F126" s="284"/>
      <c r="G126" s="282">
        <f>G127</f>
        <v>0</v>
      </c>
      <c r="H126" s="442"/>
      <c r="I126" s="371">
        <f t="shared" si="1"/>
        <v>0</v>
      </c>
    </row>
    <row r="127" spans="1:9" ht="66" hidden="1">
      <c r="A127" s="386" t="s">
        <v>843</v>
      </c>
      <c r="B127" s="275" t="s">
        <v>1159</v>
      </c>
      <c r="C127" s="275" t="s">
        <v>1047</v>
      </c>
      <c r="D127" s="275" t="s">
        <v>1067</v>
      </c>
      <c r="E127" s="275" t="s">
        <v>844</v>
      </c>
      <c r="F127" s="284"/>
      <c r="G127" s="282">
        <f>G128</f>
        <v>0</v>
      </c>
      <c r="H127" s="442"/>
      <c r="I127" s="371">
        <f t="shared" si="1"/>
        <v>0</v>
      </c>
    </row>
    <row r="128" spans="1:9" ht="26.25" hidden="1">
      <c r="A128" s="387" t="s">
        <v>845</v>
      </c>
      <c r="B128" s="275" t="s">
        <v>1159</v>
      </c>
      <c r="C128" s="275" t="s">
        <v>1047</v>
      </c>
      <c r="D128" s="275" t="s">
        <v>1067</v>
      </c>
      <c r="E128" s="275" t="s">
        <v>846</v>
      </c>
      <c r="F128" s="284"/>
      <c r="G128" s="282">
        <f>G129</f>
        <v>0</v>
      </c>
      <c r="H128" s="442"/>
      <c r="I128" s="371">
        <f t="shared" si="1"/>
        <v>0</v>
      </c>
    </row>
    <row r="129" spans="1:9" ht="26.25" hidden="1">
      <c r="A129" s="373" t="s">
        <v>847</v>
      </c>
      <c r="B129" s="275" t="s">
        <v>1159</v>
      </c>
      <c r="C129" s="275" t="s">
        <v>1047</v>
      </c>
      <c r="D129" s="275" t="s">
        <v>1067</v>
      </c>
      <c r="E129" s="275" t="s">
        <v>848</v>
      </c>
      <c r="F129" s="284"/>
      <c r="G129" s="282">
        <f>G130</f>
        <v>0</v>
      </c>
      <c r="H129" s="442"/>
      <c r="I129" s="371">
        <f t="shared" si="1"/>
        <v>0</v>
      </c>
    </row>
    <row r="130" spans="1:9" ht="26.25" hidden="1">
      <c r="A130" s="343" t="s">
        <v>516</v>
      </c>
      <c r="B130" s="275" t="s">
        <v>1159</v>
      </c>
      <c r="C130" s="275" t="s">
        <v>1047</v>
      </c>
      <c r="D130" s="275" t="s">
        <v>1067</v>
      </c>
      <c r="E130" s="275" t="s">
        <v>848</v>
      </c>
      <c r="F130" s="284" t="s">
        <v>517</v>
      </c>
      <c r="G130" s="282"/>
      <c r="H130" s="442"/>
      <c r="I130" s="371">
        <f t="shared" si="1"/>
        <v>0</v>
      </c>
    </row>
    <row r="131" spans="1:9" ht="42" customHeight="1">
      <c r="A131" s="370" t="s">
        <v>852</v>
      </c>
      <c r="B131" s="275" t="s">
        <v>1159</v>
      </c>
      <c r="C131" s="275" t="s">
        <v>1047</v>
      </c>
      <c r="D131" s="275" t="s">
        <v>1067</v>
      </c>
      <c r="E131" s="302" t="s">
        <v>853</v>
      </c>
      <c r="F131" s="284"/>
      <c r="G131" s="282">
        <f>G132</f>
        <v>70000</v>
      </c>
      <c r="H131" s="462"/>
      <c r="I131" s="371">
        <f t="shared" si="1"/>
        <v>70000</v>
      </c>
    </row>
    <row r="132" spans="1:9" ht="66">
      <c r="A132" s="388" t="s">
        <v>854</v>
      </c>
      <c r="B132" s="275" t="s">
        <v>1159</v>
      </c>
      <c r="C132" s="275" t="s">
        <v>1047</v>
      </c>
      <c r="D132" s="275" t="s">
        <v>1067</v>
      </c>
      <c r="E132" s="302" t="s">
        <v>855</v>
      </c>
      <c r="F132" s="284"/>
      <c r="G132" s="282">
        <f>G133</f>
        <v>70000</v>
      </c>
      <c r="H132" s="462"/>
      <c r="I132" s="371">
        <f t="shared" si="1"/>
        <v>70000</v>
      </c>
    </row>
    <row r="133" spans="1:9" ht="26.25">
      <c r="A133" s="376" t="s">
        <v>856</v>
      </c>
      <c r="B133" s="275" t="s">
        <v>1159</v>
      </c>
      <c r="C133" s="275" t="s">
        <v>1047</v>
      </c>
      <c r="D133" s="275" t="s">
        <v>1067</v>
      </c>
      <c r="E133" s="298" t="s">
        <v>857</v>
      </c>
      <c r="F133" s="284"/>
      <c r="G133" s="282">
        <f>G134+G136</f>
        <v>70000</v>
      </c>
      <c r="H133" s="462"/>
      <c r="I133" s="371">
        <f t="shared" si="1"/>
        <v>70000</v>
      </c>
    </row>
    <row r="134" spans="1:9" ht="26.25">
      <c r="A134" s="343" t="s">
        <v>858</v>
      </c>
      <c r="B134" s="275" t="s">
        <v>1159</v>
      </c>
      <c r="C134" s="275" t="s">
        <v>1047</v>
      </c>
      <c r="D134" s="275" t="s">
        <v>1067</v>
      </c>
      <c r="E134" s="298" t="s">
        <v>859</v>
      </c>
      <c r="F134" s="284"/>
      <c r="G134" s="282">
        <f>G135</f>
        <v>30000</v>
      </c>
      <c r="H134" s="442"/>
      <c r="I134" s="371">
        <f t="shared" si="1"/>
        <v>30000</v>
      </c>
    </row>
    <row r="135" spans="1:9" ht="26.25">
      <c r="A135" s="343" t="s">
        <v>516</v>
      </c>
      <c r="B135" s="275" t="s">
        <v>1159</v>
      </c>
      <c r="C135" s="275" t="s">
        <v>1047</v>
      </c>
      <c r="D135" s="275" t="s">
        <v>1067</v>
      </c>
      <c r="E135" s="298" t="s">
        <v>859</v>
      </c>
      <c r="F135" s="284" t="s">
        <v>517</v>
      </c>
      <c r="G135" s="282">
        <v>30000</v>
      </c>
      <c r="H135" s="442"/>
      <c r="I135" s="371">
        <f t="shared" si="1"/>
        <v>30000</v>
      </c>
    </row>
    <row r="136" spans="1:9" ht="13.5">
      <c r="A136" s="343" t="s">
        <v>860</v>
      </c>
      <c r="B136" s="275" t="s">
        <v>1159</v>
      </c>
      <c r="C136" s="275" t="s">
        <v>1047</v>
      </c>
      <c r="D136" s="275" t="s">
        <v>1067</v>
      </c>
      <c r="E136" s="298" t="s">
        <v>861</v>
      </c>
      <c r="F136" s="284"/>
      <c r="G136" s="282">
        <f>G137</f>
        <v>40000</v>
      </c>
      <c r="H136" s="442"/>
      <c r="I136" s="371">
        <f t="shared" si="1"/>
        <v>40000</v>
      </c>
    </row>
    <row r="137" spans="1:9" ht="26.25">
      <c r="A137" s="343" t="s">
        <v>516</v>
      </c>
      <c r="B137" s="275" t="s">
        <v>1159</v>
      </c>
      <c r="C137" s="275" t="s">
        <v>1047</v>
      </c>
      <c r="D137" s="275" t="s">
        <v>1067</v>
      </c>
      <c r="E137" s="298" t="s">
        <v>861</v>
      </c>
      <c r="F137" s="284" t="s">
        <v>517</v>
      </c>
      <c r="G137" s="282">
        <f>40000</f>
        <v>40000</v>
      </c>
      <c r="H137" s="442"/>
      <c r="I137" s="371">
        <f t="shared" si="1"/>
        <v>40000</v>
      </c>
    </row>
    <row r="138" spans="1:9" ht="42.75" customHeight="1">
      <c r="A138" s="389" t="s">
        <v>945</v>
      </c>
      <c r="B138" s="275" t="s">
        <v>1159</v>
      </c>
      <c r="C138" s="275" t="s">
        <v>1047</v>
      </c>
      <c r="D138" s="275" t="s">
        <v>1067</v>
      </c>
      <c r="E138" s="289" t="s">
        <v>946</v>
      </c>
      <c r="F138" s="284"/>
      <c r="G138" s="282">
        <f>G139+G143</f>
        <v>772500</v>
      </c>
      <c r="H138" s="442"/>
      <c r="I138" s="371">
        <f t="shared" si="1"/>
        <v>772500</v>
      </c>
    </row>
    <row r="139" spans="1:9" ht="51" customHeight="1" hidden="1">
      <c r="A139" s="383" t="s">
        <v>947</v>
      </c>
      <c r="B139" s="275" t="s">
        <v>1159</v>
      </c>
      <c r="C139" s="275" t="s">
        <v>1047</v>
      </c>
      <c r="D139" s="275" t="s">
        <v>1067</v>
      </c>
      <c r="E139" s="289" t="s">
        <v>948</v>
      </c>
      <c r="F139" s="284"/>
      <c r="G139" s="282">
        <f>G140</f>
        <v>0</v>
      </c>
      <c r="H139" s="442"/>
      <c r="I139" s="371">
        <f t="shared" si="1"/>
        <v>0</v>
      </c>
    </row>
    <row r="140" spans="1:9" ht="26.25" hidden="1">
      <c r="A140" s="383" t="s">
        <v>949</v>
      </c>
      <c r="B140" s="275" t="s">
        <v>1159</v>
      </c>
      <c r="C140" s="275" t="s">
        <v>1047</v>
      </c>
      <c r="D140" s="275" t="s">
        <v>1067</v>
      </c>
      <c r="E140" s="289" t="s">
        <v>950</v>
      </c>
      <c r="F140" s="284"/>
      <c r="G140" s="282">
        <f>G141</f>
        <v>0</v>
      </c>
      <c r="H140" s="442"/>
      <c r="I140" s="371">
        <f t="shared" si="1"/>
        <v>0</v>
      </c>
    </row>
    <row r="141" spans="1:9" ht="26.25" hidden="1">
      <c r="A141" s="343" t="s">
        <v>951</v>
      </c>
      <c r="B141" s="275" t="s">
        <v>1159</v>
      </c>
      <c r="C141" s="275" t="s">
        <v>1047</v>
      </c>
      <c r="D141" s="275" t="s">
        <v>1067</v>
      </c>
      <c r="E141" s="289" t="s">
        <v>952</v>
      </c>
      <c r="F141" s="284"/>
      <c r="G141" s="282">
        <f>G142</f>
        <v>0</v>
      </c>
      <c r="H141" s="442"/>
      <c r="I141" s="371">
        <f t="shared" si="1"/>
        <v>0</v>
      </c>
    </row>
    <row r="142" spans="1:9" ht="26.25" hidden="1">
      <c r="A142" s="343" t="s">
        <v>516</v>
      </c>
      <c r="B142" s="275" t="s">
        <v>1159</v>
      </c>
      <c r="C142" s="275" t="s">
        <v>1047</v>
      </c>
      <c r="D142" s="275" t="s">
        <v>1067</v>
      </c>
      <c r="E142" s="289" t="s">
        <v>952</v>
      </c>
      <c r="F142" s="284" t="s">
        <v>517</v>
      </c>
      <c r="G142" s="282">
        <f>15000-15000</f>
        <v>0</v>
      </c>
      <c r="H142" s="442"/>
      <c r="I142" s="371">
        <f t="shared" si="1"/>
        <v>0</v>
      </c>
    </row>
    <row r="143" spans="1:9" ht="59.25" customHeight="1">
      <c r="A143" s="383" t="s">
        <v>953</v>
      </c>
      <c r="B143" s="275" t="s">
        <v>1159</v>
      </c>
      <c r="C143" s="275" t="s">
        <v>1047</v>
      </c>
      <c r="D143" s="275" t="s">
        <v>1067</v>
      </c>
      <c r="E143" s="289" t="s">
        <v>954</v>
      </c>
      <c r="F143" s="284"/>
      <c r="G143" s="282">
        <f>G144</f>
        <v>772500</v>
      </c>
      <c r="H143" s="442"/>
      <c r="I143" s="371">
        <f t="shared" si="1"/>
        <v>772500</v>
      </c>
    </row>
    <row r="144" spans="1:9" ht="13.5">
      <c r="A144" s="383" t="s">
        <v>955</v>
      </c>
      <c r="B144" s="275" t="s">
        <v>1159</v>
      </c>
      <c r="C144" s="275" t="s">
        <v>1047</v>
      </c>
      <c r="D144" s="275" t="s">
        <v>1067</v>
      </c>
      <c r="E144" s="289" t="s">
        <v>956</v>
      </c>
      <c r="F144" s="284"/>
      <c r="G144" s="282">
        <f>G145</f>
        <v>772500</v>
      </c>
      <c r="H144" s="442"/>
      <c r="I144" s="371">
        <f t="shared" si="1"/>
        <v>772500</v>
      </c>
    </row>
    <row r="145" spans="1:9" ht="23.25" customHeight="1">
      <c r="A145" s="383" t="s">
        <v>609</v>
      </c>
      <c r="B145" s="275" t="s">
        <v>1159</v>
      </c>
      <c r="C145" s="275" t="s">
        <v>1047</v>
      </c>
      <c r="D145" s="275" t="s">
        <v>1067</v>
      </c>
      <c r="E145" s="289" t="s">
        <v>957</v>
      </c>
      <c r="F145" s="284"/>
      <c r="G145" s="282">
        <f>G146</f>
        <v>772500</v>
      </c>
      <c r="H145" s="442"/>
      <c r="I145" s="371">
        <f t="shared" si="1"/>
        <v>772500</v>
      </c>
    </row>
    <row r="146" spans="1:9" ht="30" customHeight="1">
      <c r="A146" s="343" t="s">
        <v>516</v>
      </c>
      <c r="B146" s="275" t="s">
        <v>1159</v>
      </c>
      <c r="C146" s="275" t="s">
        <v>1047</v>
      </c>
      <c r="D146" s="275" t="s">
        <v>1067</v>
      </c>
      <c r="E146" s="289" t="s">
        <v>957</v>
      </c>
      <c r="F146" s="284" t="s">
        <v>517</v>
      </c>
      <c r="G146" s="282">
        <f>181500+72000+504000+15000</f>
        <v>772500</v>
      </c>
      <c r="H146" s="462"/>
      <c r="I146" s="371">
        <f t="shared" si="1"/>
        <v>772500</v>
      </c>
    </row>
    <row r="147" spans="1:9" ht="46.5" customHeight="1">
      <c r="A147" s="343" t="s">
        <v>958</v>
      </c>
      <c r="B147" s="275" t="s">
        <v>1159</v>
      </c>
      <c r="C147" s="275" t="s">
        <v>1047</v>
      </c>
      <c r="D147" s="275" t="s">
        <v>1067</v>
      </c>
      <c r="E147" s="289" t="s">
        <v>959</v>
      </c>
      <c r="F147" s="324"/>
      <c r="G147" s="282">
        <f>G148</f>
        <v>2746541</v>
      </c>
      <c r="H147" s="442"/>
      <c r="I147" s="371">
        <f t="shared" si="1"/>
        <v>2746541</v>
      </c>
    </row>
    <row r="148" spans="1:9" ht="57.75" customHeight="1">
      <c r="A148" s="343" t="s">
        <v>960</v>
      </c>
      <c r="B148" s="275" t="s">
        <v>1159</v>
      </c>
      <c r="C148" s="443" t="s">
        <v>1047</v>
      </c>
      <c r="D148" s="443" t="s">
        <v>1067</v>
      </c>
      <c r="E148" s="453" t="s">
        <v>961</v>
      </c>
      <c r="F148" s="454"/>
      <c r="G148" s="446">
        <f>G150</f>
        <v>2746541</v>
      </c>
      <c r="H148" s="442"/>
      <c r="I148" s="371">
        <f t="shared" si="1"/>
        <v>2746541</v>
      </c>
    </row>
    <row r="149" spans="1:9" ht="62.25" customHeight="1">
      <c r="A149" s="392" t="s">
        <v>962</v>
      </c>
      <c r="B149" s="275" t="s">
        <v>1159</v>
      </c>
      <c r="C149" s="275" t="s">
        <v>1047</v>
      </c>
      <c r="D149" s="275" t="s">
        <v>1067</v>
      </c>
      <c r="E149" s="289" t="s">
        <v>963</v>
      </c>
      <c r="F149" s="324"/>
      <c r="G149" s="282">
        <f>G150</f>
        <v>2746541</v>
      </c>
      <c r="H149" s="442"/>
      <c r="I149" s="371">
        <f t="shared" si="1"/>
        <v>2746541</v>
      </c>
    </row>
    <row r="150" spans="1:9" ht="33.75" customHeight="1">
      <c r="A150" s="372" t="s">
        <v>964</v>
      </c>
      <c r="B150" s="275" t="s">
        <v>1159</v>
      </c>
      <c r="C150" s="275" t="s">
        <v>1047</v>
      </c>
      <c r="D150" s="275" t="s">
        <v>1067</v>
      </c>
      <c r="E150" s="289" t="s">
        <v>965</v>
      </c>
      <c r="F150" s="324"/>
      <c r="G150" s="282">
        <f>G151+G152</f>
        <v>2746541</v>
      </c>
      <c r="H150" s="442"/>
      <c r="I150" s="371">
        <f t="shared" si="1"/>
        <v>2746541</v>
      </c>
    </row>
    <row r="151" spans="1:9" ht="41.25" customHeight="1">
      <c r="A151" s="343" t="s">
        <v>522</v>
      </c>
      <c r="B151" s="275" t="s">
        <v>1159</v>
      </c>
      <c r="C151" s="275" t="s">
        <v>1047</v>
      </c>
      <c r="D151" s="275" t="s">
        <v>1067</v>
      </c>
      <c r="E151" s="289" t="s">
        <v>965</v>
      </c>
      <c r="F151" s="324" t="s">
        <v>523</v>
      </c>
      <c r="G151" s="282">
        <v>765394</v>
      </c>
      <c r="H151" s="462"/>
      <c r="I151" s="371">
        <v>936522.44</v>
      </c>
    </row>
    <row r="152" spans="1:9" ht="30.75" customHeight="1">
      <c r="A152" s="343" t="s">
        <v>516</v>
      </c>
      <c r="B152" s="275" t="s">
        <v>1159</v>
      </c>
      <c r="C152" s="275" t="s">
        <v>1047</v>
      </c>
      <c r="D152" s="275" t="s">
        <v>1067</v>
      </c>
      <c r="E152" s="289" t="s">
        <v>965</v>
      </c>
      <c r="F152" s="324" t="s">
        <v>517</v>
      </c>
      <c r="G152" s="282">
        <v>1981147</v>
      </c>
      <c r="H152" s="462"/>
      <c r="I152" s="371">
        <v>1810018.56</v>
      </c>
    </row>
    <row r="153" spans="1:9" ht="30.75" customHeight="1">
      <c r="A153" s="343" t="s">
        <v>972</v>
      </c>
      <c r="B153" s="275" t="s">
        <v>1159</v>
      </c>
      <c r="C153" s="275" t="s">
        <v>1047</v>
      </c>
      <c r="D153" s="275" t="s">
        <v>1067</v>
      </c>
      <c r="E153" s="275" t="s">
        <v>973</v>
      </c>
      <c r="F153" s="324"/>
      <c r="G153" s="282">
        <f>G154</f>
        <v>290000</v>
      </c>
      <c r="H153" s="462"/>
      <c r="I153" s="371">
        <f t="shared" si="1"/>
        <v>290000</v>
      </c>
    </row>
    <row r="154" spans="1:9" ht="30.75" customHeight="1">
      <c r="A154" s="372" t="s">
        <v>974</v>
      </c>
      <c r="B154" s="275" t="s">
        <v>1159</v>
      </c>
      <c r="C154" s="275" t="s">
        <v>1047</v>
      </c>
      <c r="D154" s="275" t="s">
        <v>1067</v>
      </c>
      <c r="E154" s="275" t="s">
        <v>975</v>
      </c>
      <c r="F154" s="324"/>
      <c r="G154" s="282">
        <f>G155</f>
        <v>290000</v>
      </c>
      <c r="H154" s="462"/>
      <c r="I154" s="371">
        <f t="shared" si="1"/>
        <v>290000</v>
      </c>
    </row>
    <row r="155" spans="1:9" ht="30.75" customHeight="1">
      <c r="A155" s="300" t="s">
        <v>1183</v>
      </c>
      <c r="B155" s="275" t="s">
        <v>1159</v>
      </c>
      <c r="C155" s="275" t="s">
        <v>1047</v>
      </c>
      <c r="D155" s="275" t="s">
        <v>1067</v>
      </c>
      <c r="E155" s="275" t="s">
        <v>1184</v>
      </c>
      <c r="F155" s="324"/>
      <c r="G155" s="282">
        <f>G156+G157</f>
        <v>290000</v>
      </c>
      <c r="H155" s="462"/>
      <c r="I155" s="371">
        <f t="shared" si="1"/>
        <v>290000</v>
      </c>
    </row>
    <row r="156" spans="1:9" ht="40.5" customHeight="1">
      <c r="A156" s="343" t="s">
        <v>522</v>
      </c>
      <c r="B156" s="275" t="s">
        <v>1159</v>
      </c>
      <c r="C156" s="275" t="s">
        <v>1047</v>
      </c>
      <c r="D156" s="275" t="s">
        <v>1067</v>
      </c>
      <c r="E156" s="275" t="s">
        <v>1184</v>
      </c>
      <c r="F156" s="324" t="s">
        <v>523</v>
      </c>
      <c r="G156" s="282">
        <f>168970+51030</f>
        <v>220000</v>
      </c>
      <c r="H156" s="462"/>
      <c r="I156" s="371">
        <f t="shared" si="1"/>
        <v>220000</v>
      </c>
    </row>
    <row r="157" spans="1:9" ht="30.75" customHeight="1">
      <c r="A157" s="343" t="s">
        <v>516</v>
      </c>
      <c r="B157" s="275" t="s">
        <v>1159</v>
      </c>
      <c r="C157" s="275" t="s">
        <v>1047</v>
      </c>
      <c r="D157" s="275" t="s">
        <v>1067</v>
      </c>
      <c r="E157" s="275" t="s">
        <v>1184</v>
      </c>
      <c r="F157" s="324" t="s">
        <v>517</v>
      </c>
      <c r="G157" s="282">
        <f>40000+30000</f>
        <v>70000</v>
      </c>
      <c r="H157" s="462"/>
      <c r="I157" s="371">
        <f t="shared" si="1"/>
        <v>70000</v>
      </c>
    </row>
    <row r="158" spans="1:9" ht="26.25">
      <c r="A158" s="343" t="s">
        <v>990</v>
      </c>
      <c r="B158" s="275" t="s">
        <v>1159</v>
      </c>
      <c r="C158" s="275" t="s">
        <v>1047</v>
      </c>
      <c r="D158" s="275" t="s">
        <v>1067</v>
      </c>
      <c r="E158" s="302" t="s">
        <v>991</v>
      </c>
      <c r="F158" s="324"/>
      <c r="G158" s="282">
        <f>G159</f>
        <v>38382960.2</v>
      </c>
      <c r="H158" s="442"/>
      <c r="I158" s="371">
        <f t="shared" si="1"/>
        <v>38382960.2</v>
      </c>
    </row>
    <row r="159" spans="1:9" ht="21.75" customHeight="1">
      <c r="A159" s="343" t="s">
        <v>992</v>
      </c>
      <c r="B159" s="275" t="s">
        <v>1159</v>
      </c>
      <c r="C159" s="275" t="s">
        <v>1047</v>
      </c>
      <c r="D159" s="275" t="s">
        <v>1067</v>
      </c>
      <c r="E159" s="302" t="s">
        <v>993</v>
      </c>
      <c r="F159" s="324"/>
      <c r="G159" s="282">
        <f>G160</f>
        <v>38382960.2</v>
      </c>
      <c r="H159" s="442"/>
      <c r="I159" s="371">
        <f t="shared" si="1"/>
        <v>38382960.2</v>
      </c>
    </row>
    <row r="160" spans="1:9" ht="23.25" customHeight="1">
      <c r="A160" s="370" t="s">
        <v>609</v>
      </c>
      <c r="B160" s="275" t="s">
        <v>1159</v>
      </c>
      <c r="C160" s="275" t="s">
        <v>1047</v>
      </c>
      <c r="D160" s="275" t="s">
        <v>1067</v>
      </c>
      <c r="E160" s="302" t="s">
        <v>994</v>
      </c>
      <c r="F160" s="324"/>
      <c r="G160" s="282">
        <f>G161+G163+G162</f>
        <v>38382960.2</v>
      </c>
      <c r="H160" s="442"/>
      <c r="I160" s="371">
        <f t="shared" si="1"/>
        <v>38382960.2</v>
      </c>
    </row>
    <row r="161" spans="1:9" ht="30" customHeight="1">
      <c r="A161" s="343" t="s">
        <v>516</v>
      </c>
      <c r="B161" s="275" t="s">
        <v>1159</v>
      </c>
      <c r="C161" s="275" t="s">
        <v>1047</v>
      </c>
      <c r="D161" s="275" t="s">
        <v>1067</v>
      </c>
      <c r="E161" s="302" t="s">
        <v>994</v>
      </c>
      <c r="F161" s="324" t="s">
        <v>517</v>
      </c>
      <c r="G161" s="282">
        <f>10000+0.24+50000</f>
        <v>60000.24</v>
      </c>
      <c r="H161" s="462"/>
      <c r="I161" s="371">
        <f t="shared" si="1"/>
        <v>60000.24</v>
      </c>
    </row>
    <row r="162" spans="1:9" ht="21" customHeight="1">
      <c r="A162" s="401" t="s">
        <v>713</v>
      </c>
      <c r="B162" s="275" t="s">
        <v>1159</v>
      </c>
      <c r="C162" s="275" t="s">
        <v>1047</v>
      </c>
      <c r="D162" s="275" t="s">
        <v>1067</v>
      </c>
      <c r="E162" s="302" t="s">
        <v>994</v>
      </c>
      <c r="F162" s="324" t="s">
        <v>714</v>
      </c>
      <c r="G162" s="282">
        <f>220000</f>
        <v>220000</v>
      </c>
      <c r="H162" s="462"/>
      <c r="I162" s="371">
        <f t="shared" si="1"/>
        <v>220000</v>
      </c>
    </row>
    <row r="163" spans="1:9" ht="17.25" customHeight="1">
      <c r="A163" s="373" t="s">
        <v>524</v>
      </c>
      <c r="B163" s="275" t="s">
        <v>1159</v>
      </c>
      <c r="C163" s="275" t="s">
        <v>1047</v>
      </c>
      <c r="D163" s="275" t="s">
        <v>1067</v>
      </c>
      <c r="E163" s="302" t="s">
        <v>994</v>
      </c>
      <c r="F163" s="324" t="s">
        <v>525</v>
      </c>
      <c r="G163" s="282">
        <f>167900+67000+3521200-105748.68-68550-50947-2963820+30000+2277273-177600-1369183.36+302308-93214+36566342</f>
        <v>38102959.96</v>
      </c>
      <c r="H163" s="462"/>
      <c r="I163" s="371">
        <f t="shared" si="1"/>
        <v>38102959.96</v>
      </c>
    </row>
    <row r="164" spans="1:9" ht="20.25" customHeight="1">
      <c r="A164" s="370" t="s">
        <v>995</v>
      </c>
      <c r="B164" s="275" t="s">
        <v>1159</v>
      </c>
      <c r="C164" s="319" t="s">
        <v>1047</v>
      </c>
      <c r="D164" s="275" t="s">
        <v>1067</v>
      </c>
      <c r="E164" s="298" t="s">
        <v>996</v>
      </c>
      <c r="F164" s="303"/>
      <c r="G164" s="282">
        <f>G165</f>
        <v>23246589</v>
      </c>
      <c r="H164" s="462"/>
      <c r="I164" s="371">
        <f t="shared" si="1"/>
        <v>23246589</v>
      </c>
    </row>
    <row r="165" spans="1:9" ht="18.75" customHeight="1">
      <c r="A165" s="370" t="s">
        <v>1001</v>
      </c>
      <c r="B165" s="275" t="s">
        <v>1159</v>
      </c>
      <c r="C165" s="275" t="s">
        <v>1047</v>
      </c>
      <c r="D165" s="275" t="s">
        <v>1067</v>
      </c>
      <c r="E165" s="275" t="s">
        <v>1002</v>
      </c>
      <c r="F165" s="284"/>
      <c r="G165" s="282">
        <f>G166+G170+G172</f>
        <v>23246589</v>
      </c>
      <c r="H165" s="462"/>
      <c r="I165" s="371">
        <f t="shared" si="1"/>
        <v>23246589</v>
      </c>
    </row>
    <row r="166" spans="1:9" ht="30" customHeight="1">
      <c r="A166" s="373" t="s">
        <v>520</v>
      </c>
      <c r="B166" s="275" t="s">
        <v>1159</v>
      </c>
      <c r="C166" s="275" t="s">
        <v>1047</v>
      </c>
      <c r="D166" s="275" t="s">
        <v>1067</v>
      </c>
      <c r="E166" s="275" t="s">
        <v>1013</v>
      </c>
      <c r="F166" s="284"/>
      <c r="G166" s="282">
        <f>G167+G168+G169</f>
        <v>22971269</v>
      </c>
      <c r="H166" s="462"/>
      <c r="I166" s="371">
        <f t="shared" si="1"/>
        <v>22971269</v>
      </c>
    </row>
    <row r="167" spans="1:9" ht="42" customHeight="1">
      <c r="A167" s="343" t="s">
        <v>522</v>
      </c>
      <c r="B167" s="275" t="s">
        <v>1159</v>
      </c>
      <c r="C167" s="275" t="s">
        <v>1047</v>
      </c>
      <c r="D167" s="275" t="s">
        <v>1067</v>
      </c>
      <c r="E167" s="275" t="s">
        <v>1013</v>
      </c>
      <c r="F167" s="303" t="s">
        <v>523</v>
      </c>
      <c r="G167" s="282">
        <f>5520500+317090+83869+61258</f>
        <v>5982717</v>
      </c>
      <c r="H167" s="462"/>
      <c r="I167" s="371">
        <f t="shared" si="1"/>
        <v>5982717</v>
      </c>
    </row>
    <row r="168" spans="1:9" ht="30" customHeight="1">
      <c r="A168" s="343" t="s">
        <v>516</v>
      </c>
      <c r="B168" s="275" t="s">
        <v>1159</v>
      </c>
      <c r="C168" s="275" t="s">
        <v>1047</v>
      </c>
      <c r="D168" s="275" t="s">
        <v>1067</v>
      </c>
      <c r="E168" s="275" t="s">
        <v>1013</v>
      </c>
      <c r="F168" s="303" t="s">
        <v>517</v>
      </c>
      <c r="G168" s="282">
        <f>2631850+3275000+5851500+40000+102950+1487928+3551072</f>
        <v>16940300</v>
      </c>
      <c r="H168" s="462"/>
      <c r="I168" s="371">
        <f t="shared" si="1"/>
        <v>16940300</v>
      </c>
    </row>
    <row r="169" spans="1:9" ht="21.75" customHeight="1">
      <c r="A169" s="373" t="s">
        <v>524</v>
      </c>
      <c r="B169" s="275" t="s">
        <v>1159</v>
      </c>
      <c r="C169" s="275" t="s">
        <v>1047</v>
      </c>
      <c r="D169" s="275" t="s">
        <v>1067</v>
      </c>
      <c r="E169" s="275" t="s">
        <v>1013</v>
      </c>
      <c r="F169" s="303" t="s">
        <v>525</v>
      </c>
      <c r="G169" s="282">
        <f>18140+8000+12787+9325</f>
        <v>48252</v>
      </c>
      <c r="H169" s="462"/>
      <c r="I169" s="371">
        <f t="shared" si="1"/>
        <v>48252</v>
      </c>
    </row>
    <row r="170" spans="1:9" ht="21" customHeight="1">
      <c r="A170" s="386" t="s">
        <v>1014</v>
      </c>
      <c r="B170" s="275" t="s">
        <v>1159</v>
      </c>
      <c r="C170" s="275" t="s">
        <v>1047</v>
      </c>
      <c r="D170" s="275" t="s">
        <v>1067</v>
      </c>
      <c r="E170" s="275" t="s">
        <v>1015</v>
      </c>
      <c r="F170" s="303"/>
      <c r="G170" s="282">
        <f>G171</f>
        <v>100000</v>
      </c>
      <c r="H170" s="442"/>
      <c r="I170" s="371">
        <f t="shared" si="1"/>
        <v>100000</v>
      </c>
    </row>
    <row r="171" spans="1:9" ht="30" customHeight="1">
      <c r="A171" s="343" t="s">
        <v>516</v>
      </c>
      <c r="B171" s="275" t="s">
        <v>1159</v>
      </c>
      <c r="C171" s="275" t="s">
        <v>1047</v>
      </c>
      <c r="D171" s="275" t="s">
        <v>1067</v>
      </c>
      <c r="E171" s="275" t="s">
        <v>1015</v>
      </c>
      <c r="F171" s="303" t="s">
        <v>517</v>
      </c>
      <c r="G171" s="282">
        <v>100000</v>
      </c>
      <c r="H171" s="462"/>
      <c r="I171" s="371">
        <f t="shared" si="1"/>
        <v>100000</v>
      </c>
    </row>
    <row r="172" spans="1:9" ht="30" customHeight="1">
      <c r="A172" s="343" t="s">
        <v>1011</v>
      </c>
      <c r="B172" s="275" t="s">
        <v>1159</v>
      </c>
      <c r="C172" s="275" t="s">
        <v>1047</v>
      </c>
      <c r="D172" s="275" t="s">
        <v>1067</v>
      </c>
      <c r="E172" s="275" t="s">
        <v>1012</v>
      </c>
      <c r="F172" s="303"/>
      <c r="G172" s="282">
        <f>G173</f>
        <v>175320</v>
      </c>
      <c r="H172" s="442"/>
      <c r="I172" s="371">
        <f t="shared" si="1"/>
        <v>175320</v>
      </c>
    </row>
    <row r="173" spans="1:9" ht="13.5">
      <c r="A173" s="343" t="s">
        <v>713</v>
      </c>
      <c r="B173" s="275" t="s">
        <v>1159</v>
      </c>
      <c r="C173" s="275" t="s">
        <v>1047</v>
      </c>
      <c r="D173" s="275" t="s">
        <v>1067</v>
      </c>
      <c r="E173" s="275" t="s">
        <v>1012</v>
      </c>
      <c r="F173" s="303" t="s">
        <v>714</v>
      </c>
      <c r="G173" s="282">
        <f>175320</f>
        <v>175320</v>
      </c>
      <c r="H173" s="462"/>
      <c r="I173" s="371">
        <f t="shared" si="1"/>
        <v>175320</v>
      </c>
    </row>
    <row r="174" spans="1:9" ht="13.5">
      <c r="A174" s="370" t="s">
        <v>1034</v>
      </c>
      <c r="B174" s="275" t="s">
        <v>1159</v>
      </c>
      <c r="C174" s="319" t="s">
        <v>1047</v>
      </c>
      <c r="D174" s="275" t="s">
        <v>1067</v>
      </c>
      <c r="E174" s="298" t="s">
        <v>1035</v>
      </c>
      <c r="F174" s="303"/>
      <c r="G174" s="282">
        <f>G175</f>
        <v>60000</v>
      </c>
      <c r="H174" s="442"/>
      <c r="I174" s="371">
        <f t="shared" si="1"/>
        <v>60000</v>
      </c>
    </row>
    <row r="175" spans="1:9" ht="13.5">
      <c r="A175" s="343" t="s">
        <v>1024</v>
      </c>
      <c r="B175" s="275" t="s">
        <v>1159</v>
      </c>
      <c r="C175" s="319" t="s">
        <v>1047</v>
      </c>
      <c r="D175" s="275" t="s">
        <v>1067</v>
      </c>
      <c r="E175" s="298" t="s">
        <v>1036</v>
      </c>
      <c r="F175" s="303"/>
      <c r="G175" s="282">
        <f>G176</f>
        <v>60000</v>
      </c>
      <c r="H175" s="442"/>
      <c r="I175" s="371">
        <f t="shared" si="1"/>
        <v>60000</v>
      </c>
    </row>
    <row r="176" spans="1:9" ht="13.5">
      <c r="A176" s="343" t="s">
        <v>1037</v>
      </c>
      <c r="B176" s="275" t="s">
        <v>1159</v>
      </c>
      <c r="C176" s="319" t="s">
        <v>1047</v>
      </c>
      <c r="D176" s="275" t="s">
        <v>1067</v>
      </c>
      <c r="E176" s="298" t="s">
        <v>1038</v>
      </c>
      <c r="F176" s="303"/>
      <c r="G176" s="282">
        <f>G177</f>
        <v>60000</v>
      </c>
      <c r="H176" s="442"/>
      <c r="I176" s="371">
        <f t="shared" si="1"/>
        <v>60000</v>
      </c>
    </row>
    <row r="177" spans="1:9" ht="13.5">
      <c r="A177" s="393" t="s">
        <v>550</v>
      </c>
      <c r="B177" s="275" t="s">
        <v>1159</v>
      </c>
      <c r="C177" s="319" t="s">
        <v>1047</v>
      </c>
      <c r="D177" s="275" t="s">
        <v>1067</v>
      </c>
      <c r="E177" s="298" t="s">
        <v>1038</v>
      </c>
      <c r="F177" s="303" t="s">
        <v>551</v>
      </c>
      <c r="G177" s="282">
        <f>30000+30000</f>
        <v>60000</v>
      </c>
      <c r="H177" s="442"/>
      <c r="I177" s="371">
        <f t="shared" si="1"/>
        <v>60000</v>
      </c>
    </row>
    <row r="178" spans="1:9" ht="24" customHeight="1">
      <c r="A178" s="470" t="s">
        <v>1076</v>
      </c>
      <c r="B178" s="275" t="s">
        <v>1159</v>
      </c>
      <c r="C178" s="275" t="s">
        <v>1051</v>
      </c>
      <c r="D178" s="275" t="s">
        <v>1077</v>
      </c>
      <c r="E178" s="298"/>
      <c r="F178" s="303"/>
      <c r="G178" s="282">
        <f>G179</f>
        <v>51000</v>
      </c>
      <c r="H178" s="442"/>
      <c r="I178" s="371">
        <f t="shared" si="1"/>
        <v>51000</v>
      </c>
    </row>
    <row r="179" spans="1:9" ht="27.75" customHeight="1">
      <c r="A179" s="413" t="s">
        <v>1078</v>
      </c>
      <c r="B179" s="275" t="s">
        <v>1159</v>
      </c>
      <c r="C179" s="275" t="s">
        <v>1051</v>
      </c>
      <c r="D179" s="275" t="s">
        <v>1079</v>
      </c>
      <c r="E179" s="298"/>
      <c r="F179" s="303"/>
      <c r="G179" s="282">
        <f>G180</f>
        <v>51000</v>
      </c>
      <c r="H179" s="442"/>
      <c r="I179" s="371">
        <f t="shared" si="1"/>
        <v>51000</v>
      </c>
    </row>
    <row r="180" spans="1:9" ht="54.75" customHeight="1">
      <c r="A180" s="376" t="s">
        <v>870</v>
      </c>
      <c r="B180" s="275" t="s">
        <v>1159</v>
      </c>
      <c r="C180" s="275" t="s">
        <v>1051</v>
      </c>
      <c r="D180" s="275" t="s">
        <v>1079</v>
      </c>
      <c r="E180" s="453" t="s">
        <v>871</v>
      </c>
      <c r="F180" s="303"/>
      <c r="G180" s="282">
        <f>G181</f>
        <v>51000</v>
      </c>
      <c r="H180" s="442"/>
      <c r="I180" s="371">
        <f t="shared" si="1"/>
        <v>51000</v>
      </c>
    </row>
    <row r="181" spans="1:9" ht="86.25" customHeight="1">
      <c r="A181" s="383" t="s">
        <v>872</v>
      </c>
      <c r="B181" s="275" t="s">
        <v>1159</v>
      </c>
      <c r="C181" s="443" t="s">
        <v>1051</v>
      </c>
      <c r="D181" s="443" t="s">
        <v>1079</v>
      </c>
      <c r="E181" s="453" t="s">
        <v>873</v>
      </c>
      <c r="F181" s="445"/>
      <c r="G181" s="446">
        <f>G182+G185+G188+G191</f>
        <v>51000</v>
      </c>
      <c r="H181" s="442"/>
      <c r="I181" s="371">
        <f t="shared" si="1"/>
        <v>51000</v>
      </c>
    </row>
    <row r="182" spans="1:9" ht="0.75" customHeight="1" hidden="1">
      <c r="A182" s="383" t="s">
        <v>874</v>
      </c>
      <c r="B182" s="275" t="s">
        <v>1159</v>
      </c>
      <c r="C182" s="275" t="s">
        <v>1051</v>
      </c>
      <c r="D182" s="275" t="s">
        <v>1079</v>
      </c>
      <c r="E182" s="289" t="s">
        <v>875</v>
      </c>
      <c r="F182" s="303"/>
      <c r="G182" s="282">
        <f>G183</f>
        <v>0</v>
      </c>
      <c r="H182" s="442"/>
      <c r="I182" s="371">
        <f t="shared" si="1"/>
        <v>0</v>
      </c>
    </row>
    <row r="183" spans="1:9" ht="39" customHeight="1" hidden="1">
      <c r="A183" s="343" t="s">
        <v>876</v>
      </c>
      <c r="B183" s="275" t="s">
        <v>1159</v>
      </c>
      <c r="C183" s="275" t="s">
        <v>1051</v>
      </c>
      <c r="D183" s="275" t="s">
        <v>1079</v>
      </c>
      <c r="E183" s="289" t="s">
        <v>877</v>
      </c>
      <c r="F183" s="303"/>
      <c r="G183" s="282">
        <f>G184</f>
        <v>0</v>
      </c>
      <c r="H183" s="442"/>
      <c r="I183" s="371">
        <f t="shared" si="1"/>
        <v>0</v>
      </c>
    </row>
    <row r="184" spans="1:9" ht="26.25" customHeight="1" hidden="1">
      <c r="A184" s="343" t="s">
        <v>516</v>
      </c>
      <c r="B184" s="275" t="s">
        <v>1159</v>
      </c>
      <c r="C184" s="275" t="s">
        <v>1051</v>
      </c>
      <c r="D184" s="275" t="s">
        <v>1079</v>
      </c>
      <c r="E184" s="289" t="s">
        <v>877</v>
      </c>
      <c r="F184" s="303" t="s">
        <v>517</v>
      </c>
      <c r="G184" s="282"/>
      <c r="H184" s="442"/>
      <c r="I184" s="371">
        <f t="shared" si="1"/>
        <v>0</v>
      </c>
    </row>
    <row r="185" spans="1:9" ht="60.75" customHeight="1">
      <c r="A185" s="383" t="s">
        <v>878</v>
      </c>
      <c r="B185" s="275" t="s">
        <v>1159</v>
      </c>
      <c r="C185" s="275" t="s">
        <v>1051</v>
      </c>
      <c r="D185" s="275" t="s">
        <v>1079</v>
      </c>
      <c r="E185" s="289" t="s">
        <v>879</v>
      </c>
      <c r="F185" s="303"/>
      <c r="G185" s="282">
        <f>G186</f>
        <v>51000</v>
      </c>
      <c r="H185" s="442"/>
      <c r="I185" s="371">
        <f t="shared" si="1"/>
        <v>51000</v>
      </c>
    </row>
    <row r="186" spans="1:9" ht="43.5" customHeight="1">
      <c r="A186" s="343" t="s">
        <v>876</v>
      </c>
      <c r="B186" s="275" t="s">
        <v>1159</v>
      </c>
      <c r="C186" s="275" t="s">
        <v>1051</v>
      </c>
      <c r="D186" s="275" t="s">
        <v>1079</v>
      </c>
      <c r="E186" s="289" t="s">
        <v>880</v>
      </c>
      <c r="F186" s="303"/>
      <c r="G186" s="282">
        <f>G187</f>
        <v>51000</v>
      </c>
      <c r="H186" s="442"/>
      <c r="I186" s="371">
        <f t="shared" si="1"/>
        <v>51000</v>
      </c>
    </row>
    <row r="187" spans="1:9" ht="33" customHeight="1">
      <c r="A187" s="343" t="s">
        <v>516</v>
      </c>
      <c r="B187" s="275" t="s">
        <v>1159</v>
      </c>
      <c r="C187" s="275" t="s">
        <v>1051</v>
      </c>
      <c r="D187" s="275" t="s">
        <v>1079</v>
      </c>
      <c r="E187" s="289" t="s">
        <v>880</v>
      </c>
      <c r="F187" s="303" t="s">
        <v>517</v>
      </c>
      <c r="G187" s="282">
        <v>51000</v>
      </c>
      <c r="H187" s="462"/>
      <c r="I187" s="371">
        <f t="shared" si="1"/>
        <v>51000</v>
      </c>
    </row>
    <row r="188" spans="1:9" ht="28.5" customHeight="1" hidden="1">
      <c r="A188" s="383" t="s">
        <v>881</v>
      </c>
      <c r="B188" s="275" t="s">
        <v>1159</v>
      </c>
      <c r="C188" s="275" t="s">
        <v>1051</v>
      </c>
      <c r="D188" s="275" t="s">
        <v>1079</v>
      </c>
      <c r="E188" s="289" t="s">
        <v>882</v>
      </c>
      <c r="F188" s="303"/>
      <c r="G188" s="282">
        <f>G189</f>
        <v>0</v>
      </c>
      <c r="H188" s="442"/>
      <c r="I188" s="371">
        <f t="shared" si="1"/>
        <v>0</v>
      </c>
    </row>
    <row r="189" spans="1:9" ht="30" customHeight="1" hidden="1">
      <c r="A189" s="343" t="s">
        <v>876</v>
      </c>
      <c r="B189" s="275" t="s">
        <v>1159</v>
      </c>
      <c r="C189" s="275" t="s">
        <v>1051</v>
      </c>
      <c r="D189" s="275" t="s">
        <v>1079</v>
      </c>
      <c r="E189" s="289" t="s">
        <v>883</v>
      </c>
      <c r="F189" s="303"/>
      <c r="G189" s="282">
        <f>G190</f>
        <v>0</v>
      </c>
      <c r="H189" s="442"/>
      <c r="I189" s="371">
        <f t="shared" si="1"/>
        <v>0</v>
      </c>
    </row>
    <row r="190" spans="1:9" ht="15.75" customHeight="1" hidden="1">
      <c r="A190" s="343" t="s">
        <v>516</v>
      </c>
      <c r="B190" s="275" t="s">
        <v>1159</v>
      </c>
      <c r="C190" s="275" t="s">
        <v>1051</v>
      </c>
      <c r="D190" s="275" t="s">
        <v>1079</v>
      </c>
      <c r="E190" s="289" t="s">
        <v>883</v>
      </c>
      <c r="F190" s="303" t="s">
        <v>517</v>
      </c>
      <c r="G190" s="282"/>
      <c r="H190" s="442"/>
      <c r="I190" s="371">
        <f t="shared" si="1"/>
        <v>0</v>
      </c>
    </row>
    <row r="191" spans="1:9" ht="17.25" customHeight="1" hidden="1">
      <c r="A191" s="383" t="s">
        <v>884</v>
      </c>
      <c r="B191" s="275" t="s">
        <v>1159</v>
      </c>
      <c r="C191" s="275" t="s">
        <v>1051</v>
      </c>
      <c r="D191" s="275" t="s">
        <v>1079</v>
      </c>
      <c r="E191" s="289" t="s">
        <v>885</v>
      </c>
      <c r="F191" s="303"/>
      <c r="G191" s="282">
        <f>G192</f>
        <v>0</v>
      </c>
      <c r="H191" s="442"/>
      <c r="I191" s="371">
        <f t="shared" si="1"/>
        <v>0</v>
      </c>
    </row>
    <row r="192" spans="1:9" ht="39" hidden="1">
      <c r="A192" s="343" t="s">
        <v>876</v>
      </c>
      <c r="B192" s="275" t="s">
        <v>1159</v>
      </c>
      <c r="C192" s="275" t="s">
        <v>1051</v>
      </c>
      <c r="D192" s="275" t="s">
        <v>1079</v>
      </c>
      <c r="E192" s="289" t="s">
        <v>886</v>
      </c>
      <c r="F192" s="303"/>
      <c r="G192" s="282">
        <f>G193</f>
        <v>0</v>
      </c>
      <c r="H192" s="442"/>
      <c r="I192" s="371">
        <f t="shared" si="1"/>
        <v>0</v>
      </c>
    </row>
    <row r="193" spans="1:9" ht="44.25" customHeight="1" hidden="1">
      <c r="A193" s="343" t="s">
        <v>516</v>
      </c>
      <c r="B193" s="275" t="s">
        <v>1159</v>
      </c>
      <c r="C193" s="275" t="s">
        <v>1051</v>
      </c>
      <c r="D193" s="275" t="s">
        <v>1079</v>
      </c>
      <c r="E193" s="289" t="s">
        <v>886</v>
      </c>
      <c r="F193" s="303" t="s">
        <v>517</v>
      </c>
      <c r="G193" s="282"/>
      <c r="H193" s="442"/>
      <c r="I193" s="371">
        <f t="shared" si="1"/>
        <v>0</v>
      </c>
    </row>
    <row r="194" spans="1:13" ht="24.75" customHeight="1">
      <c r="A194" s="370" t="s">
        <v>1080</v>
      </c>
      <c r="B194" s="275" t="s">
        <v>1159</v>
      </c>
      <c r="C194" s="275" t="s">
        <v>1054</v>
      </c>
      <c r="D194" s="275"/>
      <c r="E194" s="275"/>
      <c r="F194" s="284"/>
      <c r="G194" s="282">
        <f>G195+G202+G227</f>
        <v>33939851.55</v>
      </c>
      <c r="H194" s="282">
        <f>H195+H202+H227</f>
        <v>150000</v>
      </c>
      <c r="I194" s="371">
        <f t="shared" si="1"/>
        <v>34089851.55</v>
      </c>
      <c r="K194" s="306"/>
      <c r="M194" s="306"/>
    </row>
    <row r="195" spans="1:9" ht="13.5">
      <c r="A195" s="370" t="s">
        <v>1081</v>
      </c>
      <c r="B195" s="275" t="s">
        <v>1159</v>
      </c>
      <c r="C195" s="275" t="s">
        <v>1054</v>
      </c>
      <c r="D195" s="275" t="s">
        <v>1082</v>
      </c>
      <c r="E195" s="275"/>
      <c r="F195" s="284"/>
      <c r="G195" s="282">
        <f>G196</f>
        <v>1975000</v>
      </c>
      <c r="H195" s="442"/>
      <c r="I195" s="371">
        <f t="shared" si="1"/>
        <v>1975000</v>
      </c>
    </row>
    <row r="196" spans="1:9" ht="56.25" customHeight="1">
      <c r="A196" s="394" t="s">
        <v>822</v>
      </c>
      <c r="B196" s="275" t="s">
        <v>1159</v>
      </c>
      <c r="C196" s="275" t="s">
        <v>1054</v>
      </c>
      <c r="D196" s="275" t="s">
        <v>1082</v>
      </c>
      <c r="E196" s="289" t="s">
        <v>823</v>
      </c>
      <c r="F196" s="284"/>
      <c r="G196" s="282">
        <f>G197</f>
        <v>1975000</v>
      </c>
      <c r="H196" s="442"/>
      <c r="I196" s="371">
        <f t="shared" si="1"/>
        <v>1975000</v>
      </c>
    </row>
    <row r="197" spans="1:9" ht="73.5" customHeight="1">
      <c r="A197" s="395" t="s">
        <v>837</v>
      </c>
      <c r="B197" s="275" t="s">
        <v>1159</v>
      </c>
      <c r="C197" s="443" t="s">
        <v>1054</v>
      </c>
      <c r="D197" s="443" t="s">
        <v>1082</v>
      </c>
      <c r="E197" s="453" t="s">
        <v>838</v>
      </c>
      <c r="F197" s="448"/>
      <c r="G197" s="446">
        <f>G198</f>
        <v>1975000</v>
      </c>
      <c r="H197" s="442"/>
      <c r="I197" s="371">
        <f t="shared" si="1"/>
        <v>1975000</v>
      </c>
    </row>
    <row r="198" spans="1:9" ht="32.25" customHeight="1">
      <c r="A198" s="373" t="s">
        <v>839</v>
      </c>
      <c r="B198" s="275" t="s">
        <v>1159</v>
      </c>
      <c r="C198" s="275" t="s">
        <v>1054</v>
      </c>
      <c r="D198" s="275" t="s">
        <v>1082</v>
      </c>
      <c r="E198" s="289" t="s">
        <v>840</v>
      </c>
      <c r="F198" s="284"/>
      <c r="G198" s="282">
        <f>G199</f>
        <v>1975000</v>
      </c>
      <c r="H198" s="442"/>
      <c r="I198" s="371">
        <f t="shared" si="1"/>
        <v>1975000</v>
      </c>
    </row>
    <row r="199" spans="1:9" ht="13.5">
      <c r="A199" s="370" t="s">
        <v>841</v>
      </c>
      <c r="B199" s="275" t="s">
        <v>1159</v>
      </c>
      <c r="C199" s="275" t="s">
        <v>1054</v>
      </c>
      <c r="D199" s="275" t="s">
        <v>1082</v>
      </c>
      <c r="E199" s="289" t="s">
        <v>842</v>
      </c>
      <c r="F199" s="284"/>
      <c r="G199" s="282">
        <f>G201+G200</f>
        <v>1975000</v>
      </c>
      <c r="H199" s="442"/>
      <c r="I199" s="371">
        <f t="shared" si="1"/>
        <v>1975000</v>
      </c>
    </row>
    <row r="200" spans="1:9" ht="26.25">
      <c r="A200" s="343" t="s">
        <v>516</v>
      </c>
      <c r="B200" s="275" t="s">
        <v>1159</v>
      </c>
      <c r="C200" s="275" t="s">
        <v>1054</v>
      </c>
      <c r="D200" s="275" t="s">
        <v>1082</v>
      </c>
      <c r="E200" s="289" t="s">
        <v>842</v>
      </c>
      <c r="F200" s="284" t="s">
        <v>517</v>
      </c>
      <c r="G200" s="282">
        <v>10000</v>
      </c>
      <c r="H200" s="462"/>
      <c r="I200" s="371">
        <f t="shared" si="1"/>
        <v>10000</v>
      </c>
    </row>
    <row r="201" spans="1:9" ht="13.5">
      <c r="A201" s="343" t="s">
        <v>524</v>
      </c>
      <c r="B201" s="275" t="s">
        <v>1159</v>
      </c>
      <c r="C201" s="275" t="s">
        <v>1054</v>
      </c>
      <c r="D201" s="275" t="s">
        <v>1082</v>
      </c>
      <c r="E201" s="289" t="s">
        <v>842</v>
      </c>
      <c r="F201" s="284" t="s">
        <v>525</v>
      </c>
      <c r="G201" s="282">
        <f>500000+565000+600000+300000</f>
        <v>1965000</v>
      </c>
      <c r="H201" s="462"/>
      <c r="I201" s="371">
        <f t="shared" si="1"/>
        <v>1965000</v>
      </c>
    </row>
    <row r="202" spans="1:9" ht="13.5">
      <c r="A202" s="370" t="s">
        <v>1083</v>
      </c>
      <c r="B202" s="275" t="s">
        <v>1159</v>
      </c>
      <c r="C202" s="275" t="s">
        <v>1054</v>
      </c>
      <c r="D202" s="275" t="s">
        <v>1079</v>
      </c>
      <c r="E202" s="275"/>
      <c r="F202" s="284"/>
      <c r="G202" s="282">
        <f>G203+G223</f>
        <v>29507424.55</v>
      </c>
      <c r="H202" s="282">
        <f>H203</f>
        <v>150000</v>
      </c>
      <c r="I202" s="371">
        <f t="shared" si="1"/>
        <v>29657424.55</v>
      </c>
    </row>
    <row r="203" spans="1:9" ht="45.75" customHeight="1">
      <c r="A203" s="394" t="s">
        <v>822</v>
      </c>
      <c r="B203" s="275" t="s">
        <v>1159</v>
      </c>
      <c r="C203" s="275" t="s">
        <v>1054</v>
      </c>
      <c r="D203" s="275" t="s">
        <v>1079</v>
      </c>
      <c r="E203" s="289" t="s">
        <v>823</v>
      </c>
      <c r="F203" s="284"/>
      <c r="G203" s="282">
        <f>G204+G219</f>
        <v>15765099.55</v>
      </c>
      <c r="H203" s="282">
        <f>H204</f>
        <v>150000</v>
      </c>
      <c r="I203" s="371">
        <f>I204+I219</f>
        <v>15915099.55</v>
      </c>
    </row>
    <row r="204" spans="1:10" ht="60.75" customHeight="1">
      <c r="A204" s="386" t="s">
        <v>824</v>
      </c>
      <c r="B204" s="275" t="s">
        <v>1159</v>
      </c>
      <c r="C204" s="443" t="s">
        <v>1054</v>
      </c>
      <c r="D204" s="443" t="s">
        <v>1079</v>
      </c>
      <c r="E204" s="453" t="s">
        <v>825</v>
      </c>
      <c r="F204" s="448"/>
      <c r="G204" s="446">
        <f>G205+G208</f>
        <v>15587299.55</v>
      </c>
      <c r="H204" s="446">
        <f>H205+H208</f>
        <v>150000</v>
      </c>
      <c r="I204" s="371">
        <f>G204+H204</f>
        <v>15737299.55</v>
      </c>
      <c r="J204" s="306"/>
    </row>
    <row r="205" spans="1:9" ht="28.5" customHeight="1">
      <c r="A205" s="373" t="s">
        <v>826</v>
      </c>
      <c r="B205" s="275" t="s">
        <v>1159</v>
      </c>
      <c r="C205" s="275" t="s">
        <v>1054</v>
      </c>
      <c r="D205" s="275" t="s">
        <v>1079</v>
      </c>
      <c r="E205" s="289" t="s">
        <v>827</v>
      </c>
      <c r="F205" s="284"/>
      <c r="G205" s="282">
        <f>G206</f>
        <v>2107961.18</v>
      </c>
      <c r="H205" s="282">
        <f>H206</f>
        <v>0</v>
      </c>
      <c r="I205" s="371">
        <f t="shared" si="1"/>
        <v>2107961.18</v>
      </c>
    </row>
    <row r="206" spans="1:9" ht="26.25">
      <c r="A206" s="343" t="s">
        <v>828</v>
      </c>
      <c r="B206" s="275" t="s">
        <v>1159</v>
      </c>
      <c r="C206" s="275" t="s">
        <v>1054</v>
      </c>
      <c r="D206" s="275" t="s">
        <v>1079</v>
      </c>
      <c r="E206" s="289" t="s">
        <v>829</v>
      </c>
      <c r="F206" s="284"/>
      <c r="G206" s="282">
        <f>G207</f>
        <v>2107961.18</v>
      </c>
      <c r="H206" s="442"/>
      <c r="I206" s="371">
        <f t="shared" si="1"/>
        <v>2107961.18</v>
      </c>
    </row>
    <row r="207" spans="1:9" ht="13.5">
      <c r="A207" s="343" t="s">
        <v>554</v>
      </c>
      <c r="B207" s="275" t="s">
        <v>1159</v>
      </c>
      <c r="C207" s="275" t="s">
        <v>1054</v>
      </c>
      <c r="D207" s="275" t="s">
        <v>1079</v>
      </c>
      <c r="E207" s="289" t="s">
        <v>829</v>
      </c>
      <c r="F207" s="284" t="s">
        <v>517</v>
      </c>
      <c r="G207" s="282">
        <f>200000+1263489.55+644471.63</f>
        <v>2107961.18</v>
      </c>
      <c r="H207" s="442"/>
      <c r="I207" s="371">
        <f t="shared" si="1"/>
        <v>2107961.18</v>
      </c>
    </row>
    <row r="208" spans="1:9" ht="26.25">
      <c r="A208" s="373" t="s">
        <v>832</v>
      </c>
      <c r="B208" s="275" t="s">
        <v>1159</v>
      </c>
      <c r="C208" s="275" t="s">
        <v>1054</v>
      </c>
      <c r="D208" s="275" t="s">
        <v>1079</v>
      </c>
      <c r="E208" s="289" t="s">
        <v>833</v>
      </c>
      <c r="F208" s="284"/>
      <c r="G208" s="282">
        <f>G209+G211+G217+G215+G213</f>
        <v>13479338.370000001</v>
      </c>
      <c r="H208" s="282">
        <f>H209+H211+H217+H215+H213</f>
        <v>150000</v>
      </c>
      <c r="I208" s="371">
        <f t="shared" si="1"/>
        <v>13629338.370000001</v>
      </c>
    </row>
    <row r="209" spans="1:9" ht="13.5">
      <c r="A209" s="343" t="s">
        <v>834</v>
      </c>
      <c r="B209" s="275" t="s">
        <v>1159</v>
      </c>
      <c r="C209" s="275" t="s">
        <v>1054</v>
      </c>
      <c r="D209" s="275" t="s">
        <v>1079</v>
      </c>
      <c r="E209" s="289" t="s">
        <v>835</v>
      </c>
      <c r="F209" s="284"/>
      <c r="G209" s="282">
        <f>G210</f>
        <v>1800000</v>
      </c>
      <c r="H209" s="442"/>
      <c r="I209" s="371">
        <f t="shared" si="1"/>
        <v>1800000</v>
      </c>
    </row>
    <row r="210" spans="1:9" ht="26.25">
      <c r="A210" s="396" t="s">
        <v>751</v>
      </c>
      <c r="B210" s="275" t="s">
        <v>1159</v>
      </c>
      <c r="C210" s="275" t="s">
        <v>1054</v>
      </c>
      <c r="D210" s="275" t="s">
        <v>1079</v>
      </c>
      <c r="E210" s="289" t="s">
        <v>835</v>
      </c>
      <c r="F210" s="284" t="s">
        <v>752</v>
      </c>
      <c r="G210" s="282">
        <f>1800000</f>
        <v>1800000</v>
      </c>
      <c r="H210" s="442"/>
      <c r="I210" s="371">
        <f t="shared" si="1"/>
        <v>1800000</v>
      </c>
    </row>
    <row r="211" spans="1:9" ht="13.5">
      <c r="A211" s="343" t="s">
        <v>830</v>
      </c>
      <c r="B211" s="275" t="s">
        <v>1159</v>
      </c>
      <c r="C211" s="275" t="s">
        <v>1054</v>
      </c>
      <c r="D211" s="275" t="s">
        <v>1079</v>
      </c>
      <c r="E211" s="289" t="s">
        <v>836</v>
      </c>
      <c r="F211" s="284"/>
      <c r="G211" s="282">
        <f>G212</f>
        <v>1413000</v>
      </c>
      <c r="H211" s="282">
        <f>H212</f>
        <v>150000</v>
      </c>
      <c r="I211" s="371">
        <f t="shared" si="1"/>
        <v>1563000</v>
      </c>
    </row>
    <row r="212" spans="1:9" ht="26.25">
      <c r="A212" s="396" t="s">
        <v>751</v>
      </c>
      <c r="B212" s="275" t="s">
        <v>1159</v>
      </c>
      <c r="C212" s="275" t="s">
        <v>1054</v>
      </c>
      <c r="D212" s="275" t="s">
        <v>1079</v>
      </c>
      <c r="E212" s="289" t="s">
        <v>836</v>
      </c>
      <c r="F212" s="284" t="s">
        <v>752</v>
      </c>
      <c r="G212" s="282">
        <f>1285043+127957</f>
        <v>1413000</v>
      </c>
      <c r="H212" s="293">
        <v>150000</v>
      </c>
      <c r="I212" s="371">
        <f t="shared" si="1"/>
        <v>1563000</v>
      </c>
    </row>
    <row r="213" spans="1:9" ht="26.25">
      <c r="A213" s="288" t="s">
        <v>1185</v>
      </c>
      <c r="B213" s="275" t="s">
        <v>1159</v>
      </c>
      <c r="C213" s="275" t="s">
        <v>1054</v>
      </c>
      <c r="D213" s="275" t="s">
        <v>1079</v>
      </c>
      <c r="E213" s="289" t="s">
        <v>1186</v>
      </c>
      <c r="F213" s="284"/>
      <c r="G213" s="282">
        <f>G214</f>
        <v>9060810</v>
      </c>
      <c r="H213" s="442"/>
      <c r="I213" s="371">
        <f t="shared" si="1"/>
        <v>9060810</v>
      </c>
    </row>
    <row r="214" spans="1:9" ht="27">
      <c r="A214" s="470" t="s">
        <v>751</v>
      </c>
      <c r="B214" s="275" t="s">
        <v>1159</v>
      </c>
      <c r="C214" s="275" t="s">
        <v>1054</v>
      </c>
      <c r="D214" s="275" t="s">
        <v>1079</v>
      </c>
      <c r="E214" s="289" t="s">
        <v>1186</v>
      </c>
      <c r="F214" s="284" t="s">
        <v>752</v>
      </c>
      <c r="G214" s="282">
        <f>9060810</f>
        <v>9060810</v>
      </c>
      <c r="H214" s="442"/>
      <c r="I214" s="371">
        <f t="shared" si="1"/>
        <v>9060810</v>
      </c>
    </row>
    <row r="215" spans="1:9" ht="41.25">
      <c r="A215" s="471" t="s">
        <v>1187</v>
      </c>
      <c r="B215" s="275" t="s">
        <v>1159</v>
      </c>
      <c r="C215" s="275" t="s">
        <v>1054</v>
      </c>
      <c r="D215" s="275" t="s">
        <v>1079</v>
      </c>
      <c r="E215" s="289" t="s">
        <v>1188</v>
      </c>
      <c r="F215" s="284"/>
      <c r="G215" s="282">
        <f>G216</f>
        <v>100000</v>
      </c>
      <c r="H215" s="442"/>
      <c r="I215" s="371">
        <f t="shared" si="1"/>
        <v>100000</v>
      </c>
    </row>
    <row r="216" spans="1:9" ht="27">
      <c r="A216" s="470" t="s">
        <v>751</v>
      </c>
      <c r="B216" s="275" t="s">
        <v>1159</v>
      </c>
      <c r="C216" s="275" t="s">
        <v>1054</v>
      </c>
      <c r="D216" s="275" t="s">
        <v>1079</v>
      </c>
      <c r="E216" s="289" t="s">
        <v>1188</v>
      </c>
      <c r="F216" s="284" t="s">
        <v>752</v>
      </c>
      <c r="G216" s="282">
        <f>100000</f>
        <v>100000</v>
      </c>
      <c r="H216" s="442"/>
      <c r="I216" s="371">
        <f t="shared" si="1"/>
        <v>100000</v>
      </c>
    </row>
    <row r="217" spans="1:9" ht="26.25">
      <c r="A217" s="343" t="s">
        <v>1189</v>
      </c>
      <c r="B217" s="275" t="s">
        <v>1159</v>
      </c>
      <c r="C217" s="275" t="s">
        <v>1054</v>
      </c>
      <c r="D217" s="275" t="s">
        <v>1079</v>
      </c>
      <c r="E217" s="289" t="s">
        <v>1190</v>
      </c>
      <c r="F217" s="284"/>
      <c r="G217" s="282">
        <f>G218</f>
        <v>1105528.37</v>
      </c>
      <c r="H217" s="442"/>
      <c r="I217" s="371">
        <f t="shared" si="1"/>
        <v>1105528.37</v>
      </c>
    </row>
    <row r="218" spans="1:9" ht="27">
      <c r="A218" s="470" t="s">
        <v>751</v>
      </c>
      <c r="B218" s="275" t="s">
        <v>1159</v>
      </c>
      <c r="C218" s="275" t="s">
        <v>1054</v>
      </c>
      <c r="D218" s="275" t="s">
        <v>1079</v>
      </c>
      <c r="E218" s="289" t="s">
        <v>1190</v>
      </c>
      <c r="F218" s="284" t="s">
        <v>752</v>
      </c>
      <c r="G218" s="282">
        <f>1850000-100000-644471.63</f>
        <v>1105528.37</v>
      </c>
      <c r="H218" s="442"/>
      <c r="I218" s="371">
        <f t="shared" si="1"/>
        <v>1105528.37</v>
      </c>
    </row>
    <row r="219" spans="1:9" ht="66">
      <c r="A219" s="395" t="s">
        <v>843</v>
      </c>
      <c r="B219" s="275" t="s">
        <v>1159</v>
      </c>
      <c r="C219" s="275" t="s">
        <v>1054</v>
      </c>
      <c r="D219" s="275" t="s">
        <v>1079</v>
      </c>
      <c r="E219" s="453" t="s">
        <v>844</v>
      </c>
      <c r="F219" s="284"/>
      <c r="G219" s="282">
        <f>G220</f>
        <v>177800</v>
      </c>
      <c r="H219" s="293"/>
      <c r="I219" s="371">
        <f t="shared" si="1"/>
        <v>177800</v>
      </c>
    </row>
    <row r="220" spans="1:9" ht="26.25">
      <c r="A220" s="328" t="s">
        <v>1191</v>
      </c>
      <c r="B220" s="275" t="s">
        <v>1159</v>
      </c>
      <c r="C220" s="275" t="s">
        <v>1054</v>
      </c>
      <c r="D220" s="275" t="s">
        <v>1079</v>
      </c>
      <c r="E220" s="289" t="s">
        <v>1192</v>
      </c>
      <c r="F220" s="284"/>
      <c r="G220" s="282">
        <f>G221</f>
        <v>177800</v>
      </c>
      <c r="H220" s="293"/>
      <c r="I220" s="371">
        <f t="shared" si="1"/>
        <v>177800</v>
      </c>
    </row>
    <row r="221" spans="1:9" ht="13.5">
      <c r="A221" s="288" t="s">
        <v>1193</v>
      </c>
      <c r="B221" s="275" t="s">
        <v>1159</v>
      </c>
      <c r="C221" s="275" t="s">
        <v>1054</v>
      </c>
      <c r="D221" s="275" t="s">
        <v>1079</v>
      </c>
      <c r="E221" s="289" t="s">
        <v>1194</v>
      </c>
      <c r="F221" s="284"/>
      <c r="G221" s="282">
        <f>G222</f>
        <v>177800</v>
      </c>
      <c r="H221" s="293"/>
      <c r="I221" s="371">
        <f t="shared" si="1"/>
        <v>177800</v>
      </c>
    </row>
    <row r="222" spans="1:9" ht="13.5">
      <c r="A222" s="343" t="s">
        <v>554</v>
      </c>
      <c r="B222" s="275" t="s">
        <v>1159</v>
      </c>
      <c r="C222" s="275" t="s">
        <v>1054</v>
      </c>
      <c r="D222" s="275" t="s">
        <v>1079</v>
      </c>
      <c r="E222" s="289" t="s">
        <v>1194</v>
      </c>
      <c r="F222" s="284" t="s">
        <v>517</v>
      </c>
      <c r="G222" s="282">
        <v>177800</v>
      </c>
      <c r="H222" s="293"/>
      <c r="I222" s="371">
        <f t="shared" si="1"/>
        <v>177800</v>
      </c>
    </row>
    <row r="223" spans="1:9" ht="69">
      <c r="A223" s="472" t="s">
        <v>1195</v>
      </c>
      <c r="B223" s="275" t="s">
        <v>1159</v>
      </c>
      <c r="C223" s="275" t="s">
        <v>1054</v>
      </c>
      <c r="D223" s="275" t="s">
        <v>1079</v>
      </c>
      <c r="E223" s="453" t="s">
        <v>920</v>
      </c>
      <c r="F223" s="284"/>
      <c r="G223" s="282">
        <f>G224</f>
        <v>13742325</v>
      </c>
      <c r="H223" s="442"/>
      <c r="I223" s="371">
        <f>G223+H223</f>
        <v>13742325</v>
      </c>
    </row>
    <row r="224" spans="1:9" ht="26.25">
      <c r="A224" s="373" t="s">
        <v>832</v>
      </c>
      <c r="B224" s="275" t="s">
        <v>1159</v>
      </c>
      <c r="C224" s="275" t="s">
        <v>1054</v>
      </c>
      <c r="D224" s="275" t="s">
        <v>1079</v>
      </c>
      <c r="E224" s="453" t="s">
        <v>1196</v>
      </c>
      <c r="F224" s="284"/>
      <c r="G224" s="282">
        <f>G225</f>
        <v>13742325</v>
      </c>
      <c r="H224" s="442"/>
      <c r="I224" s="371">
        <f t="shared" si="1"/>
        <v>13742325</v>
      </c>
    </row>
    <row r="225" spans="1:9" ht="26.25">
      <c r="A225" s="383" t="s">
        <v>1197</v>
      </c>
      <c r="B225" s="275" t="s">
        <v>1159</v>
      </c>
      <c r="C225" s="275" t="s">
        <v>1054</v>
      </c>
      <c r="D225" s="275" t="s">
        <v>1079</v>
      </c>
      <c r="E225" s="289" t="s">
        <v>1198</v>
      </c>
      <c r="F225" s="284"/>
      <c r="G225" s="282">
        <f>G226</f>
        <v>13742325</v>
      </c>
      <c r="H225" s="442"/>
      <c r="I225" s="371">
        <f t="shared" si="1"/>
        <v>13742325</v>
      </c>
    </row>
    <row r="226" spans="1:9" ht="26.25">
      <c r="A226" s="370" t="s">
        <v>751</v>
      </c>
      <c r="B226" s="275" t="s">
        <v>1159</v>
      </c>
      <c r="C226" s="275" t="s">
        <v>1054</v>
      </c>
      <c r="D226" s="275" t="s">
        <v>1079</v>
      </c>
      <c r="E226" s="289" t="s">
        <v>1198</v>
      </c>
      <c r="F226" s="284" t="s">
        <v>752</v>
      </c>
      <c r="G226" s="282">
        <f>1569426+12172899</f>
        <v>13742325</v>
      </c>
      <c r="H226" s="442"/>
      <c r="I226" s="371">
        <f t="shared" si="1"/>
        <v>13742325</v>
      </c>
    </row>
    <row r="227" spans="1:9" ht="20.25" customHeight="1">
      <c r="A227" s="370" t="s">
        <v>1084</v>
      </c>
      <c r="B227" s="275" t="s">
        <v>1159</v>
      </c>
      <c r="C227" s="275" t="s">
        <v>1054</v>
      </c>
      <c r="D227" s="275" t="s">
        <v>1085</v>
      </c>
      <c r="E227" s="275"/>
      <c r="F227" s="284"/>
      <c r="G227" s="282">
        <f>G228+G240+G255+G235+G251</f>
        <v>2457427</v>
      </c>
      <c r="H227" s="442"/>
      <c r="I227" s="371">
        <f t="shared" si="1"/>
        <v>2457427</v>
      </c>
    </row>
    <row r="228" spans="1:9" ht="45" customHeight="1">
      <c r="A228" s="385" t="s">
        <v>687</v>
      </c>
      <c r="B228" s="275" t="s">
        <v>1159</v>
      </c>
      <c r="C228" s="275" t="s">
        <v>1054</v>
      </c>
      <c r="D228" s="275" t="s">
        <v>1085</v>
      </c>
      <c r="E228" s="275" t="s">
        <v>688</v>
      </c>
      <c r="F228" s="284"/>
      <c r="G228" s="282">
        <f>G229</f>
        <v>500000</v>
      </c>
      <c r="H228" s="442"/>
      <c r="I228" s="371">
        <f t="shared" si="1"/>
        <v>500000</v>
      </c>
    </row>
    <row r="229" spans="1:9" ht="69" customHeight="1">
      <c r="A229" s="397" t="s">
        <v>689</v>
      </c>
      <c r="B229" s="275" t="s">
        <v>1159</v>
      </c>
      <c r="C229" s="443" t="s">
        <v>1054</v>
      </c>
      <c r="D229" s="443" t="s">
        <v>1085</v>
      </c>
      <c r="E229" s="443" t="s">
        <v>690</v>
      </c>
      <c r="F229" s="448"/>
      <c r="G229" s="446">
        <f>G230</f>
        <v>500000</v>
      </c>
      <c r="H229" s="442"/>
      <c r="I229" s="371">
        <f t="shared" si="1"/>
        <v>500000</v>
      </c>
    </row>
    <row r="230" spans="1:9" ht="41.25" customHeight="1">
      <c r="A230" s="373" t="s">
        <v>691</v>
      </c>
      <c r="B230" s="275" t="s">
        <v>1159</v>
      </c>
      <c r="C230" s="275" t="s">
        <v>1054</v>
      </c>
      <c r="D230" s="275" t="s">
        <v>1085</v>
      </c>
      <c r="E230" s="275" t="s">
        <v>692</v>
      </c>
      <c r="F230" s="284"/>
      <c r="G230" s="282">
        <f>G231+G233</f>
        <v>500000</v>
      </c>
      <c r="H230" s="442"/>
      <c r="I230" s="371">
        <f t="shared" si="1"/>
        <v>500000</v>
      </c>
    </row>
    <row r="231" spans="1:9" ht="0.75" customHeight="1" hidden="1">
      <c r="A231" s="372" t="s">
        <v>693</v>
      </c>
      <c r="B231" s="275" t="s">
        <v>1159</v>
      </c>
      <c r="C231" s="275" t="s">
        <v>1054</v>
      </c>
      <c r="D231" s="275" t="s">
        <v>1085</v>
      </c>
      <c r="E231" s="275" t="s">
        <v>694</v>
      </c>
      <c r="F231" s="284"/>
      <c r="G231" s="282">
        <f>G232</f>
        <v>0</v>
      </c>
      <c r="H231" s="442"/>
      <c r="I231" s="371">
        <f t="shared" si="1"/>
        <v>0</v>
      </c>
    </row>
    <row r="232" spans="1:9" ht="26.25" hidden="1">
      <c r="A232" s="343" t="s">
        <v>516</v>
      </c>
      <c r="B232" s="275" t="s">
        <v>1159</v>
      </c>
      <c r="C232" s="275" t="s">
        <v>1054</v>
      </c>
      <c r="D232" s="275" t="s">
        <v>1085</v>
      </c>
      <c r="E232" s="275" t="s">
        <v>694</v>
      </c>
      <c r="F232" s="284" t="s">
        <v>517</v>
      </c>
      <c r="G232" s="282"/>
      <c r="H232" s="442"/>
      <c r="I232" s="371">
        <f t="shared" si="1"/>
        <v>0</v>
      </c>
    </row>
    <row r="233" spans="1:9" ht="13.5">
      <c r="A233" s="372" t="s">
        <v>695</v>
      </c>
      <c r="B233" s="275" t="s">
        <v>1159</v>
      </c>
      <c r="C233" s="275" t="s">
        <v>1054</v>
      </c>
      <c r="D233" s="275" t="s">
        <v>1085</v>
      </c>
      <c r="E233" s="275" t="s">
        <v>696</v>
      </c>
      <c r="F233" s="284"/>
      <c r="G233" s="282">
        <f>G234</f>
        <v>500000</v>
      </c>
      <c r="H233" s="442"/>
      <c r="I233" s="371">
        <f t="shared" si="1"/>
        <v>500000</v>
      </c>
    </row>
    <row r="234" spans="1:9" ht="29.25" customHeight="1">
      <c r="A234" s="343" t="s">
        <v>516</v>
      </c>
      <c r="B234" s="275" t="s">
        <v>1159</v>
      </c>
      <c r="C234" s="275" t="s">
        <v>1054</v>
      </c>
      <c r="D234" s="275" t="s">
        <v>1085</v>
      </c>
      <c r="E234" s="275" t="s">
        <v>696</v>
      </c>
      <c r="F234" s="284" t="s">
        <v>517</v>
      </c>
      <c r="G234" s="282">
        <f>200000+320000+540000-560000</f>
        <v>500000</v>
      </c>
      <c r="H234" s="442"/>
      <c r="I234" s="371">
        <f t="shared" si="1"/>
        <v>500000</v>
      </c>
    </row>
    <row r="235" spans="1:9" ht="54" customHeight="1" hidden="1">
      <c r="A235" s="399" t="s">
        <v>697</v>
      </c>
      <c r="B235" s="275" t="s">
        <v>1159</v>
      </c>
      <c r="C235" s="275" t="s">
        <v>1054</v>
      </c>
      <c r="D235" s="275" t="s">
        <v>1085</v>
      </c>
      <c r="E235" s="400" t="s">
        <v>698</v>
      </c>
      <c r="F235" s="284"/>
      <c r="G235" s="282">
        <f>G236</f>
        <v>0</v>
      </c>
      <c r="H235" s="442"/>
      <c r="I235" s="371">
        <f t="shared" si="1"/>
        <v>0</v>
      </c>
    </row>
    <row r="236" spans="1:9" ht="69.75" customHeight="1" hidden="1">
      <c r="A236" s="386" t="s">
        <v>699</v>
      </c>
      <c r="B236" s="275" t="s">
        <v>1159</v>
      </c>
      <c r="C236" s="275" t="s">
        <v>1054</v>
      </c>
      <c r="D236" s="275" t="s">
        <v>1085</v>
      </c>
      <c r="E236" s="400" t="s">
        <v>700</v>
      </c>
      <c r="F236" s="284"/>
      <c r="G236" s="282">
        <f>G237</f>
        <v>0</v>
      </c>
      <c r="H236" s="442"/>
      <c r="I236" s="371">
        <f t="shared" si="1"/>
        <v>0</v>
      </c>
    </row>
    <row r="237" spans="1:9" ht="27" customHeight="1" hidden="1">
      <c r="A237" s="373" t="s">
        <v>701</v>
      </c>
      <c r="B237" s="275" t="s">
        <v>1159</v>
      </c>
      <c r="C237" s="275" t="s">
        <v>1054</v>
      </c>
      <c r="D237" s="275" t="s">
        <v>1085</v>
      </c>
      <c r="E237" s="400" t="s">
        <v>702</v>
      </c>
      <c r="F237" s="284"/>
      <c r="G237" s="282">
        <f>G238</f>
        <v>0</v>
      </c>
      <c r="H237" s="442"/>
      <c r="I237" s="371">
        <f>I238</f>
        <v>0</v>
      </c>
    </row>
    <row r="238" spans="1:9" ht="15.75" customHeight="1" hidden="1">
      <c r="A238" s="367" t="s">
        <v>703</v>
      </c>
      <c r="B238" s="275" t="s">
        <v>1159</v>
      </c>
      <c r="C238" s="275" t="s">
        <v>1054</v>
      </c>
      <c r="D238" s="275" t="s">
        <v>1085</v>
      </c>
      <c r="E238" s="400" t="s">
        <v>704</v>
      </c>
      <c r="F238" s="284"/>
      <c r="G238" s="282">
        <f>G239</f>
        <v>0</v>
      </c>
      <c r="H238" s="442"/>
      <c r="I238" s="371">
        <f>G238+H238</f>
        <v>0</v>
      </c>
    </row>
    <row r="239" spans="1:9" ht="26.25" customHeight="1" hidden="1">
      <c r="A239" s="473" t="s">
        <v>516</v>
      </c>
      <c r="B239" s="275" t="s">
        <v>1159</v>
      </c>
      <c r="C239" s="275" t="s">
        <v>1054</v>
      </c>
      <c r="D239" s="275" t="s">
        <v>1085</v>
      </c>
      <c r="E239" s="400" t="s">
        <v>704</v>
      </c>
      <c r="F239" s="284" t="s">
        <v>517</v>
      </c>
      <c r="G239" s="282"/>
      <c r="H239" s="442"/>
      <c r="I239" s="371">
        <f>G239+H239</f>
        <v>0</v>
      </c>
    </row>
    <row r="240" spans="1:9" ht="51.75" customHeight="1">
      <c r="A240" s="385" t="s">
        <v>1087</v>
      </c>
      <c r="B240" s="275" t="s">
        <v>1159</v>
      </c>
      <c r="C240" s="275" t="s">
        <v>1054</v>
      </c>
      <c r="D240" s="275" t="s">
        <v>1085</v>
      </c>
      <c r="E240" s="319" t="s">
        <v>722</v>
      </c>
      <c r="F240" s="284"/>
      <c r="G240" s="282">
        <f>G241</f>
        <v>1924427</v>
      </c>
      <c r="H240" s="442"/>
      <c r="I240" s="371">
        <f t="shared" si="1"/>
        <v>1924427</v>
      </c>
    </row>
    <row r="241" spans="1:9" ht="72" customHeight="1">
      <c r="A241" s="386" t="s">
        <v>1088</v>
      </c>
      <c r="B241" s="275" t="s">
        <v>1159</v>
      </c>
      <c r="C241" s="443" t="s">
        <v>1054</v>
      </c>
      <c r="D241" s="443" t="s">
        <v>1085</v>
      </c>
      <c r="E241" s="459" t="s">
        <v>737</v>
      </c>
      <c r="F241" s="448"/>
      <c r="G241" s="446">
        <f>G242</f>
        <v>1924427</v>
      </c>
      <c r="H241" s="442"/>
      <c r="I241" s="371">
        <f t="shared" si="1"/>
        <v>1924427</v>
      </c>
    </row>
    <row r="242" spans="1:9" ht="26.25">
      <c r="A242" s="373" t="s">
        <v>763</v>
      </c>
      <c r="B242" s="275" t="s">
        <v>1159</v>
      </c>
      <c r="C242" s="275" t="s">
        <v>1054</v>
      </c>
      <c r="D242" s="275" t="s">
        <v>1085</v>
      </c>
      <c r="E242" s="298" t="s">
        <v>764</v>
      </c>
      <c r="F242" s="303"/>
      <c r="G242" s="282">
        <f>G249+G243+G246</f>
        <v>1924427</v>
      </c>
      <c r="H242" s="442"/>
      <c r="I242" s="371">
        <f t="shared" si="1"/>
        <v>1924427</v>
      </c>
    </row>
    <row r="243" spans="1:9" ht="39" customHeight="1">
      <c r="A243" s="373" t="s">
        <v>765</v>
      </c>
      <c r="B243" s="275" t="s">
        <v>1159</v>
      </c>
      <c r="C243" s="275" t="s">
        <v>1054</v>
      </c>
      <c r="D243" s="275" t="s">
        <v>1085</v>
      </c>
      <c r="E243" s="298" t="s">
        <v>766</v>
      </c>
      <c r="F243" s="303"/>
      <c r="G243" s="282">
        <f>G244+G245</f>
        <v>1017730</v>
      </c>
      <c r="H243" s="462"/>
      <c r="I243" s="371">
        <f t="shared" si="1"/>
        <v>1017730</v>
      </c>
    </row>
    <row r="244" spans="1:9" ht="26.25">
      <c r="A244" s="343" t="s">
        <v>516</v>
      </c>
      <c r="B244" s="275" t="s">
        <v>1159</v>
      </c>
      <c r="C244" s="275" t="s">
        <v>1054</v>
      </c>
      <c r="D244" s="275" t="s">
        <v>1085</v>
      </c>
      <c r="E244" s="298" t="s">
        <v>766</v>
      </c>
      <c r="F244" s="303" t="s">
        <v>517</v>
      </c>
      <c r="G244" s="282">
        <f>58130</f>
        <v>58130</v>
      </c>
      <c r="H244" s="462"/>
      <c r="I244" s="371">
        <f>G244+H244</f>
        <v>58130</v>
      </c>
    </row>
    <row r="245" spans="1:9" ht="13.5">
      <c r="A245" s="401" t="s">
        <v>713</v>
      </c>
      <c r="B245" s="275" t="s">
        <v>1159</v>
      </c>
      <c r="C245" s="275" t="s">
        <v>1054</v>
      </c>
      <c r="D245" s="275" t="s">
        <v>1085</v>
      </c>
      <c r="E245" s="298" t="s">
        <v>766</v>
      </c>
      <c r="F245" s="303" t="s">
        <v>714</v>
      </c>
      <c r="G245" s="282">
        <f>1017730-58130</f>
        <v>959600</v>
      </c>
      <c r="H245" s="462"/>
      <c r="I245" s="371">
        <f>G245+H245</f>
        <v>959600</v>
      </c>
    </row>
    <row r="246" spans="1:9" ht="31.5" customHeight="1">
      <c r="A246" s="373" t="s">
        <v>767</v>
      </c>
      <c r="B246" s="275" t="s">
        <v>1159</v>
      </c>
      <c r="C246" s="275" t="s">
        <v>1054</v>
      </c>
      <c r="D246" s="275" t="s">
        <v>1085</v>
      </c>
      <c r="E246" s="298" t="s">
        <v>768</v>
      </c>
      <c r="F246" s="303"/>
      <c r="G246" s="282">
        <f>G248+G247</f>
        <v>440322</v>
      </c>
      <c r="H246" s="462"/>
      <c r="I246" s="371">
        <f>G246+H246</f>
        <v>440322</v>
      </c>
    </row>
    <row r="247" spans="1:9" ht="31.5" customHeight="1">
      <c r="A247" s="343" t="s">
        <v>516</v>
      </c>
      <c r="B247" s="275" t="s">
        <v>1159</v>
      </c>
      <c r="C247" s="275" t="s">
        <v>1054</v>
      </c>
      <c r="D247" s="275" t="s">
        <v>1085</v>
      </c>
      <c r="E247" s="298" t="s">
        <v>768</v>
      </c>
      <c r="F247" s="303" t="s">
        <v>517</v>
      </c>
      <c r="G247" s="282">
        <f>29065</f>
        <v>29065</v>
      </c>
      <c r="H247" s="462"/>
      <c r="I247" s="371">
        <f>G247+H247</f>
        <v>29065</v>
      </c>
    </row>
    <row r="248" spans="1:9" ht="21" customHeight="1">
      <c r="A248" s="401" t="s">
        <v>713</v>
      </c>
      <c r="B248" s="275" t="s">
        <v>1159</v>
      </c>
      <c r="C248" s="275" t="s">
        <v>1054</v>
      </c>
      <c r="D248" s="275" t="s">
        <v>1085</v>
      </c>
      <c r="E248" s="298" t="s">
        <v>768</v>
      </c>
      <c r="F248" s="303" t="s">
        <v>714</v>
      </c>
      <c r="G248" s="282">
        <f>877632-466375</f>
        <v>411257</v>
      </c>
      <c r="H248" s="462"/>
      <c r="I248" s="371">
        <f>G248+H248</f>
        <v>411257</v>
      </c>
    </row>
    <row r="249" spans="1:9" ht="39">
      <c r="A249" s="401" t="s">
        <v>769</v>
      </c>
      <c r="B249" s="275" t="s">
        <v>1159</v>
      </c>
      <c r="C249" s="275" t="s">
        <v>1054</v>
      </c>
      <c r="D249" s="275" t="s">
        <v>1085</v>
      </c>
      <c r="E249" s="298" t="s">
        <v>770</v>
      </c>
      <c r="F249" s="303"/>
      <c r="G249" s="282">
        <f>G250</f>
        <v>466375</v>
      </c>
      <c r="H249" s="442"/>
      <c r="I249" s="371">
        <f aca="true" t="shared" si="2" ref="I249:I309">G249+H249</f>
        <v>466375</v>
      </c>
    </row>
    <row r="250" spans="1:9" ht="14.25" customHeight="1">
      <c r="A250" s="401" t="s">
        <v>713</v>
      </c>
      <c r="B250" s="275" t="s">
        <v>1159</v>
      </c>
      <c r="C250" s="275" t="s">
        <v>1054</v>
      </c>
      <c r="D250" s="275" t="s">
        <v>1085</v>
      </c>
      <c r="E250" s="298" t="s">
        <v>770</v>
      </c>
      <c r="F250" s="303" t="s">
        <v>714</v>
      </c>
      <c r="G250" s="282">
        <v>466375</v>
      </c>
      <c r="H250" s="442"/>
      <c r="I250" s="371">
        <f t="shared" si="2"/>
        <v>466375</v>
      </c>
    </row>
    <row r="251" spans="1:9" ht="66" hidden="1">
      <c r="A251" s="395" t="s">
        <v>843</v>
      </c>
      <c r="B251" s="275" t="s">
        <v>1159</v>
      </c>
      <c r="C251" s="275" t="s">
        <v>1054</v>
      </c>
      <c r="D251" s="275" t="s">
        <v>1085</v>
      </c>
      <c r="E251" s="453" t="s">
        <v>844</v>
      </c>
      <c r="F251" s="284"/>
      <c r="G251" s="282">
        <f>G252</f>
        <v>0</v>
      </c>
      <c r="H251" s="293"/>
      <c r="I251" s="371">
        <f t="shared" si="2"/>
        <v>0</v>
      </c>
    </row>
    <row r="252" spans="1:9" ht="29.25" customHeight="1" hidden="1">
      <c r="A252" s="388" t="s">
        <v>1191</v>
      </c>
      <c r="B252" s="275" t="s">
        <v>1159</v>
      </c>
      <c r="C252" s="275" t="s">
        <v>1054</v>
      </c>
      <c r="D252" s="275" t="s">
        <v>1085</v>
      </c>
      <c r="E252" s="289" t="s">
        <v>1192</v>
      </c>
      <c r="F252" s="284"/>
      <c r="G252" s="282">
        <f>G253</f>
        <v>0</v>
      </c>
      <c r="H252" s="293"/>
      <c r="I252" s="371">
        <f t="shared" si="2"/>
        <v>0</v>
      </c>
    </row>
    <row r="253" spans="1:9" ht="13.5" hidden="1">
      <c r="A253" s="373" t="s">
        <v>1193</v>
      </c>
      <c r="B253" s="275" t="s">
        <v>1159</v>
      </c>
      <c r="C253" s="275" t="s">
        <v>1054</v>
      </c>
      <c r="D253" s="275" t="s">
        <v>1085</v>
      </c>
      <c r="E253" s="289" t="s">
        <v>1194</v>
      </c>
      <c r="F253" s="284"/>
      <c r="G253" s="282">
        <f>G254</f>
        <v>0</v>
      </c>
      <c r="H253" s="293"/>
      <c r="I253" s="371">
        <f t="shared" si="2"/>
        <v>0</v>
      </c>
    </row>
    <row r="254" spans="1:9" ht="13.5" hidden="1">
      <c r="A254" s="343" t="s">
        <v>554</v>
      </c>
      <c r="B254" s="275" t="s">
        <v>1159</v>
      </c>
      <c r="C254" s="275" t="s">
        <v>1054</v>
      </c>
      <c r="D254" s="275" t="s">
        <v>1085</v>
      </c>
      <c r="E254" s="289" t="s">
        <v>1194</v>
      </c>
      <c r="F254" s="284" t="s">
        <v>517</v>
      </c>
      <c r="G254" s="282"/>
      <c r="H254" s="293"/>
      <c r="I254" s="371">
        <f t="shared" si="2"/>
        <v>0</v>
      </c>
    </row>
    <row r="255" spans="1:9" ht="26.25">
      <c r="A255" s="386" t="s">
        <v>903</v>
      </c>
      <c r="B255" s="275" t="s">
        <v>1159</v>
      </c>
      <c r="C255" s="275" t="s">
        <v>1054</v>
      </c>
      <c r="D255" s="275" t="s">
        <v>1085</v>
      </c>
      <c r="E255" s="275" t="s">
        <v>904</v>
      </c>
      <c r="F255" s="303"/>
      <c r="G255" s="282">
        <f>G256+G260</f>
        <v>33000</v>
      </c>
      <c r="H255" s="442"/>
      <c r="I255" s="371">
        <f t="shared" si="2"/>
        <v>33000</v>
      </c>
    </row>
    <row r="256" spans="1:9" ht="66" customHeight="1">
      <c r="A256" s="397" t="s">
        <v>905</v>
      </c>
      <c r="B256" s="275" t="s">
        <v>1159</v>
      </c>
      <c r="C256" s="443" t="s">
        <v>1054</v>
      </c>
      <c r="D256" s="443" t="s">
        <v>1085</v>
      </c>
      <c r="E256" s="443" t="s">
        <v>906</v>
      </c>
      <c r="F256" s="445"/>
      <c r="G256" s="446">
        <f>G257</f>
        <v>28000</v>
      </c>
      <c r="H256" s="442"/>
      <c r="I256" s="371">
        <f t="shared" si="2"/>
        <v>28000</v>
      </c>
    </row>
    <row r="257" spans="1:9" ht="26.25">
      <c r="A257" s="397" t="s">
        <v>907</v>
      </c>
      <c r="B257" s="275" t="s">
        <v>1159</v>
      </c>
      <c r="C257" s="275" t="s">
        <v>1054</v>
      </c>
      <c r="D257" s="275" t="s">
        <v>1085</v>
      </c>
      <c r="E257" s="275" t="s">
        <v>908</v>
      </c>
      <c r="F257" s="303"/>
      <c r="G257" s="282">
        <f>G258</f>
        <v>28000</v>
      </c>
      <c r="H257" s="442"/>
      <c r="I257" s="371">
        <f t="shared" si="2"/>
        <v>28000</v>
      </c>
    </row>
    <row r="258" spans="1:9" ht="26.25">
      <c r="A258" s="372" t="s">
        <v>909</v>
      </c>
      <c r="B258" s="275" t="s">
        <v>1159</v>
      </c>
      <c r="C258" s="275" t="s">
        <v>1054</v>
      </c>
      <c r="D258" s="275" t="s">
        <v>1085</v>
      </c>
      <c r="E258" s="275" t="s">
        <v>910</v>
      </c>
      <c r="F258" s="303"/>
      <c r="G258" s="282">
        <f>G259</f>
        <v>28000</v>
      </c>
      <c r="H258" s="442"/>
      <c r="I258" s="371">
        <f t="shared" si="2"/>
        <v>28000</v>
      </c>
    </row>
    <row r="259" spans="1:9" ht="26.25">
      <c r="A259" s="343" t="s">
        <v>516</v>
      </c>
      <c r="B259" s="275" t="s">
        <v>1159</v>
      </c>
      <c r="C259" s="275" t="s">
        <v>1054</v>
      </c>
      <c r="D259" s="275" t="s">
        <v>1085</v>
      </c>
      <c r="E259" s="275" t="s">
        <v>910</v>
      </c>
      <c r="F259" s="303" t="s">
        <v>517</v>
      </c>
      <c r="G259" s="282">
        <v>28000</v>
      </c>
      <c r="H259" s="442"/>
      <c r="I259" s="371">
        <f t="shared" si="2"/>
        <v>28000</v>
      </c>
    </row>
    <row r="260" spans="1:9" ht="70.5" customHeight="1">
      <c r="A260" s="376" t="s">
        <v>911</v>
      </c>
      <c r="B260" s="275" t="s">
        <v>1159</v>
      </c>
      <c r="C260" s="443" t="s">
        <v>1054</v>
      </c>
      <c r="D260" s="443" t="s">
        <v>1085</v>
      </c>
      <c r="E260" s="443" t="s">
        <v>912</v>
      </c>
      <c r="F260" s="303"/>
      <c r="G260" s="282">
        <f>G261</f>
        <v>5000</v>
      </c>
      <c r="H260" s="442"/>
      <c r="I260" s="371">
        <f t="shared" si="2"/>
        <v>5000</v>
      </c>
    </row>
    <row r="261" spans="1:9" ht="47.25" customHeight="1">
      <c r="A261" s="397" t="s">
        <v>913</v>
      </c>
      <c r="B261" s="275" t="s">
        <v>1159</v>
      </c>
      <c r="C261" s="275" t="s">
        <v>1054</v>
      </c>
      <c r="D261" s="275" t="s">
        <v>1085</v>
      </c>
      <c r="E261" s="275" t="s">
        <v>914</v>
      </c>
      <c r="F261" s="303"/>
      <c r="G261" s="282">
        <f>G262</f>
        <v>5000</v>
      </c>
      <c r="H261" s="442"/>
      <c r="I261" s="371">
        <f t="shared" si="2"/>
        <v>5000</v>
      </c>
    </row>
    <row r="262" spans="1:9" ht="26.25">
      <c r="A262" s="343" t="s">
        <v>915</v>
      </c>
      <c r="B262" s="275" t="s">
        <v>1159</v>
      </c>
      <c r="C262" s="275" t="s">
        <v>1054</v>
      </c>
      <c r="D262" s="275" t="s">
        <v>1085</v>
      </c>
      <c r="E262" s="275" t="s">
        <v>916</v>
      </c>
      <c r="F262" s="303"/>
      <c r="G262" s="282">
        <f>G263</f>
        <v>5000</v>
      </c>
      <c r="H262" s="442"/>
      <c r="I262" s="371">
        <f t="shared" si="2"/>
        <v>5000</v>
      </c>
    </row>
    <row r="263" spans="1:9" ht="32.25" customHeight="1">
      <c r="A263" s="343" t="s">
        <v>516</v>
      </c>
      <c r="B263" s="275" t="s">
        <v>1159</v>
      </c>
      <c r="C263" s="275" t="s">
        <v>1054</v>
      </c>
      <c r="D263" s="275" t="s">
        <v>1085</v>
      </c>
      <c r="E263" s="275" t="s">
        <v>916</v>
      </c>
      <c r="F263" s="303" t="s">
        <v>517</v>
      </c>
      <c r="G263" s="282">
        <v>5000</v>
      </c>
      <c r="H263" s="462"/>
      <c r="I263" s="371">
        <f t="shared" si="2"/>
        <v>5000</v>
      </c>
    </row>
    <row r="264" spans="1:9" ht="19.5" customHeight="1">
      <c r="A264" s="343" t="s">
        <v>1089</v>
      </c>
      <c r="B264" s="275" t="s">
        <v>1159</v>
      </c>
      <c r="C264" s="275" t="s">
        <v>1059</v>
      </c>
      <c r="D264" s="275"/>
      <c r="E264" s="275"/>
      <c r="F264" s="303"/>
      <c r="G264" s="282">
        <f>G274+G265</f>
        <v>23946740.94</v>
      </c>
      <c r="H264" s="442"/>
      <c r="I264" s="371">
        <f t="shared" si="2"/>
        <v>23946740.94</v>
      </c>
    </row>
    <row r="265" spans="1:9" ht="13.5" hidden="1">
      <c r="A265" s="343" t="s">
        <v>1090</v>
      </c>
      <c r="B265" s="275" t="s">
        <v>1159</v>
      </c>
      <c r="C265" s="275" t="s">
        <v>1059</v>
      </c>
      <c r="D265" s="275" t="s">
        <v>1047</v>
      </c>
      <c r="E265" s="275"/>
      <c r="F265" s="303"/>
      <c r="G265" s="282">
        <f>G266</f>
        <v>0</v>
      </c>
      <c r="H265" s="462"/>
      <c r="I265" s="371">
        <f t="shared" si="2"/>
        <v>0</v>
      </c>
    </row>
    <row r="266" spans="1:9" ht="39" hidden="1">
      <c r="A266" s="343" t="s">
        <v>1091</v>
      </c>
      <c r="B266" s="275" t="s">
        <v>1159</v>
      </c>
      <c r="C266" s="275" t="s">
        <v>1059</v>
      </c>
      <c r="D266" s="275" t="s">
        <v>1047</v>
      </c>
      <c r="E266" s="275" t="s">
        <v>722</v>
      </c>
      <c r="F266" s="303"/>
      <c r="G266" s="282">
        <f>G267</f>
        <v>0</v>
      </c>
      <c r="H266" s="462"/>
      <c r="I266" s="371">
        <f t="shared" si="2"/>
        <v>0</v>
      </c>
    </row>
    <row r="267" spans="1:9" ht="66" hidden="1">
      <c r="A267" s="343" t="s">
        <v>1092</v>
      </c>
      <c r="B267" s="275" t="s">
        <v>1159</v>
      </c>
      <c r="C267" s="275" t="s">
        <v>1059</v>
      </c>
      <c r="D267" s="275" t="s">
        <v>1047</v>
      </c>
      <c r="E267" s="275" t="s">
        <v>737</v>
      </c>
      <c r="F267" s="303"/>
      <c r="G267" s="282">
        <f>G268</f>
        <v>0</v>
      </c>
      <c r="H267" s="462"/>
      <c r="I267" s="371">
        <f t="shared" si="2"/>
        <v>0</v>
      </c>
    </row>
    <row r="268" spans="1:9" ht="52.5" hidden="1">
      <c r="A268" s="343" t="s">
        <v>757</v>
      </c>
      <c r="B268" s="275" t="s">
        <v>1159</v>
      </c>
      <c r="C268" s="275" t="s">
        <v>1059</v>
      </c>
      <c r="D268" s="275" t="s">
        <v>1047</v>
      </c>
      <c r="E268" s="275" t="s">
        <v>758</v>
      </c>
      <c r="F268" s="303"/>
      <c r="G268" s="282">
        <f>G269+G271</f>
        <v>0</v>
      </c>
      <c r="H268" s="462"/>
      <c r="I268" s="371">
        <f t="shared" si="2"/>
        <v>0</v>
      </c>
    </row>
    <row r="269" spans="1:9" ht="26.25" hidden="1">
      <c r="A269" s="343" t="s">
        <v>759</v>
      </c>
      <c r="B269" s="275" t="s">
        <v>1159</v>
      </c>
      <c r="C269" s="275" t="s">
        <v>1059</v>
      </c>
      <c r="D269" s="275" t="s">
        <v>1047</v>
      </c>
      <c r="E269" s="275" t="s">
        <v>760</v>
      </c>
      <c r="F269" s="303"/>
      <c r="G269" s="282">
        <f>G270</f>
        <v>0</v>
      </c>
      <c r="H269" s="462"/>
      <c r="I269" s="371">
        <f t="shared" si="2"/>
        <v>0</v>
      </c>
    </row>
    <row r="270" spans="1:9" ht="26.25" hidden="1">
      <c r="A270" s="401" t="s">
        <v>751</v>
      </c>
      <c r="B270" s="275" t="s">
        <v>1159</v>
      </c>
      <c r="C270" s="275" t="s">
        <v>1059</v>
      </c>
      <c r="D270" s="275" t="s">
        <v>1047</v>
      </c>
      <c r="E270" s="275" t="s">
        <v>760</v>
      </c>
      <c r="F270" s="303" t="s">
        <v>752</v>
      </c>
      <c r="G270" s="282"/>
      <c r="H270" s="462"/>
      <c r="I270" s="371">
        <f t="shared" si="2"/>
        <v>0</v>
      </c>
    </row>
    <row r="271" spans="1:9" ht="26.25" hidden="1">
      <c r="A271" s="401" t="s">
        <v>761</v>
      </c>
      <c r="B271" s="275" t="s">
        <v>1159</v>
      </c>
      <c r="C271" s="275" t="s">
        <v>1059</v>
      </c>
      <c r="D271" s="275" t="s">
        <v>1047</v>
      </c>
      <c r="E271" s="275" t="s">
        <v>762</v>
      </c>
      <c r="F271" s="303"/>
      <c r="G271" s="282">
        <f>G273+G272</f>
        <v>0</v>
      </c>
      <c r="H271" s="462"/>
      <c r="I271" s="371">
        <f t="shared" si="2"/>
        <v>0</v>
      </c>
    </row>
    <row r="272" spans="1:9" ht="26.25" hidden="1">
      <c r="A272" s="343" t="s">
        <v>516</v>
      </c>
      <c r="B272" s="275" t="s">
        <v>1159</v>
      </c>
      <c r="C272" s="275" t="s">
        <v>1059</v>
      </c>
      <c r="D272" s="275" t="s">
        <v>1047</v>
      </c>
      <c r="E272" s="275" t="s">
        <v>762</v>
      </c>
      <c r="F272" s="303" t="s">
        <v>517</v>
      </c>
      <c r="G272" s="282"/>
      <c r="H272" s="462"/>
      <c r="I272" s="371">
        <f t="shared" si="2"/>
        <v>0</v>
      </c>
    </row>
    <row r="273" spans="1:9" ht="26.25" hidden="1">
      <c r="A273" s="401" t="s">
        <v>751</v>
      </c>
      <c r="B273" s="275" t="s">
        <v>1159</v>
      </c>
      <c r="C273" s="275" t="s">
        <v>1059</v>
      </c>
      <c r="D273" s="275" t="s">
        <v>1047</v>
      </c>
      <c r="E273" s="275" t="s">
        <v>762</v>
      </c>
      <c r="F273" s="303" t="s">
        <v>752</v>
      </c>
      <c r="G273" s="282"/>
      <c r="H273" s="462"/>
      <c r="I273" s="371">
        <f t="shared" si="2"/>
        <v>0</v>
      </c>
    </row>
    <row r="274" spans="1:9" ht="13.5">
      <c r="A274" s="343" t="s">
        <v>1093</v>
      </c>
      <c r="B274" s="275" t="s">
        <v>1159</v>
      </c>
      <c r="C274" s="275" t="s">
        <v>1059</v>
      </c>
      <c r="D274" s="275" t="s">
        <v>1049</v>
      </c>
      <c r="E274" s="275"/>
      <c r="F274" s="303"/>
      <c r="G274" s="282">
        <f>G275+G284+G294+G286</f>
        <v>23946740.94</v>
      </c>
      <c r="H274" s="442"/>
      <c r="I274" s="371">
        <f t="shared" si="2"/>
        <v>23946740.94</v>
      </c>
    </row>
    <row r="275" spans="1:9" ht="39">
      <c r="A275" s="367" t="s">
        <v>705</v>
      </c>
      <c r="B275" s="275" t="s">
        <v>1159</v>
      </c>
      <c r="C275" s="275" t="s">
        <v>1059</v>
      </c>
      <c r="D275" s="275" t="s">
        <v>1049</v>
      </c>
      <c r="E275" s="289" t="s">
        <v>706</v>
      </c>
      <c r="F275" s="303"/>
      <c r="G275" s="282">
        <f>G276</f>
        <v>13904751</v>
      </c>
      <c r="H275" s="442"/>
      <c r="I275" s="371">
        <f t="shared" si="2"/>
        <v>13904751</v>
      </c>
    </row>
    <row r="276" spans="1:9" ht="52.5">
      <c r="A276" s="402" t="s">
        <v>707</v>
      </c>
      <c r="B276" s="275" t="s">
        <v>1159</v>
      </c>
      <c r="C276" s="443" t="s">
        <v>1059</v>
      </c>
      <c r="D276" s="443" t="s">
        <v>1049</v>
      </c>
      <c r="E276" s="453" t="s">
        <v>1161</v>
      </c>
      <c r="F276" s="445"/>
      <c r="G276" s="446">
        <f>G277</f>
        <v>13904751</v>
      </c>
      <c r="H276" s="442"/>
      <c r="I276" s="371">
        <f t="shared" si="2"/>
        <v>13904751</v>
      </c>
    </row>
    <row r="277" spans="1:9" ht="24.75" customHeight="1">
      <c r="A277" s="373" t="s">
        <v>709</v>
      </c>
      <c r="B277" s="275" t="s">
        <v>1159</v>
      </c>
      <c r="C277" s="275" t="s">
        <v>1059</v>
      </c>
      <c r="D277" s="275" t="s">
        <v>1049</v>
      </c>
      <c r="E277" s="289" t="s">
        <v>710</v>
      </c>
      <c r="F277" s="303"/>
      <c r="G277" s="282">
        <f>G278+G280+G282</f>
        <v>13904751</v>
      </c>
      <c r="H277" s="442"/>
      <c r="I277" s="371">
        <f t="shared" si="2"/>
        <v>13904751</v>
      </c>
    </row>
    <row r="278" spans="1:9" ht="39">
      <c r="A278" s="305" t="s">
        <v>1199</v>
      </c>
      <c r="B278" s="275" t="s">
        <v>1159</v>
      </c>
      <c r="C278" s="275" t="s">
        <v>1059</v>
      </c>
      <c r="D278" s="275" t="s">
        <v>1049</v>
      </c>
      <c r="E278" s="289" t="s">
        <v>1200</v>
      </c>
      <c r="F278" s="303"/>
      <c r="G278" s="282">
        <f>G279</f>
        <v>13131613</v>
      </c>
      <c r="H278" s="442"/>
      <c r="I278" s="371">
        <f t="shared" si="2"/>
        <v>13131613</v>
      </c>
    </row>
    <row r="279" spans="1:9" ht="13.5">
      <c r="A279" s="401" t="s">
        <v>713</v>
      </c>
      <c r="B279" s="275" t="s">
        <v>1159</v>
      </c>
      <c r="C279" s="275" t="s">
        <v>1059</v>
      </c>
      <c r="D279" s="275" t="s">
        <v>1049</v>
      </c>
      <c r="E279" s="289" t="s">
        <v>1200</v>
      </c>
      <c r="F279" s="303" t="s">
        <v>714</v>
      </c>
      <c r="G279" s="282">
        <f>13131613</f>
        <v>13131613</v>
      </c>
      <c r="H279" s="462"/>
      <c r="I279" s="371">
        <f t="shared" si="2"/>
        <v>13131613</v>
      </c>
    </row>
    <row r="280" spans="1:9" ht="39">
      <c r="A280" s="332" t="s">
        <v>719</v>
      </c>
      <c r="B280" s="275" t="s">
        <v>1159</v>
      </c>
      <c r="C280" s="275" t="s">
        <v>1059</v>
      </c>
      <c r="D280" s="275" t="s">
        <v>1049</v>
      </c>
      <c r="E280" s="289" t="s">
        <v>720</v>
      </c>
      <c r="F280" s="303"/>
      <c r="G280" s="282">
        <f>G281</f>
        <v>691138</v>
      </c>
      <c r="H280" s="442"/>
      <c r="I280" s="371">
        <f t="shared" si="2"/>
        <v>691138</v>
      </c>
    </row>
    <row r="281" spans="1:9" ht="13.5">
      <c r="A281" s="401" t="s">
        <v>713</v>
      </c>
      <c r="B281" s="275" t="s">
        <v>1159</v>
      </c>
      <c r="C281" s="275" t="s">
        <v>1059</v>
      </c>
      <c r="D281" s="275" t="s">
        <v>1049</v>
      </c>
      <c r="E281" s="289" t="s">
        <v>720</v>
      </c>
      <c r="F281" s="303" t="s">
        <v>714</v>
      </c>
      <c r="G281" s="282">
        <f>970000-278862</f>
        <v>691138</v>
      </c>
      <c r="H281" s="442"/>
      <c r="I281" s="371">
        <f>G281+H281</f>
        <v>691138</v>
      </c>
    </row>
    <row r="282" spans="1:9" ht="26.25">
      <c r="A282" s="332" t="s">
        <v>1201</v>
      </c>
      <c r="B282" s="275" t="s">
        <v>1159</v>
      </c>
      <c r="C282" s="275" t="s">
        <v>1059</v>
      </c>
      <c r="D282" s="275" t="s">
        <v>1049</v>
      </c>
      <c r="E282" s="289" t="s">
        <v>1202</v>
      </c>
      <c r="F282" s="303"/>
      <c r="G282" s="282">
        <f>G283</f>
        <v>82000</v>
      </c>
      <c r="H282" s="442"/>
      <c r="I282" s="371">
        <f>G282+H282</f>
        <v>82000</v>
      </c>
    </row>
    <row r="283" spans="1:9" ht="13.5">
      <c r="A283" s="401" t="s">
        <v>713</v>
      </c>
      <c r="B283" s="275" t="s">
        <v>1159</v>
      </c>
      <c r="C283" s="275" t="s">
        <v>1059</v>
      </c>
      <c r="D283" s="275" t="s">
        <v>1049</v>
      </c>
      <c r="E283" s="289" t="s">
        <v>1202</v>
      </c>
      <c r="F283" s="303" t="s">
        <v>714</v>
      </c>
      <c r="G283" s="282">
        <v>82000</v>
      </c>
      <c r="H283" s="442"/>
      <c r="I283" s="371">
        <f>G283+H283</f>
        <v>82000</v>
      </c>
    </row>
    <row r="284" spans="1:9" ht="52.5" customHeight="1">
      <c r="A284" s="402" t="s">
        <v>721</v>
      </c>
      <c r="B284" s="275" t="s">
        <v>1159</v>
      </c>
      <c r="C284" s="275" t="s">
        <v>1059</v>
      </c>
      <c r="D284" s="275" t="s">
        <v>1049</v>
      </c>
      <c r="E284" s="289" t="s">
        <v>722</v>
      </c>
      <c r="F284" s="303"/>
      <c r="G284" s="282">
        <f>G285</f>
        <v>2000000</v>
      </c>
      <c r="H284" s="442"/>
      <c r="I284" s="371">
        <f t="shared" si="2"/>
        <v>2000000</v>
      </c>
    </row>
    <row r="285" spans="1:9" ht="84" customHeight="1">
      <c r="A285" s="401" t="s">
        <v>1096</v>
      </c>
      <c r="B285" s="275" t="s">
        <v>1159</v>
      </c>
      <c r="C285" s="443" t="s">
        <v>1059</v>
      </c>
      <c r="D285" s="443" t="s">
        <v>1049</v>
      </c>
      <c r="E285" s="453" t="s">
        <v>1097</v>
      </c>
      <c r="F285" s="445"/>
      <c r="G285" s="446">
        <f>G291</f>
        <v>2000000</v>
      </c>
      <c r="H285" s="442"/>
      <c r="I285" s="371">
        <f t="shared" si="2"/>
        <v>2000000</v>
      </c>
    </row>
    <row r="286" spans="1:9" ht="26.25" hidden="1">
      <c r="A286" s="373" t="s">
        <v>745</v>
      </c>
      <c r="B286" s="275" t="s">
        <v>1159</v>
      </c>
      <c r="C286" s="275" t="s">
        <v>1059</v>
      </c>
      <c r="D286" s="275" t="s">
        <v>1049</v>
      </c>
      <c r="E286" s="298" t="s">
        <v>746</v>
      </c>
      <c r="F286" s="445"/>
      <c r="G286" s="446">
        <f>G287+G289</f>
        <v>0</v>
      </c>
      <c r="H286" s="442"/>
      <c r="I286" s="371">
        <f t="shared" si="2"/>
        <v>0</v>
      </c>
    </row>
    <row r="287" spans="1:9" ht="24" hidden="1">
      <c r="A287" s="474" t="s">
        <v>747</v>
      </c>
      <c r="B287" s="275" t="s">
        <v>1159</v>
      </c>
      <c r="C287" s="275" t="s">
        <v>1059</v>
      </c>
      <c r="D287" s="275" t="s">
        <v>1049</v>
      </c>
      <c r="E287" s="298" t="s">
        <v>748</v>
      </c>
      <c r="F287" s="303"/>
      <c r="G287" s="446">
        <f>G288</f>
        <v>0</v>
      </c>
      <c r="H287" s="442"/>
      <c r="I287" s="371">
        <f t="shared" si="2"/>
        <v>0</v>
      </c>
    </row>
    <row r="288" spans="1:9" ht="13.5" hidden="1">
      <c r="A288" s="401" t="s">
        <v>713</v>
      </c>
      <c r="B288" s="275" t="s">
        <v>1159</v>
      </c>
      <c r="C288" s="275" t="s">
        <v>1059</v>
      </c>
      <c r="D288" s="275" t="s">
        <v>1049</v>
      </c>
      <c r="E288" s="298" t="s">
        <v>748</v>
      </c>
      <c r="F288" s="303" t="s">
        <v>714</v>
      </c>
      <c r="G288" s="446"/>
      <c r="H288" s="442"/>
      <c r="I288" s="371">
        <f t="shared" si="2"/>
        <v>0</v>
      </c>
    </row>
    <row r="289" spans="1:9" ht="30" customHeight="1" hidden="1">
      <c r="A289" s="474" t="s">
        <v>749</v>
      </c>
      <c r="B289" s="275" t="s">
        <v>1159</v>
      </c>
      <c r="C289" s="275" t="s">
        <v>1059</v>
      </c>
      <c r="D289" s="275" t="s">
        <v>1049</v>
      </c>
      <c r="E289" s="298" t="s">
        <v>750</v>
      </c>
      <c r="F289" s="303"/>
      <c r="G289" s="446">
        <f>G290</f>
        <v>0</v>
      </c>
      <c r="H289" s="442"/>
      <c r="I289" s="371">
        <f t="shared" si="2"/>
        <v>0</v>
      </c>
    </row>
    <row r="290" spans="1:9" ht="15.75" customHeight="1" hidden="1">
      <c r="A290" s="401" t="s">
        <v>713</v>
      </c>
      <c r="B290" s="275" t="s">
        <v>1159</v>
      </c>
      <c r="C290" s="275" t="s">
        <v>1059</v>
      </c>
      <c r="D290" s="275" t="s">
        <v>1049</v>
      </c>
      <c r="E290" s="298" t="s">
        <v>750</v>
      </c>
      <c r="F290" s="303" t="s">
        <v>714</v>
      </c>
      <c r="G290" s="446"/>
      <c r="H290" s="442"/>
      <c r="I290" s="371">
        <f t="shared" si="2"/>
        <v>0</v>
      </c>
    </row>
    <row r="291" spans="1:9" ht="29.25" customHeight="1">
      <c r="A291" s="373" t="s">
        <v>753</v>
      </c>
      <c r="B291" s="275" t="s">
        <v>1159</v>
      </c>
      <c r="C291" s="275" t="s">
        <v>1059</v>
      </c>
      <c r="D291" s="275" t="s">
        <v>1049</v>
      </c>
      <c r="E291" s="298" t="s">
        <v>754</v>
      </c>
      <c r="F291" s="303"/>
      <c r="G291" s="282">
        <f>G292</f>
        <v>2000000</v>
      </c>
      <c r="H291" s="442"/>
      <c r="I291" s="371">
        <f t="shared" si="2"/>
        <v>2000000</v>
      </c>
    </row>
    <row r="292" spans="1:9" ht="39">
      <c r="A292" s="372" t="s">
        <v>755</v>
      </c>
      <c r="B292" s="275" t="s">
        <v>1159</v>
      </c>
      <c r="C292" s="275" t="s">
        <v>1059</v>
      </c>
      <c r="D292" s="275" t="s">
        <v>1049</v>
      </c>
      <c r="E292" s="298" t="s">
        <v>756</v>
      </c>
      <c r="F292" s="303"/>
      <c r="G292" s="282">
        <f>G293</f>
        <v>2000000</v>
      </c>
      <c r="H292" s="442"/>
      <c r="I292" s="371">
        <f t="shared" si="2"/>
        <v>2000000</v>
      </c>
    </row>
    <row r="293" spans="1:9" ht="13.5">
      <c r="A293" s="401" t="s">
        <v>713</v>
      </c>
      <c r="B293" s="275" t="s">
        <v>1159</v>
      </c>
      <c r="C293" s="275" t="s">
        <v>1059</v>
      </c>
      <c r="D293" s="275" t="s">
        <v>1049</v>
      </c>
      <c r="E293" s="298" t="s">
        <v>756</v>
      </c>
      <c r="F293" s="303" t="s">
        <v>714</v>
      </c>
      <c r="G293" s="282">
        <f>500000+500000+500000+500000</f>
        <v>2000000</v>
      </c>
      <c r="H293" s="462"/>
      <c r="I293" s="371">
        <f t="shared" si="2"/>
        <v>2000000</v>
      </c>
    </row>
    <row r="294" spans="1:9" ht="43.5" customHeight="1">
      <c r="A294" s="386" t="s">
        <v>917</v>
      </c>
      <c r="B294" s="275" t="s">
        <v>1159</v>
      </c>
      <c r="C294" s="275" t="s">
        <v>1059</v>
      </c>
      <c r="D294" s="275" t="s">
        <v>1049</v>
      </c>
      <c r="E294" s="289" t="s">
        <v>918</v>
      </c>
      <c r="F294" s="303"/>
      <c r="G294" s="282">
        <f>G295</f>
        <v>8041989.94</v>
      </c>
      <c r="H294" s="442"/>
      <c r="I294" s="371">
        <f t="shared" si="2"/>
        <v>8041989.94</v>
      </c>
    </row>
    <row r="295" spans="1:9" ht="54.75">
      <c r="A295" s="475" t="s">
        <v>919</v>
      </c>
      <c r="B295" s="275" t="s">
        <v>1159</v>
      </c>
      <c r="C295" s="443" t="s">
        <v>1059</v>
      </c>
      <c r="D295" s="443" t="s">
        <v>1049</v>
      </c>
      <c r="E295" s="453" t="s">
        <v>920</v>
      </c>
      <c r="F295" s="445"/>
      <c r="G295" s="446">
        <f>G296</f>
        <v>8041989.94</v>
      </c>
      <c r="H295" s="442"/>
      <c r="I295" s="371">
        <f t="shared" si="2"/>
        <v>8041989.94</v>
      </c>
    </row>
    <row r="296" spans="1:9" ht="13.5">
      <c r="A296" s="401" t="s">
        <v>929</v>
      </c>
      <c r="B296" s="275" t="s">
        <v>1159</v>
      </c>
      <c r="C296" s="275" t="s">
        <v>1059</v>
      </c>
      <c r="D296" s="275" t="s">
        <v>1049</v>
      </c>
      <c r="E296" s="289" t="s">
        <v>930</v>
      </c>
      <c r="F296" s="303"/>
      <c r="G296" s="282">
        <f>G297+G305+G299+G301+G303</f>
        <v>8041989.94</v>
      </c>
      <c r="H296" s="442"/>
      <c r="I296" s="371">
        <f t="shared" si="2"/>
        <v>8041989.94</v>
      </c>
    </row>
    <row r="297" spans="1:9" ht="21" customHeight="1">
      <c r="A297" s="332" t="s">
        <v>934</v>
      </c>
      <c r="B297" s="275" t="s">
        <v>1159</v>
      </c>
      <c r="C297" s="275" t="s">
        <v>1059</v>
      </c>
      <c r="D297" s="275" t="s">
        <v>1049</v>
      </c>
      <c r="E297" s="289" t="s">
        <v>935</v>
      </c>
      <c r="F297" s="303"/>
      <c r="G297" s="282">
        <f>G298</f>
        <v>5578897</v>
      </c>
      <c r="H297" s="442"/>
      <c r="I297" s="371">
        <f t="shared" si="2"/>
        <v>5578897</v>
      </c>
    </row>
    <row r="298" spans="1:9" ht="13.5">
      <c r="A298" s="401" t="s">
        <v>713</v>
      </c>
      <c r="B298" s="275" t="s">
        <v>1159</v>
      </c>
      <c r="C298" s="275" t="s">
        <v>1059</v>
      </c>
      <c r="D298" s="275" t="s">
        <v>1049</v>
      </c>
      <c r="E298" s="289" t="s">
        <v>935</v>
      </c>
      <c r="F298" s="303" t="s">
        <v>714</v>
      </c>
      <c r="G298" s="282">
        <f>1615000-615000-163165+4742062</f>
        <v>5578897</v>
      </c>
      <c r="H298" s="462"/>
      <c r="I298" s="371">
        <f t="shared" si="2"/>
        <v>5578897</v>
      </c>
    </row>
    <row r="299" spans="1:9" ht="13.5">
      <c r="A299" s="332" t="s">
        <v>934</v>
      </c>
      <c r="B299" s="275" t="s">
        <v>1159</v>
      </c>
      <c r="C299" s="275" t="s">
        <v>1059</v>
      </c>
      <c r="D299" s="275" t="s">
        <v>1049</v>
      </c>
      <c r="E299" s="289" t="s">
        <v>1203</v>
      </c>
      <c r="F299" s="303"/>
      <c r="G299" s="282">
        <f>G300</f>
        <v>0</v>
      </c>
      <c r="H299" s="442"/>
      <c r="I299" s="371">
        <f t="shared" si="2"/>
        <v>0</v>
      </c>
    </row>
    <row r="300" spans="1:9" ht="13.5">
      <c r="A300" s="401" t="s">
        <v>713</v>
      </c>
      <c r="B300" s="275" t="s">
        <v>1159</v>
      </c>
      <c r="C300" s="275" t="s">
        <v>1059</v>
      </c>
      <c r="D300" s="275" t="s">
        <v>1049</v>
      </c>
      <c r="E300" s="289" t="s">
        <v>1203</v>
      </c>
      <c r="F300" s="303" t="s">
        <v>714</v>
      </c>
      <c r="G300" s="282">
        <f>15000-15000</f>
        <v>0</v>
      </c>
      <c r="H300" s="462"/>
      <c r="I300" s="371">
        <f t="shared" si="2"/>
        <v>0</v>
      </c>
    </row>
    <row r="301" spans="1:9" ht="39">
      <c r="A301" s="383" t="s">
        <v>1204</v>
      </c>
      <c r="B301" s="275" t="s">
        <v>1159</v>
      </c>
      <c r="C301" s="275" t="s">
        <v>1059</v>
      </c>
      <c r="D301" s="275" t="s">
        <v>1049</v>
      </c>
      <c r="E301" s="289" t="s">
        <v>1205</v>
      </c>
      <c r="F301" s="303"/>
      <c r="G301" s="282">
        <f>G302</f>
        <v>230676.58</v>
      </c>
      <c r="H301" s="442"/>
      <c r="I301" s="371">
        <f t="shared" si="2"/>
        <v>230676.58</v>
      </c>
    </row>
    <row r="302" spans="1:9" ht="13.5">
      <c r="A302" s="401" t="s">
        <v>713</v>
      </c>
      <c r="B302" s="275" t="s">
        <v>1159</v>
      </c>
      <c r="C302" s="275" t="s">
        <v>1059</v>
      </c>
      <c r="D302" s="275" t="s">
        <v>1049</v>
      </c>
      <c r="E302" s="289" t="s">
        <v>1205</v>
      </c>
      <c r="F302" s="303" t="s">
        <v>714</v>
      </c>
      <c r="G302" s="282">
        <f>229729.58+947</f>
        <v>230676.58</v>
      </c>
      <c r="H302" s="462"/>
      <c r="I302" s="371">
        <f t="shared" si="2"/>
        <v>230676.58</v>
      </c>
    </row>
    <row r="303" spans="1:9" ht="24">
      <c r="A303" s="474" t="s">
        <v>932</v>
      </c>
      <c r="B303" s="275" t="s">
        <v>1159</v>
      </c>
      <c r="C303" s="275" t="s">
        <v>1059</v>
      </c>
      <c r="D303" s="275" t="s">
        <v>1049</v>
      </c>
      <c r="E303" s="289" t="s">
        <v>1206</v>
      </c>
      <c r="F303" s="303"/>
      <c r="G303" s="282">
        <f>G304</f>
        <v>1300852</v>
      </c>
      <c r="H303" s="442"/>
      <c r="I303" s="371">
        <f t="shared" si="2"/>
        <v>1300852</v>
      </c>
    </row>
    <row r="304" spans="1:9" ht="13.5">
      <c r="A304" s="401" t="s">
        <v>713</v>
      </c>
      <c r="B304" s="275" t="s">
        <v>1159</v>
      </c>
      <c r="C304" s="275" t="s">
        <v>1059</v>
      </c>
      <c r="D304" s="275" t="s">
        <v>1049</v>
      </c>
      <c r="E304" s="289" t="s">
        <v>1206</v>
      </c>
      <c r="F304" s="303" t="s">
        <v>714</v>
      </c>
      <c r="G304" s="282">
        <f>1300852</f>
        <v>1300852</v>
      </c>
      <c r="H304" s="462"/>
      <c r="I304" s="371">
        <f t="shared" si="2"/>
        <v>1300852</v>
      </c>
    </row>
    <row r="305" spans="1:9" ht="39">
      <c r="A305" s="372" t="s">
        <v>755</v>
      </c>
      <c r="B305" s="275" t="s">
        <v>1159</v>
      </c>
      <c r="C305" s="275" t="s">
        <v>1059</v>
      </c>
      <c r="D305" s="275" t="s">
        <v>1049</v>
      </c>
      <c r="E305" s="289" t="s">
        <v>936</v>
      </c>
      <c r="F305" s="303"/>
      <c r="G305" s="282">
        <f>G306</f>
        <v>931564.36</v>
      </c>
      <c r="H305" s="462"/>
      <c r="I305" s="371">
        <f t="shared" si="2"/>
        <v>931564.36</v>
      </c>
    </row>
    <row r="306" spans="1:9" ht="13.5">
      <c r="A306" s="401" t="s">
        <v>713</v>
      </c>
      <c r="B306" s="275" t="s">
        <v>1159</v>
      </c>
      <c r="C306" s="275" t="s">
        <v>1059</v>
      </c>
      <c r="D306" s="275" t="s">
        <v>1049</v>
      </c>
      <c r="E306" s="289" t="s">
        <v>936</v>
      </c>
      <c r="F306" s="303" t="s">
        <v>714</v>
      </c>
      <c r="G306" s="476">
        <f>600000+15000+286364.36+30200</f>
        <v>931564.36</v>
      </c>
      <c r="H306" s="442"/>
      <c r="I306" s="371">
        <f t="shared" si="2"/>
        <v>931564.36</v>
      </c>
    </row>
    <row r="307" spans="1:9" ht="13.5">
      <c r="A307" s="401" t="s">
        <v>1098</v>
      </c>
      <c r="B307" s="275" t="s">
        <v>1159</v>
      </c>
      <c r="C307" s="275" t="s">
        <v>1061</v>
      </c>
      <c r="D307" s="275"/>
      <c r="E307" s="289"/>
      <c r="F307" s="303"/>
      <c r="G307" s="476">
        <f>G308</f>
        <v>300000</v>
      </c>
      <c r="H307" s="442"/>
      <c r="I307" s="371">
        <f t="shared" si="2"/>
        <v>300000</v>
      </c>
    </row>
    <row r="308" spans="1:9" ht="13.5">
      <c r="A308" s="405" t="s">
        <v>1099</v>
      </c>
      <c r="B308" s="275" t="s">
        <v>1159</v>
      </c>
      <c r="C308" s="275" t="s">
        <v>1061</v>
      </c>
      <c r="D308" s="275" t="s">
        <v>1059</v>
      </c>
      <c r="E308" s="289"/>
      <c r="F308" s="303"/>
      <c r="G308" s="476">
        <f>G309</f>
        <v>300000</v>
      </c>
      <c r="H308" s="442"/>
      <c r="I308" s="371">
        <f t="shared" si="2"/>
        <v>300000</v>
      </c>
    </row>
    <row r="309" spans="1:9" ht="13.5">
      <c r="A309" s="405" t="s">
        <v>995</v>
      </c>
      <c r="B309" s="275" t="s">
        <v>1159</v>
      </c>
      <c r="C309" s="275" t="s">
        <v>1061</v>
      </c>
      <c r="D309" s="275" t="s">
        <v>1059</v>
      </c>
      <c r="E309" s="289" t="s">
        <v>996</v>
      </c>
      <c r="F309" s="303"/>
      <c r="G309" s="476">
        <f>G310</f>
        <v>300000</v>
      </c>
      <c r="H309" s="442"/>
      <c r="I309" s="371">
        <f t="shared" si="2"/>
        <v>300000</v>
      </c>
    </row>
    <row r="310" spans="1:9" ht="13.5">
      <c r="A310" s="370" t="s">
        <v>1001</v>
      </c>
      <c r="B310" s="275" t="s">
        <v>1159</v>
      </c>
      <c r="C310" s="275" t="s">
        <v>1061</v>
      </c>
      <c r="D310" s="275" t="s">
        <v>1059</v>
      </c>
      <c r="E310" s="289" t="s">
        <v>1002</v>
      </c>
      <c r="F310" s="303"/>
      <c r="G310" s="476">
        <f>G311</f>
        <v>300000</v>
      </c>
      <c r="H310" s="442"/>
      <c r="I310" s="371">
        <f>G310+H310</f>
        <v>300000</v>
      </c>
    </row>
    <row r="311" spans="1:9" ht="13.5">
      <c r="A311" s="370" t="s">
        <v>1100</v>
      </c>
      <c r="B311" s="275" t="s">
        <v>1159</v>
      </c>
      <c r="C311" s="275" t="s">
        <v>1061</v>
      </c>
      <c r="D311" s="275" t="s">
        <v>1059</v>
      </c>
      <c r="E311" s="289" t="s">
        <v>1016</v>
      </c>
      <c r="F311" s="303"/>
      <c r="G311" s="476">
        <f>G312</f>
        <v>300000</v>
      </c>
      <c r="H311" s="442"/>
      <c r="I311" s="371">
        <f>G311+H311</f>
        <v>300000</v>
      </c>
    </row>
    <row r="312" spans="1:9" ht="26.25">
      <c r="A312" s="343" t="s">
        <v>516</v>
      </c>
      <c r="B312" s="275" t="s">
        <v>1159</v>
      </c>
      <c r="C312" s="275" t="s">
        <v>1061</v>
      </c>
      <c r="D312" s="275" t="s">
        <v>1059</v>
      </c>
      <c r="E312" s="289" t="s">
        <v>1016</v>
      </c>
      <c r="F312" s="303" t="s">
        <v>517</v>
      </c>
      <c r="G312" s="476">
        <v>300000</v>
      </c>
      <c r="H312" s="442"/>
      <c r="I312" s="371">
        <f>G312+H312</f>
        <v>300000</v>
      </c>
    </row>
    <row r="313" spans="1:9" ht="13.5" customHeight="1">
      <c r="A313" s="470" t="s">
        <v>1101</v>
      </c>
      <c r="B313" s="275" t="s">
        <v>1159</v>
      </c>
      <c r="C313" s="275" t="s">
        <v>1063</v>
      </c>
      <c r="D313" s="275"/>
      <c r="E313" s="289"/>
      <c r="F313" s="324"/>
      <c r="G313" s="282">
        <f>G314</f>
        <v>1080051</v>
      </c>
      <c r="H313" s="442"/>
      <c r="I313" s="371">
        <f>G313+H313</f>
        <v>1080051</v>
      </c>
    </row>
    <row r="314" spans="1:9" ht="13.5">
      <c r="A314" s="370" t="s">
        <v>1162</v>
      </c>
      <c r="B314" s="275" t="s">
        <v>1159</v>
      </c>
      <c r="C314" s="275" t="s">
        <v>1063</v>
      </c>
      <c r="D314" s="275" t="s">
        <v>1063</v>
      </c>
      <c r="E314" s="275"/>
      <c r="F314" s="284"/>
      <c r="G314" s="282">
        <f>G315</f>
        <v>1080051</v>
      </c>
      <c r="H314" s="442"/>
      <c r="I314" s="371">
        <f>G314+H314</f>
        <v>1080051</v>
      </c>
    </row>
    <row r="315" spans="1:9" ht="57" customHeight="1">
      <c r="A315" s="373" t="s">
        <v>771</v>
      </c>
      <c r="B315" s="275" t="s">
        <v>1159</v>
      </c>
      <c r="C315" s="275" t="s">
        <v>1063</v>
      </c>
      <c r="D315" s="275" t="s">
        <v>1063</v>
      </c>
      <c r="E315" s="289" t="s">
        <v>772</v>
      </c>
      <c r="F315" s="284"/>
      <c r="G315" s="282">
        <f>G316+G321</f>
        <v>1080051</v>
      </c>
      <c r="H315" s="442"/>
      <c r="I315" s="371">
        <f aca="true" t="shared" si="3" ref="I315:I386">G315+H315</f>
        <v>1080051</v>
      </c>
    </row>
    <row r="316" spans="1:9" ht="76.5" customHeight="1">
      <c r="A316" s="373" t="s">
        <v>773</v>
      </c>
      <c r="B316" s="275" t="s">
        <v>1159</v>
      </c>
      <c r="C316" s="443" t="s">
        <v>1063</v>
      </c>
      <c r="D316" s="443" t="s">
        <v>1063</v>
      </c>
      <c r="E316" s="453" t="s">
        <v>774</v>
      </c>
      <c r="F316" s="454"/>
      <c r="G316" s="446">
        <f>G317</f>
        <v>105000</v>
      </c>
      <c r="H316" s="442"/>
      <c r="I316" s="371">
        <f t="shared" si="3"/>
        <v>105000</v>
      </c>
    </row>
    <row r="317" spans="1:9" ht="39.75" customHeight="1">
      <c r="A317" s="373" t="s">
        <v>775</v>
      </c>
      <c r="B317" s="275" t="s">
        <v>1159</v>
      </c>
      <c r="C317" s="275" t="s">
        <v>1063</v>
      </c>
      <c r="D317" s="275" t="s">
        <v>1063</v>
      </c>
      <c r="E317" s="289" t="s">
        <v>776</v>
      </c>
      <c r="F317" s="324"/>
      <c r="G317" s="282">
        <f>G318</f>
        <v>105000</v>
      </c>
      <c r="H317" s="442"/>
      <c r="I317" s="371">
        <f t="shared" si="3"/>
        <v>105000</v>
      </c>
    </row>
    <row r="318" spans="1:9" ht="19.5" customHeight="1">
      <c r="A318" s="373" t="s">
        <v>777</v>
      </c>
      <c r="B318" s="275" t="s">
        <v>1159</v>
      </c>
      <c r="C318" s="275" t="s">
        <v>1063</v>
      </c>
      <c r="D318" s="275" t="s">
        <v>1063</v>
      </c>
      <c r="E318" s="289" t="s">
        <v>778</v>
      </c>
      <c r="F318" s="324"/>
      <c r="G318" s="282">
        <f>G319+G320</f>
        <v>105000</v>
      </c>
      <c r="H318" s="442"/>
      <c r="I318" s="371">
        <f t="shared" si="3"/>
        <v>105000</v>
      </c>
    </row>
    <row r="319" spans="1:9" ht="27.75" customHeight="1">
      <c r="A319" s="343" t="s">
        <v>516</v>
      </c>
      <c r="B319" s="275" t="s">
        <v>1159</v>
      </c>
      <c r="C319" s="275" t="s">
        <v>1063</v>
      </c>
      <c r="D319" s="275" t="s">
        <v>1063</v>
      </c>
      <c r="E319" s="289" t="s">
        <v>778</v>
      </c>
      <c r="F319" s="324" t="s">
        <v>517</v>
      </c>
      <c r="G319" s="282">
        <f>85000-20000+20000</f>
        <v>85000</v>
      </c>
      <c r="H319" s="462"/>
      <c r="I319" s="371">
        <f t="shared" si="3"/>
        <v>85000</v>
      </c>
    </row>
    <row r="320" spans="1:9" ht="19.5" customHeight="1">
      <c r="A320" s="370" t="s">
        <v>550</v>
      </c>
      <c r="B320" s="275" t="s">
        <v>1159</v>
      </c>
      <c r="C320" s="275" t="s">
        <v>1063</v>
      </c>
      <c r="D320" s="275" t="s">
        <v>1063</v>
      </c>
      <c r="E320" s="289" t="s">
        <v>778</v>
      </c>
      <c r="F320" s="324" t="s">
        <v>551</v>
      </c>
      <c r="G320" s="282">
        <f>20000</f>
        <v>20000</v>
      </c>
      <c r="H320" s="462"/>
      <c r="I320" s="371">
        <f t="shared" si="3"/>
        <v>20000</v>
      </c>
    </row>
    <row r="321" spans="1:9" ht="55.5" customHeight="1">
      <c r="A321" s="386" t="s">
        <v>788</v>
      </c>
      <c r="B321" s="275" t="s">
        <v>1159</v>
      </c>
      <c r="C321" s="275" t="s">
        <v>1063</v>
      </c>
      <c r="D321" s="275" t="s">
        <v>1063</v>
      </c>
      <c r="E321" s="289" t="s">
        <v>789</v>
      </c>
      <c r="F321" s="324"/>
      <c r="G321" s="282">
        <f>G322</f>
        <v>975051</v>
      </c>
      <c r="H321" s="442"/>
      <c r="I321" s="371">
        <f t="shared" si="3"/>
        <v>975051</v>
      </c>
    </row>
    <row r="322" spans="1:9" ht="24.75" customHeight="1">
      <c r="A322" s="373" t="s">
        <v>790</v>
      </c>
      <c r="B322" s="275" t="s">
        <v>1159</v>
      </c>
      <c r="C322" s="275" t="s">
        <v>1063</v>
      </c>
      <c r="D322" s="275" t="s">
        <v>1063</v>
      </c>
      <c r="E322" s="289" t="s">
        <v>791</v>
      </c>
      <c r="F322" s="324"/>
      <c r="G322" s="282">
        <f>G323+G325+G327</f>
        <v>975051</v>
      </c>
      <c r="H322" s="442"/>
      <c r="I322" s="371">
        <f t="shared" si="3"/>
        <v>975051</v>
      </c>
    </row>
    <row r="323" spans="1:9" ht="13.5">
      <c r="A323" s="370" t="s">
        <v>792</v>
      </c>
      <c r="B323" s="275" t="s">
        <v>1159</v>
      </c>
      <c r="C323" s="275" t="s">
        <v>1063</v>
      </c>
      <c r="D323" s="275" t="s">
        <v>1063</v>
      </c>
      <c r="E323" s="289" t="s">
        <v>793</v>
      </c>
      <c r="F323" s="284"/>
      <c r="G323" s="282">
        <f>G324</f>
        <v>378378</v>
      </c>
      <c r="H323" s="442"/>
      <c r="I323" s="371">
        <f t="shared" si="3"/>
        <v>378378</v>
      </c>
    </row>
    <row r="324" spans="1:9" ht="13.5">
      <c r="A324" s="370" t="s">
        <v>550</v>
      </c>
      <c r="B324" s="275" t="s">
        <v>1159</v>
      </c>
      <c r="C324" s="275" t="s">
        <v>1063</v>
      </c>
      <c r="D324" s="275" t="s">
        <v>1063</v>
      </c>
      <c r="E324" s="289" t="s">
        <v>793</v>
      </c>
      <c r="F324" s="324" t="s">
        <v>551</v>
      </c>
      <c r="G324" s="282">
        <f>378378</f>
        <v>378378</v>
      </c>
      <c r="H324" s="442"/>
      <c r="I324" s="371">
        <f t="shared" si="3"/>
        <v>378378</v>
      </c>
    </row>
    <row r="325" spans="1:9" ht="18.75" customHeight="1">
      <c r="A325" s="477" t="s">
        <v>794</v>
      </c>
      <c r="B325" s="275" t="s">
        <v>1159</v>
      </c>
      <c r="C325" s="275" t="s">
        <v>1063</v>
      </c>
      <c r="D325" s="275" t="s">
        <v>1063</v>
      </c>
      <c r="E325" s="289" t="s">
        <v>795</v>
      </c>
      <c r="F325" s="284"/>
      <c r="G325" s="282">
        <f>G326</f>
        <v>582120</v>
      </c>
      <c r="H325" s="442"/>
      <c r="I325" s="371">
        <f>G325+H325</f>
        <v>582120</v>
      </c>
    </row>
    <row r="326" spans="1:9" ht="13.5">
      <c r="A326" s="370" t="s">
        <v>550</v>
      </c>
      <c r="B326" s="275" t="s">
        <v>1159</v>
      </c>
      <c r="C326" s="275" t="s">
        <v>1063</v>
      </c>
      <c r="D326" s="275" t="s">
        <v>1063</v>
      </c>
      <c r="E326" s="289" t="s">
        <v>795</v>
      </c>
      <c r="F326" s="324" t="s">
        <v>551</v>
      </c>
      <c r="G326" s="282">
        <f>618000-20412-15468</f>
        <v>582120</v>
      </c>
      <c r="H326" s="462"/>
      <c r="I326" s="371">
        <f>G326+H326</f>
        <v>582120</v>
      </c>
    </row>
    <row r="327" spans="1:9" ht="18.75" customHeight="1">
      <c r="A327" s="477" t="s">
        <v>798</v>
      </c>
      <c r="B327" s="275" t="s">
        <v>1159</v>
      </c>
      <c r="C327" s="275" t="s">
        <v>1063</v>
      </c>
      <c r="D327" s="275" t="s">
        <v>1063</v>
      </c>
      <c r="E327" s="289" t="s">
        <v>1207</v>
      </c>
      <c r="F327" s="284"/>
      <c r="G327" s="282">
        <f>G328</f>
        <v>14553</v>
      </c>
      <c r="H327" s="442"/>
      <c r="I327" s="371">
        <f>G327+H327</f>
        <v>14553</v>
      </c>
    </row>
    <row r="328" spans="1:9" ht="13.5">
      <c r="A328" s="370" t="s">
        <v>550</v>
      </c>
      <c r="B328" s="275" t="s">
        <v>1159</v>
      </c>
      <c r="C328" s="275" t="s">
        <v>1063</v>
      </c>
      <c r="D328" s="275" t="s">
        <v>1063</v>
      </c>
      <c r="E328" s="289" t="s">
        <v>1207</v>
      </c>
      <c r="F328" s="324" t="s">
        <v>551</v>
      </c>
      <c r="G328" s="282">
        <f>14553</f>
        <v>14553</v>
      </c>
      <c r="H328" s="462"/>
      <c r="I328" s="371">
        <f>G328+H328</f>
        <v>14553</v>
      </c>
    </row>
    <row r="329" spans="1:9" ht="13.5">
      <c r="A329" s="370" t="s">
        <v>1124</v>
      </c>
      <c r="B329" s="275" t="s">
        <v>1159</v>
      </c>
      <c r="C329" s="275" t="s">
        <v>1079</v>
      </c>
      <c r="D329" s="275"/>
      <c r="E329" s="289"/>
      <c r="F329" s="324"/>
      <c r="G329" s="282">
        <f>G330</f>
        <v>280884</v>
      </c>
      <c r="H329" s="442"/>
      <c r="I329" s="371">
        <f t="shared" si="3"/>
        <v>280884</v>
      </c>
    </row>
    <row r="330" spans="1:9" ht="13.5">
      <c r="A330" s="413" t="s">
        <v>1125</v>
      </c>
      <c r="B330" s="275" t="s">
        <v>1159</v>
      </c>
      <c r="C330" s="275" t="s">
        <v>1079</v>
      </c>
      <c r="D330" s="275" t="s">
        <v>1063</v>
      </c>
      <c r="E330" s="275"/>
      <c r="F330" s="284"/>
      <c r="G330" s="282">
        <f>G331</f>
        <v>280884</v>
      </c>
      <c r="H330" s="442"/>
      <c r="I330" s="371">
        <f t="shared" si="3"/>
        <v>280884</v>
      </c>
    </row>
    <row r="331" spans="1:9" ht="13.5">
      <c r="A331" s="370" t="s">
        <v>995</v>
      </c>
      <c r="B331" s="275" t="s">
        <v>1159</v>
      </c>
      <c r="C331" s="275" t="s">
        <v>1079</v>
      </c>
      <c r="D331" s="275" t="s">
        <v>1063</v>
      </c>
      <c r="E331" s="298" t="s">
        <v>996</v>
      </c>
      <c r="F331" s="303"/>
      <c r="G331" s="282">
        <f>G332</f>
        <v>280884</v>
      </c>
      <c r="H331" s="442"/>
      <c r="I331" s="371">
        <f t="shared" si="3"/>
        <v>280884</v>
      </c>
    </row>
    <row r="332" spans="1:9" ht="13.5">
      <c r="A332" s="370" t="s">
        <v>1001</v>
      </c>
      <c r="B332" s="275" t="s">
        <v>1159</v>
      </c>
      <c r="C332" s="275" t="s">
        <v>1079</v>
      </c>
      <c r="D332" s="275" t="s">
        <v>1063</v>
      </c>
      <c r="E332" s="275" t="s">
        <v>1002</v>
      </c>
      <c r="F332" s="284"/>
      <c r="G332" s="282">
        <f>G333+G335</f>
        <v>280884</v>
      </c>
      <c r="H332" s="442"/>
      <c r="I332" s="371">
        <f t="shared" si="3"/>
        <v>280884</v>
      </c>
    </row>
    <row r="333" spans="1:9" ht="26.25">
      <c r="A333" s="337" t="s">
        <v>1003</v>
      </c>
      <c r="B333" s="275" t="s">
        <v>1159</v>
      </c>
      <c r="C333" s="275" t="s">
        <v>1079</v>
      </c>
      <c r="D333" s="275" t="s">
        <v>1063</v>
      </c>
      <c r="E333" s="275" t="s">
        <v>1004</v>
      </c>
      <c r="F333" s="284"/>
      <c r="G333" s="282">
        <f>G334</f>
        <v>280884</v>
      </c>
      <c r="H333" s="442"/>
      <c r="I333" s="371">
        <f t="shared" si="3"/>
        <v>280884</v>
      </c>
    </row>
    <row r="334" spans="1:9" ht="26.25">
      <c r="A334" s="343" t="s">
        <v>516</v>
      </c>
      <c r="B334" s="275" t="s">
        <v>1159</v>
      </c>
      <c r="C334" s="275" t="s">
        <v>1079</v>
      </c>
      <c r="D334" s="275" t="s">
        <v>1063</v>
      </c>
      <c r="E334" s="275" t="s">
        <v>1004</v>
      </c>
      <c r="F334" s="303" t="s">
        <v>517</v>
      </c>
      <c r="G334" s="282">
        <f>5758+275126</f>
        <v>280884</v>
      </c>
      <c r="H334" s="462"/>
      <c r="I334" s="371">
        <f t="shared" si="3"/>
        <v>280884</v>
      </c>
    </row>
    <row r="335" spans="1:9" ht="46.5" customHeight="1" hidden="1">
      <c r="A335" s="373" t="s">
        <v>1126</v>
      </c>
      <c r="B335" s="275" t="s">
        <v>1159</v>
      </c>
      <c r="C335" s="275" t="s">
        <v>1079</v>
      </c>
      <c r="D335" s="275" t="s">
        <v>1063</v>
      </c>
      <c r="E335" s="275" t="s">
        <v>1006</v>
      </c>
      <c r="F335" s="284"/>
      <c r="G335" s="282">
        <f>G336</f>
        <v>0</v>
      </c>
      <c r="H335" s="442"/>
      <c r="I335" s="371">
        <f t="shared" si="3"/>
        <v>0</v>
      </c>
    </row>
    <row r="336" spans="1:9" ht="26.25" hidden="1">
      <c r="A336" s="343" t="s">
        <v>516</v>
      </c>
      <c r="B336" s="275" t="s">
        <v>1159</v>
      </c>
      <c r="C336" s="275" t="s">
        <v>1079</v>
      </c>
      <c r="D336" s="275" t="s">
        <v>1063</v>
      </c>
      <c r="E336" s="275" t="s">
        <v>1006</v>
      </c>
      <c r="F336" s="303" t="s">
        <v>523</v>
      </c>
      <c r="G336" s="282"/>
      <c r="H336" s="442"/>
      <c r="I336" s="371">
        <f t="shared" si="3"/>
        <v>0</v>
      </c>
    </row>
    <row r="337" spans="1:9" ht="17.25" customHeight="1">
      <c r="A337" s="370" t="s">
        <v>1127</v>
      </c>
      <c r="B337" s="275" t="s">
        <v>1159</v>
      </c>
      <c r="C337" s="275" t="s">
        <v>1128</v>
      </c>
      <c r="D337" s="275"/>
      <c r="E337" s="289"/>
      <c r="F337" s="324"/>
      <c r="G337" s="282">
        <f>G338+G344+G360</f>
        <v>11943142</v>
      </c>
      <c r="H337" s="442"/>
      <c r="I337" s="371">
        <f t="shared" si="3"/>
        <v>11943142</v>
      </c>
    </row>
    <row r="338" spans="1:9" ht="13.5">
      <c r="A338" s="370" t="s">
        <v>1129</v>
      </c>
      <c r="B338" s="275" t="s">
        <v>1159</v>
      </c>
      <c r="C338" s="275" t="s">
        <v>1128</v>
      </c>
      <c r="D338" s="275" t="s">
        <v>1047</v>
      </c>
      <c r="E338" s="275"/>
      <c r="F338" s="284"/>
      <c r="G338" s="282">
        <f>G339</f>
        <v>268900</v>
      </c>
      <c r="H338" s="442"/>
      <c r="I338" s="371">
        <f t="shared" si="3"/>
        <v>268900</v>
      </c>
    </row>
    <row r="339" spans="1:9" ht="34.5" customHeight="1">
      <c r="A339" s="370" t="s">
        <v>555</v>
      </c>
      <c r="B339" s="275" t="s">
        <v>1159</v>
      </c>
      <c r="C339" s="275" t="s">
        <v>1128</v>
      </c>
      <c r="D339" s="275" t="s">
        <v>1047</v>
      </c>
      <c r="E339" s="275" t="s">
        <v>556</v>
      </c>
      <c r="F339" s="284"/>
      <c r="G339" s="282">
        <f>G340</f>
        <v>268900</v>
      </c>
      <c r="H339" s="442"/>
      <c r="I339" s="371">
        <f t="shared" si="3"/>
        <v>268900</v>
      </c>
    </row>
    <row r="340" spans="1:9" ht="51.75" customHeight="1">
      <c r="A340" s="414" t="s">
        <v>1130</v>
      </c>
      <c r="B340" s="275" t="s">
        <v>1159</v>
      </c>
      <c r="C340" s="443" t="s">
        <v>1128</v>
      </c>
      <c r="D340" s="443" t="s">
        <v>1047</v>
      </c>
      <c r="E340" s="443" t="s">
        <v>558</v>
      </c>
      <c r="F340" s="448"/>
      <c r="G340" s="446">
        <f>G342</f>
        <v>268900</v>
      </c>
      <c r="H340" s="442"/>
      <c r="I340" s="371">
        <f t="shared" si="3"/>
        <v>268900</v>
      </c>
    </row>
    <row r="341" spans="1:9" ht="30.75" customHeight="1">
      <c r="A341" s="389" t="s">
        <v>575</v>
      </c>
      <c r="B341" s="275" t="s">
        <v>1159</v>
      </c>
      <c r="C341" s="275" t="s">
        <v>1128</v>
      </c>
      <c r="D341" s="275" t="s">
        <v>1047</v>
      </c>
      <c r="E341" s="275" t="s">
        <v>576</v>
      </c>
      <c r="F341" s="284"/>
      <c r="G341" s="282">
        <f>G342</f>
        <v>268900</v>
      </c>
      <c r="H341" s="442"/>
      <c r="I341" s="371">
        <f t="shared" si="3"/>
        <v>268900</v>
      </c>
    </row>
    <row r="342" spans="1:9" ht="21.75" customHeight="1">
      <c r="A342" s="414" t="s">
        <v>577</v>
      </c>
      <c r="B342" s="275" t="s">
        <v>1159</v>
      </c>
      <c r="C342" s="275" t="s">
        <v>1131</v>
      </c>
      <c r="D342" s="275" t="s">
        <v>1047</v>
      </c>
      <c r="E342" s="275" t="s">
        <v>1132</v>
      </c>
      <c r="F342" s="284"/>
      <c r="G342" s="282">
        <f>G343</f>
        <v>268900</v>
      </c>
      <c r="H342" s="442"/>
      <c r="I342" s="371">
        <f t="shared" si="3"/>
        <v>268900</v>
      </c>
    </row>
    <row r="343" spans="1:9" ht="13.5">
      <c r="A343" s="393" t="s">
        <v>550</v>
      </c>
      <c r="B343" s="275" t="s">
        <v>1159</v>
      </c>
      <c r="C343" s="275" t="s">
        <v>1131</v>
      </c>
      <c r="D343" s="275" t="s">
        <v>1047</v>
      </c>
      <c r="E343" s="275" t="s">
        <v>1132</v>
      </c>
      <c r="F343" s="284" t="s">
        <v>551</v>
      </c>
      <c r="G343" s="282">
        <f>148731+120169</f>
        <v>268900</v>
      </c>
      <c r="H343" s="462"/>
      <c r="I343" s="371">
        <f t="shared" si="3"/>
        <v>268900</v>
      </c>
    </row>
    <row r="344" spans="1:9" ht="17.25" customHeight="1">
      <c r="A344" s="370" t="s">
        <v>1133</v>
      </c>
      <c r="B344" s="275" t="s">
        <v>1159</v>
      </c>
      <c r="C344" s="275">
        <v>10</v>
      </c>
      <c r="D344" s="275" t="s">
        <v>1051</v>
      </c>
      <c r="E344" s="275"/>
      <c r="F344" s="284"/>
      <c r="G344" s="282">
        <f>G345</f>
        <v>10270164</v>
      </c>
      <c r="H344" s="442"/>
      <c r="I344" s="371">
        <f t="shared" si="3"/>
        <v>10270164</v>
      </c>
    </row>
    <row r="345" spans="1:9" ht="44.25" customHeight="1">
      <c r="A345" s="370" t="s">
        <v>555</v>
      </c>
      <c r="B345" s="275" t="s">
        <v>1159</v>
      </c>
      <c r="C345" s="275">
        <v>10</v>
      </c>
      <c r="D345" s="275" t="s">
        <v>1051</v>
      </c>
      <c r="E345" s="275" t="s">
        <v>556</v>
      </c>
      <c r="F345" s="284"/>
      <c r="G345" s="282">
        <f>G346</f>
        <v>10270164</v>
      </c>
      <c r="H345" s="442"/>
      <c r="I345" s="371">
        <f t="shared" si="3"/>
        <v>10270164</v>
      </c>
    </row>
    <row r="346" spans="1:9" ht="59.25" customHeight="1">
      <c r="A346" s="382" t="s">
        <v>557</v>
      </c>
      <c r="B346" s="275" t="s">
        <v>1159</v>
      </c>
      <c r="C346" s="443">
        <v>10</v>
      </c>
      <c r="D346" s="443" t="s">
        <v>1051</v>
      </c>
      <c r="E346" s="443" t="s">
        <v>558</v>
      </c>
      <c r="F346" s="448"/>
      <c r="G346" s="446">
        <f>G347</f>
        <v>10270164</v>
      </c>
      <c r="H346" s="442"/>
      <c r="I346" s="371">
        <f t="shared" si="3"/>
        <v>10270164</v>
      </c>
    </row>
    <row r="347" spans="1:9" ht="35.25" customHeight="1">
      <c r="A347" s="382" t="s">
        <v>559</v>
      </c>
      <c r="B347" s="275" t="s">
        <v>1159</v>
      </c>
      <c r="C347" s="275">
        <v>10</v>
      </c>
      <c r="D347" s="275" t="s">
        <v>1051</v>
      </c>
      <c r="E347" s="275" t="s">
        <v>560</v>
      </c>
      <c r="F347" s="284"/>
      <c r="G347" s="282">
        <f>G348+G351+G354+G357</f>
        <v>10270164</v>
      </c>
      <c r="H347" s="442"/>
      <c r="I347" s="371">
        <f t="shared" si="3"/>
        <v>10270164</v>
      </c>
    </row>
    <row r="348" spans="1:9" ht="26.25">
      <c r="A348" s="372" t="s">
        <v>563</v>
      </c>
      <c r="B348" s="275" t="s">
        <v>1159</v>
      </c>
      <c r="C348" s="275">
        <v>10</v>
      </c>
      <c r="D348" s="275" t="s">
        <v>1051</v>
      </c>
      <c r="E348" s="275" t="s">
        <v>564</v>
      </c>
      <c r="F348" s="284"/>
      <c r="G348" s="282">
        <f>G350+G349</f>
        <v>63415</v>
      </c>
      <c r="H348" s="442"/>
      <c r="I348" s="371">
        <f t="shared" si="3"/>
        <v>63415</v>
      </c>
    </row>
    <row r="349" spans="1:9" ht="15" customHeight="1">
      <c r="A349" s="343" t="s">
        <v>516</v>
      </c>
      <c r="B349" s="275" t="s">
        <v>1159</v>
      </c>
      <c r="C349" s="275">
        <v>10</v>
      </c>
      <c r="D349" s="275" t="s">
        <v>1051</v>
      </c>
      <c r="E349" s="275" t="s">
        <v>564</v>
      </c>
      <c r="F349" s="284" t="s">
        <v>517</v>
      </c>
      <c r="G349" s="282">
        <v>980</v>
      </c>
      <c r="H349" s="462"/>
      <c r="I349" s="371">
        <f t="shared" si="3"/>
        <v>980</v>
      </c>
    </row>
    <row r="350" spans="1:9" ht="17.25" customHeight="1">
      <c r="A350" s="415" t="s">
        <v>550</v>
      </c>
      <c r="B350" s="275" t="s">
        <v>1159</v>
      </c>
      <c r="C350" s="275">
        <v>10</v>
      </c>
      <c r="D350" s="275" t="s">
        <v>1051</v>
      </c>
      <c r="E350" s="275" t="s">
        <v>564</v>
      </c>
      <c r="F350" s="284" t="s">
        <v>551</v>
      </c>
      <c r="G350" s="282">
        <v>62435</v>
      </c>
      <c r="H350" s="462"/>
      <c r="I350" s="371">
        <f t="shared" si="3"/>
        <v>62435</v>
      </c>
    </row>
    <row r="351" spans="1:9" ht="34.5" customHeight="1">
      <c r="A351" s="372" t="s">
        <v>565</v>
      </c>
      <c r="B351" s="275" t="s">
        <v>1159</v>
      </c>
      <c r="C351" s="275">
        <v>10</v>
      </c>
      <c r="D351" s="275" t="s">
        <v>1051</v>
      </c>
      <c r="E351" s="275" t="s">
        <v>566</v>
      </c>
      <c r="F351" s="284"/>
      <c r="G351" s="282">
        <f>G353+G352</f>
        <v>261767</v>
      </c>
      <c r="H351" s="442"/>
      <c r="I351" s="371">
        <f t="shared" si="3"/>
        <v>261767</v>
      </c>
    </row>
    <row r="352" spans="1:9" ht="34.5" customHeight="1">
      <c r="A352" s="343" t="s">
        <v>516</v>
      </c>
      <c r="B352" s="275" t="s">
        <v>1159</v>
      </c>
      <c r="C352" s="275">
        <v>10</v>
      </c>
      <c r="D352" s="275" t="s">
        <v>1051</v>
      </c>
      <c r="E352" s="275" t="s">
        <v>566</v>
      </c>
      <c r="F352" s="284" t="s">
        <v>517</v>
      </c>
      <c r="G352" s="282">
        <v>5240</v>
      </c>
      <c r="H352" s="462"/>
      <c r="I352" s="371">
        <f t="shared" si="3"/>
        <v>5240</v>
      </c>
    </row>
    <row r="353" spans="1:9" ht="24.75" customHeight="1">
      <c r="A353" s="415" t="s">
        <v>550</v>
      </c>
      <c r="B353" s="275" t="s">
        <v>1159</v>
      </c>
      <c r="C353" s="275">
        <v>10</v>
      </c>
      <c r="D353" s="275" t="s">
        <v>1051</v>
      </c>
      <c r="E353" s="275" t="s">
        <v>566</v>
      </c>
      <c r="F353" s="284" t="s">
        <v>551</v>
      </c>
      <c r="G353" s="282">
        <f>290609-34082</f>
        <v>256527</v>
      </c>
      <c r="H353" s="462"/>
      <c r="I353" s="371">
        <f t="shared" si="3"/>
        <v>256527</v>
      </c>
    </row>
    <row r="354" spans="1:9" ht="18.75" customHeight="1">
      <c r="A354" s="370" t="s">
        <v>567</v>
      </c>
      <c r="B354" s="275" t="s">
        <v>1159</v>
      </c>
      <c r="C354" s="275">
        <v>10</v>
      </c>
      <c r="D354" s="275" t="s">
        <v>1051</v>
      </c>
      <c r="E354" s="275" t="s">
        <v>568</v>
      </c>
      <c r="F354" s="284"/>
      <c r="G354" s="282">
        <f>G356+G355</f>
        <v>8804982</v>
      </c>
      <c r="H354" s="442"/>
      <c r="I354" s="371">
        <f t="shared" si="3"/>
        <v>8804982</v>
      </c>
    </row>
    <row r="355" spans="1:9" ht="39.75" customHeight="1">
      <c r="A355" s="343" t="s">
        <v>516</v>
      </c>
      <c r="B355" s="275" t="s">
        <v>1159</v>
      </c>
      <c r="C355" s="275">
        <v>10</v>
      </c>
      <c r="D355" s="275" t="s">
        <v>1051</v>
      </c>
      <c r="E355" s="275" t="s">
        <v>568</v>
      </c>
      <c r="F355" s="284" t="s">
        <v>517</v>
      </c>
      <c r="G355" s="282">
        <v>148440</v>
      </c>
      <c r="H355" s="462"/>
      <c r="I355" s="371">
        <f t="shared" si="3"/>
        <v>148440</v>
      </c>
    </row>
    <row r="356" spans="1:9" ht="20.25" customHeight="1">
      <c r="A356" s="415" t="s">
        <v>550</v>
      </c>
      <c r="B356" s="275" t="s">
        <v>1159</v>
      </c>
      <c r="C356" s="275">
        <v>10</v>
      </c>
      <c r="D356" s="275" t="s">
        <v>1051</v>
      </c>
      <c r="E356" s="275" t="s">
        <v>568</v>
      </c>
      <c r="F356" s="284" t="s">
        <v>551</v>
      </c>
      <c r="G356" s="282">
        <f>8914137-257595</f>
        <v>8656542</v>
      </c>
      <c r="H356" s="462"/>
      <c r="I356" s="371">
        <f t="shared" si="3"/>
        <v>8656542</v>
      </c>
    </row>
    <row r="357" spans="1:9" s="255" customFormat="1" ht="13.5">
      <c r="A357" s="370" t="s">
        <v>569</v>
      </c>
      <c r="B357" s="275" t="s">
        <v>1159</v>
      </c>
      <c r="C357" s="275">
        <v>10</v>
      </c>
      <c r="D357" s="275" t="s">
        <v>1051</v>
      </c>
      <c r="E357" s="275" t="s">
        <v>570</v>
      </c>
      <c r="F357" s="284"/>
      <c r="G357" s="282">
        <f>G359+G358</f>
        <v>1140000</v>
      </c>
      <c r="H357" s="442"/>
      <c r="I357" s="371">
        <f t="shared" si="3"/>
        <v>1140000</v>
      </c>
    </row>
    <row r="358" spans="1:9" ht="26.25">
      <c r="A358" s="343" t="s">
        <v>516</v>
      </c>
      <c r="B358" s="275" t="s">
        <v>1159</v>
      </c>
      <c r="C358" s="275">
        <v>10</v>
      </c>
      <c r="D358" s="275" t="s">
        <v>1051</v>
      </c>
      <c r="E358" s="275" t="s">
        <v>570</v>
      </c>
      <c r="F358" s="284" t="s">
        <v>517</v>
      </c>
      <c r="G358" s="282">
        <f>24490-4290</f>
        <v>20200</v>
      </c>
      <c r="H358" s="462"/>
      <c r="I358" s="371">
        <f t="shared" si="3"/>
        <v>20200</v>
      </c>
    </row>
    <row r="359" spans="1:9" ht="13.5">
      <c r="A359" s="415" t="s">
        <v>550</v>
      </c>
      <c r="B359" s="275" t="s">
        <v>1159</v>
      </c>
      <c r="C359" s="275">
        <v>10</v>
      </c>
      <c r="D359" s="275" t="s">
        <v>1051</v>
      </c>
      <c r="E359" s="275" t="s">
        <v>570</v>
      </c>
      <c r="F359" s="284" t="s">
        <v>551</v>
      </c>
      <c r="G359" s="282">
        <f>1450810-331010</f>
        <v>1119800</v>
      </c>
      <c r="H359" s="462"/>
      <c r="I359" s="371">
        <f t="shared" si="3"/>
        <v>1119800</v>
      </c>
    </row>
    <row r="360" spans="1:9" ht="24" customHeight="1">
      <c r="A360" s="370" t="s">
        <v>1135</v>
      </c>
      <c r="B360" s="275" t="s">
        <v>1159</v>
      </c>
      <c r="C360" s="275">
        <v>10</v>
      </c>
      <c r="D360" s="275" t="s">
        <v>1054</v>
      </c>
      <c r="E360" s="275"/>
      <c r="F360" s="284"/>
      <c r="G360" s="282">
        <f>G361</f>
        <v>1404078</v>
      </c>
      <c r="H360" s="282">
        <f>H361</f>
        <v>0</v>
      </c>
      <c r="I360" s="371">
        <f t="shared" si="3"/>
        <v>1404078</v>
      </c>
    </row>
    <row r="361" spans="1:9" ht="44.25" customHeight="1">
      <c r="A361" s="370" t="s">
        <v>1163</v>
      </c>
      <c r="B361" s="275" t="s">
        <v>1159</v>
      </c>
      <c r="C361" s="275">
        <v>10</v>
      </c>
      <c r="D361" s="275" t="s">
        <v>1054</v>
      </c>
      <c r="E361" s="309" t="s">
        <v>556</v>
      </c>
      <c r="F361" s="284"/>
      <c r="G361" s="282">
        <f>G362</f>
        <v>1404078</v>
      </c>
      <c r="H361" s="282">
        <f>H362</f>
        <v>0</v>
      </c>
      <c r="I361" s="371">
        <f t="shared" si="3"/>
        <v>1404078</v>
      </c>
    </row>
    <row r="362" spans="1:9" ht="54.75" customHeight="1">
      <c r="A362" s="382" t="s">
        <v>557</v>
      </c>
      <c r="B362" s="275" t="s">
        <v>1159</v>
      </c>
      <c r="C362" s="275">
        <v>10</v>
      </c>
      <c r="D362" s="275" t="s">
        <v>1054</v>
      </c>
      <c r="E362" s="309" t="s">
        <v>558</v>
      </c>
      <c r="F362" s="284"/>
      <c r="G362" s="282">
        <f>G363</f>
        <v>1404078</v>
      </c>
      <c r="H362" s="282">
        <f>H364+H365</f>
        <v>0</v>
      </c>
      <c r="I362" s="371">
        <f t="shared" si="3"/>
        <v>1404078</v>
      </c>
    </row>
    <row r="363" spans="1:9" ht="30.75" customHeight="1">
      <c r="A363" s="382" t="s">
        <v>559</v>
      </c>
      <c r="B363" s="275" t="s">
        <v>1159</v>
      </c>
      <c r="C363" s="275">
        <v>10</v>
      </c>
      <c r="D363" s="275" t="s">
        <v>1051</v>
      </c>
      <c r="E363" s="275" t="s">
        <v>560</v>
      </c>
      <c r="F363" s="284"/>
      <c r="G363" s="282">
        <f>G364+G365</f>
        <v>1404078</v>
      </c>
      <c r="H363" s="478"/>
      <c r="I363" s="371">
        <f t="shared" si="3"/>
        <v>1404078</v>
      </c>
    </row>
    <row r="364" spans="1:9" ht="24" customHeight="1">
      <c r="A364" s="370" t="s">
        <v>561</v>
      </c>
      <c r="B364" s="275" t="s">
        <v>1159</v>
      </c>
      <c r="C364" s="275" t="s">
        <v>1128</v>
      </c>
      <c r="D364" s="275" t="s">
        <v>1054</v>
      </c>
      <c r="E364" s="275" t="s">
        <v>562</v>
      </c>
      <c r="F364" s="284" t="s">
        <v>517</v>
      </c>
      <c r="G364" s="282">
        <v>280</v>
      </c>
      <c r="H364" s="462"/>
      <c r="I364" s="371">
        <f t="shared" si="3"/>
        <v>280</v>
      </c>
    </row>
    <row r="365" spans="1:9" ht="26.25">
      <c r="A365" s="343" t="s">
        <v>516</v>
      </c>
      <c r="B365" s="275" t="s">
        <v>1159</v>
      </c>
      <c r="C365" s="275" t="s">
        <v>1128</v>
      </c>
      <c r="D365" s="275" t="s">
        <v>1054</v>
      </c>
      <c r="E365" s="275" t="s">
        <v>562</v>
      </c>
      <c r="F365" s="284" t="s">
        <v>551</v>
      </c>
      <c r="G365" s="282">
        <f>1556604-152806</f>
        <v>1403798</v>
      </c>
      <c r="H365" s="462"/>
      <c r="I365" s="371">
        <f t="shared" si="3"/>
        <v>1403798</v>
      </c>
    </row>
    <row r="366" spans="1:9" ht="13.5">
      <c r="A366" s="370" t="s">
        <v>1137</v>
      </c>
      <c r="B366" s="275" t="s">
        <v>1159</v>
      </c>
      <c r="C366" s="275" t="s">
        <v>1065</v>
      </c>
      <c r="D366" s="275"/>
      <c r="E366" s="275"/>
      <c r="F366" s="284"/>
      <c r="G366" s="282">
        <f>G367</f>
        <v>545440</v>
      </c>
      <c r="H366" s="442"/>
      <c r="I366" s="371">
        <f t="shared" si="3"/>
        <v>545440</v>
      </c>
    </row>
    <row r="367" spans="1:9" ht="13.5">
      <c r="A367" s="370" t="s">
        <v>1138</v>
      </c>
      <c r="B367" s="275" t="s">
        <v>1159</v>
      </c>
      <c r="C367" s="275" t="s">
        <v>1065</v>
      </c>
      <c r="D367" s="275" t="s">
        <v>1047</v>
      </c>
      <c r="E367" s="275"/>
      <c r="F367" s="284"/>
      <c r="G367" s="282">
        <f>G368</f>
        <v>545440</v>
      </c>
      <c r="H367" s="442"/>
      <c r="I367" s="371">
        <f t="shared" si="3"/>
        <v>545440</v>
      </c>
    </row>
    <row r="368" spans="1:9" ht="54.75" customHeight="1">
      <c r="A368" s="373" t="s">
        <v>771</v>
      </c>
      <c r="B368" s="275" t="s">
        <v>1159</v>
      </c>
      <c r="C368" s="275" t="s">
        <v>1065</v>
      </c>
      <c r="D368" s="275" t="s">
        <v>1047</v>
      </c>
      <c r="E368" s="289" t="s">
        <v>772</v>
      </c>
      <c r="F368" s="284"/>
      <c r="G368" s="282">
        <f>G369</f>
        <v>545440</v>
      </c>
      <c r="H368" s="442"/>
      <c r="I368" s="371">
        <f t="shared" si="3"/>
        <v>545440</v>
      </c>
    </row>
    <row r="369" spans="1:9" ht="75" customHeight="1">
      <c r="A369" s="386" t="s">
        <v>779</v>
      </c>
      <c r="B369" s="275" t="s">
        <v>1159</v>
      </c>
      <c r="C369" s="443" t="s">
        <v>1065</v>
      </c>
      <c r="D369" s="443" t="s">
        <v>1047</v>
      </c>
      <c r="E369" s="453" t="s">
        <v>780</v>
      </c>
      <c r="F369" s="448"/>
      <c r="G369" s="446">
        <f>G370+G374</f>
        <v>545440</v>
      </c>
      <c r="H369" s="442"/>
      <c r="I369" s="371">
        <f t="shared" si="3"/>
        <v>545440</v>
      </c>
    </row>
    <row r="370" spans="1:9" ht="44.25" customHeight="1">
      <c r="A370" s="386" t="s">
        <v>781</v>
      </c>
      <c r="B370" s="275" t="s">
        <v>1159</v>
      </c>
      <c r="C370" s="275" t="s">
        <v>1065</v>
      </c>
      <c r="D370" s="275" t="s">
        <v>1047</v>
      </c>
      <c r="E370" s="289" t="s">
        <v>782</v>
      </c>
      <c r="F370" s="284"/>
      <c r="G370" s="282">
        <f>G371</f>
        <v>150000</v>
      </c>
      <c r="H370" s="442"/>
      <c r="I370" s="371">
        <f t="shared" si="3"/>
        <v>150000</v>
      </c>
    </row>
    <row r="371" spans="1:9" ht="39.75" customHeight="1">
      <c r="A371" s="370" t="s">
        <v>783</v>
      </c>
      <c r="B371" s="275" t="s">
        <v>1159</v>
      </c>
      <c r="C371" s="275" t="s">
        <v>1065</v>
      </c>
      <c r="D371" s="275" t="s">
        <v>1047</v>
      </c>
      <c r="E371" s="289" t="s">
        <v>784</v>
      </c>
      <c r="F371" s="284"/>
      <c r="G371" s="282">
        <f>G373+G372</f>
        <v>150000</v>
      </c>
      <c r="H371" s="442"/>
      <c r="I371" s="371">
        <f t="shared" si="3"/>
        <v>150000</v>
      </c>
    </row>
    <row r="372" spans="1:9" ht="43.5" customHeight="1" hidden="1">
      <c r="A372" s="343" t="s">
        <v>522</v>
      </c>
      <c r="B372" s="275" t="s">
        <v>1159</v>
      </c>
      <c r="C372" s="275" t="s">
        <v>1065</v>
      </c>
      <c r="D372" s="275" t="s">
        <v>1047</v>
      </c>
      <c r="E372" s="289" t="s">
        <v>784</v>
      </c>
      <c r="F372" s="284" t="s">
        <v>523</v>
      </c>
      <c r="G372" s="282">
        <f>3195-3195</f>
        <v>0</v>
      </c>
      <c r="H372" s="462"/>
      <c r="I372" s="371">
        <f t="shared" si="3"/>
        <v>0</v>
      </c>
    </row>
    <row r="373" spans="1:9" ht="26.25">
      <c r="A373" s="343" t="s">
        <v>516</v>
      </c>
      <c r="B373" s="275" t="s">
        <v>1159</v>
      </c>
      <c r="C373" s="275" t="s">
        <v>1065</v>
      </c>
      <c r="D373" s="275" t="s">
        <v>1047</v>
      </c>
      <c r="E373" s="289" t="s">
        <v>784</v>
      </c>
      <c r="F373" s="284" t="s">
        <v>517</v>
      </c>
      <c r="G373" s="282">
        <f>100000+50000</f>
        <v>150000</v>
      </c>
      <c r="H373" s="462"/>
      <c r="I373" s="371">
        <f t="shared" si="3"/>
        <v>150000</v>
      </c>
    </row>
    <row r="374" spans="1:9" ht="26.25">
      <c r="A374" s="479" t="s">
        <v>1208</v>
      </c>
      <c r="B374" s="275" t="s">
        <v>1159</v>
      </c>
      <c r="C374" s="275" t="s">
        <v>1065</v>
      </c>
      <c r="D374" s="275" t="s">
        <v>1047</v>
      </c>
      <c r="E374" s="289" t="s">
        <v>1209</v>
      </c>
      <c r="F374" s="284"/>
      <c r="G374" s="282">
        <f>G375</f>
        <v>395440</v>
      </c>
      <c r="H374" s="442"/>
      <c r="I374" s="371">
        <f t="shared" si="3"/>
        <v>395440</v>
      </c>
    </row>
    <row r="375" spans="1:9" ht="26.25">
      <c r="A375" s="370" t="s">
        <v>520</v>
      </c>
      <c r="B375" s="443" t="s">
        <v>1159</v>
      </c>
      <c r="C375" s="275" t="s">
        <v>1065</v>
      </c>
      <c r="D375" s="275" t="s">
        <v>1047</v>
      </c>
      <c r="E375" s="289" t="s">
        <v>1210</v>
      </c>
      <c r="F375" s="284"/>
      <c r="G375" s="282">
        <f>G377+G376+G378</f>
        <v>395440</v>
      </c>
      <c r="H375" s="442"/>
      <c r="I375" s="371">
        <f t="shared" si="3"/>
        <v>395440</v>
      </c>
    </row>
    <row r="376" spans="1:9" ht="39">
      <c r="A376" s="343" t="s">
        <v>522</v>
      </c>
      <c r="B376" s="275" t="s">
        <v>1159</v>
      </c>
      <c r="C376" s="275" t="s">
        <v>1065</v>
      </c>
      <c r="D376" s="275" t="s">
        <v>1047</v>
      </c>
      <c r="E376" s="289" t="s">
        <v>1210</v>
      </c>
      <c r="F376" s="284" t="s">
        <v>523</v>
      </c>
      <c r="G376" s="371">
        <f>92350+27890</f>
        <v>120240</v>
      </c>
      <c r="H376" s="442"/>
      <c r="I376" s="371">
        <f t="shared" si="3"/>
        <v>120240</v>
      </c>
    </row>
    <row r="377" spans="1:9" ht="26.25">
      <c r="A377" s="343" t="s">
        <v>516</v>
      </c>
      <c r="B377" s="275" t="s">
        <v>1159</v>
      </c>
      <c r="C377" s="275" t="s">
        <v>1065</v>
      </c>
      <c r="D377" s="275" t="s">
        <v>1047</v>
      </c>
      <c r="E377" s="289" t="s">
        <v>1210</v>
      </c>
      <c r="F377" s="284" t="s">
        <v>517</v>
      </c>
      <c r="G377" s="371">
        <f>115000+160200</f>
        <v>275200</v>
      </c>
      <c r="H377" s="442"/>
      <c r="I377" s="371">
        <f t="shared" si="3"/>
        <v>275200</v>
      </c>
    </row>
    <row r="378" spans="1:9" ht="13.5">
      <c r="A378" s="393" t="s">
        <v>524</v>
      </c>
      <c r="B378" s="275" t="s">
        <v>1159</v>
      </c>
      <c r="C378" s="275" t="s">
        <v>1065</v>
      </c>
      <c r="D378" s="275" t="s">
        <v>1047</v>
      </c>
      <c r="E378" s="289" t="s">
        <v>1210</v>
      </c>
      <c r="F378" s="284" t="s">
        <v>525</v>
      </c>
      <c r="G378" s="282"/>
      <c r="H378" s="442"/>
      <c r="I378" s="371">
        <f t="shared" si="3"/>
        <v>0</v>
      </c>
    </row>
    <row r="379" spans="1:9" ht="20.25" customHeight="1">
      <c r="A379" s="370" t="s">
        <v>1140</v>
      </c>
      <c r="B379" s="275" t="s">
        <v>1159</v>
      </c>
      <c r="C379" s="275" t="s">
        <v>1067</v>
      </c>
      <c r="D379" s="275"/>
      <c r="E379" s="275"/>
      <c r="F379" s="284"/>
      <c r="G379" s="282">
        <f>G380</f>
        <v>9602.76</v>
      </c>
      <c r="H379" s="442"/>
      <c r="I379" s="371">
        <f t="shared" si="3"/>
        <v>9602.76</v>
      </c>
    </row>
    <row r="380" spans="1:9" ht="24" customHeight="1">
      <c r="A380" s="370" t="s">
        <v>1141</v>
      </c>
      <c r="B380" s="275" t="s">
        <v>1159</v>
      </c>
      <c r="C380" s="275" t="s">
        <v>1067</v>
      </c>
      <c r="D380" s="275" t="s">
        <v>1047</v>
      </c>
      <c r="E380" s="275"/>
      <c r="F380" s="284"/>
      <c r="G380" s="282">
        <f>G381</f>
        <v>9602.76</v>
      </c>
      <c r="H380" s="442"/>
      <c r="I380" s="371">
        <f t="shared" si="3"/>
        <v>9602.76</v>
      </c>
    </row>
    <row r="381" spans="1:9" s="308" customFormat="1" ht="42" customHeight="1">
      <c r="A381" s="376" t="s">
        <v>887</v>
      </c>
      <c r="B381" s="275" t="s">
        <v>1159</v>
      </c>
      <c r="C381" s="275" t="s">
        <v>1067</v>
      </c>
      <c r="D381" s="275" t="s">
        <v>1047</v>
      </c>
      <c r="E381" s="298" t="s">
        <v>888</v>
      </c>
      <c r="F381" s="284"/>
      <c r="G381" s="282">
        <f>G382</f>
        <v>9602.76</v>
      </c>
      <c r="H381" s="449"/>
      <c r="I381" s="371">
        <f t="shared" si="3"/>
        <v>9602.76</v>
      </c>
    </row>
    <row r="382" spans="1:9" s="308" customFormat="1" ht="62.25" customHeight="1">
      <c r="A382" s="367" t="s">
        <v>889</v>
      </c>
      <c r="B382" s="275" t="s">
        <v>1159</v>
      </c>
      <c r="C382" s="443" t="s">
        <v>1067</v>
      </c>
      <c r="D382" s="443" t="s">
        <v>1047</v>
      </c>
      <c r="E382" s="298" t="s">
        <v>890</v>
      </c>
      <c r="F382" s="448"/>
      <c r="G382" s="446">
        <f>G384</f>
        <v>9602.76</v>
      </c>
      <c r="H382" s="449"/>
      <c r="I382" s="371">
        <f t="shared" si="3"/>
        <v>9602.76</v>
      </c>
    </row>
    <row r="383" spans="1:9" ht="48" customHeight="1">
      <c r="A383" s="367" t="s">
        <v>891</v>
      </c>
      <c r="B383" s="275" t="s">
        <v>1159</v>
      </c>
      <c r="C383" s="275" t="s">
        <v>1067</v>
      </c>
      <c r="D383" s="275" t="s">
        <v>1047</v>
      </c>
      <c r="E383" s="298" t="s">
        <v>892</v>
      </c>
      <c r="F383" s="448"/>
      <c r="G383" s="446">
        <f>G384</f>
        <v>9602.76</v>
      </c>
      <c r="H383" s="442"/>
      <c r="I383" s="371">
        <f t="shared" si="3"/>
        <v>9602.76</v>
      </c>
    </row>
    <row r="384" spans="1:9" ht="20.25" customHeight="1">
      <c r="A384" s="370" t="s">
        <v>893</v>
      </c>
      <c r="B384" s="275" t="s">
        <v>1159</v>
      </c>
      <c r="C384" s="275" t="s">
        <v>1067</v>
      </c>
      <c r="D384" s="275" t="s">
        <v>1047</v>
      </c>
      <c r="E384" s="298" t="s">
        <v>894</v>
      </c>
      <c r="F384" s="284"/>
      <c r="G384" s="282">
        <f>G385</f>
        <v>9602.76</v>
      </c>
      <c r="H384" s="442"/>
      <c r="I384" s="371">
        <f t="shared" si="3"/>
        <v>9602.76</v>
      </c>
    </row>
    <row r="385" spans="1:9" ht="26.25" customHeight="1">
      <c r="A385" s="367" t="s">
        <v>895</v>
      </c>
      <c r="B385" s="275" t="s">
        <v>1159</v>
      </c>
      <c r="C385" s="275" t="s">
        <v>1067</v>
      </c>
      <c r="D385" s="275" t="s">
        <v>1047</v>
      </c>
      <c r="E385" s="298" t="s">
        <v>894</v>
      </c>
      <c r="F385" s="284" t="s">
        <v>896</v>
      </c>
      <c r="G385" s="282">
        <v>9602.76</v>
      </c>
      <c r="H385" s="442"/>
      <c r="I385" s="371">
        <f t="shared" si="3"/>
        <v>9602.76</v>
      </c>
    </row>
    <row r="386" spans="1:9" ht="32.25" customHeight="1">
      <c r="A386" s="370" t="s">
        <v>1143</v>
      </c>
      <c r="B386" s="443" t="s">
        <v>1159</v>
      </c>
      <c r="C386" s="275" t="s">
        <v>1144</v>
      </c>
      <c r="D386" s="275"/>
      <c r="E386" s="275"/>
      <c r="F386" s="284"/>
      <c r="G386" s="282">
        <f aca="true" t="shared" si="4" ref="G386:G391">G387</f>
        <v>7768331</v>
      </c>
      <c r="H386" s="442"/>
      <c r="I386" s="371">
        <f t="shared" si="3"/>
        <v>7768331</v>
      </c>
    </row>
    <row r="387" spans="1:9" ht="41.25" customHeight="1">
      <c r="A387" s="370" t="s">
        <v>1145</v>
      </c>
      <c r="B387" s="275" t="s">
        <v>1159</v>
      </c>
      <c r="C387" s="275" t="s">
        <v>1144</v>
      </c>
      <c r="D387" s="275" t="s">
        <v>1047</v>
      </c>
      <c r="E387" s="275"/>
      <c r="F387" s="284"/>
      <c r="G387" s="282">
        <f t="shared" si="4"/>
        <v>7768331</v>
      </c>
      <c r="H387" s="442"/>
      <c r="I387" s="371">
        <f aca="true" t="shared" si="5" ref="I387:I461">G387+H387</f>
        <v>7768331</v>
      </c>
    </row>
    <row r="388" spans="1:9" ht="48.75" customHeight="1">
      <c r="A388" s="376" t="s">
        <v>887</v>
      </c>
      <c r="B388" s="275" t="s">
        <v>1159</v>
      </c>
      <c r="C388" s="275" t="s">
        <v>1144</v>
      </c>
      <c r="D388" s="275" t="s">
        <v>1047</v>
      </c>
      <c r="E388" s="275" t="s">
        <v>888</v>
      </c>
      <c r="F388" s="284"/>
      <c r="G388" s="282">
        <f t="shared" si="4"/>
        <v>7768331</v>
      </c>
      <c r="H388" s="442"/>
      <c r="I388" s="371">
        <f t="shared" si="5"/>
        <v>7768331</v>
      </c>
    </row>
    <row r="389" spans="1:9" ht="65.25" customHeight="1">
      <c r="A389" s="367" t="s">
        <v>897</v>
      </c>
      <c r="B389" s="275" t="s">
        <v>1159</v>
      </c>
      <c r="C389" s="443" t="s">
        <v>1144</v>
      </c>
      <c r="D389" s="443" t="s">
        <v>1047</v>
      </c>
      <c r="E389" s="443" t="s">
        <v>898</v>
      </c>
      <c r="F389" s="448"/>
      <c r="G389" s="446">
        <f t="shared" si="4"/>
        <v>7768331</v>
      </c>
      <c r="H389" s="442"/>
      <c r="I389" s="371">
        <f t="shared" si="5"/>
        <v>7768331</v>
      </c>
    </row>
    <row r="390" spans="1:9" ht="33.75" customHeight="1">
      <c r="A390" s="376" t="s">
        <v>899</v>
      </c>
      <c r="B390" s="275" t="s">
        <v>1159</v>
      </c>
      <c r="C390" s="275" t="s">
        <v>1144</v>
      </c>
      <c r="D390" s="275" t="s">
        <v>1047</v>
      </c>
      <c r="E390" s="275" t="s">
        <v>900</v>
      </c>
      <c r="F390" s="284"/>
      <c r="G390" s="282">
        <f t="shared" si="4"/>
        <v>7768331</v>
      </c>
      <c r="H390" s="442"/>
      <c r="I390" s="371">
        <f t="shared" si="5"/>
        <v>7768331</v>
      </c>
    </row>
    <row r="391" spans="1:9" ht="39">
      <c r="A391" s="375" t="s">
        <v>901</v>
      </c>
      <c r="B391" s="275" t="s">
        <v>1159</v>
      </c>
      <c r="C391" s="275" t="s">
        <v>1144</v>
      </c>
      <c r="D391" s="275" t="s">
        <v>1047</v>
      </c>
      <c r="E391" s="275" t="s">
        <v>902</v>
      </c>
      <c r="F391" s="284"/>
      <c r="G391" s="282">
        <f t="shared" si="4"/>
        <v>7768331</v>
      </c>
      <c r="H391" s="442"/>
      <c r="I391" s="371">
        <f t="shared" si="5"/>
        <v>7768331</v>
      </c>
    </row>
    <row r="392" spans="1:9" ht="13.5">
      <c r="A392" s="401" t="s">
        <v>713</v>
      </c>
      <c r="B392" s="275" t="s">
        <v>1159</v>
      </c>
      <c r="C392" s="275" t="s">
        <v>1144</v>
      </c>
      <c r="D392" s="275" t="s">
        <v>1047</v>
      </c>
      <c r="E392" s="275" t="s">
        <v>902</v>
      </c>
      <c r="F392" s="303" t="s">
        <v>714</v>
      </c>
      <c r="G392" s="282">
        <v>7768331</v>
      </c>
      <c r="H392" s="462"/>
      <c r="I392" s="371">
        <f t="shared" si="5"/>
        <v>7768331</v>
      </c>
    </row>
    <row r="393" spans="1:9" ht="31.5" customHeight="1">
      <c r="A393" s="467" t="s">
        <v>1164</v>
      </c>
      <c r="B393" s="275" t="s">
        <v>1165</v>
      </c>
      <c r="C393" s="275"/>
      <c r="D393" s="275"/>
      <c r="E393" s="289"/>
      <c r="F393" s="324"/>
      <c r="G393" s="480">
        <f>G394+G401+G529</f>
        <v>417445397.4</v>
      </c>
      <c r="H393" s="462">
        <f>H394+H401+H529</f>
        <v>15615340.14</v>
      </c>
      <c r="I393" s="371">
        <f t="shared" si="5"/>
        <v>433060737.53999996</v>
      </c>
    </row>
    <row r="394" spans="1:9" ht="13.5" hidden="1">
      <c r="A394" s="370" t="s">
        <v>1080</v>
      </c>
      <c r="B394" s="275" t="s">
        <v>1165</v>
      </c>
      <c r="C394" s="275" t="s">
        <v>1054</v>
      </c>
      <c r="D394" s="275"/>
      <c r="E394" s="275"/>
      <c r="F394" s="284"/>
      <c r="G394" s="282">
        <f>G395</f>
        <v>0</v>
      </c>
      <c r="H394" s="442">
        <f>H395</f>
        <v>0</v>
      </c>
      <c r="I394" s="371">
        <f t="shared" si="5"/>
        <v>0</v>
      </c>
    </row>
    <row r="395" spans="1:9" ht="13.5" hidden="1">
      <c r="A395" s="370" t="s">
        <v>1084</v>
      </c>
      <c r="B395" s="275" t="s">
        <v>1165</v>
      </c>
      <c r="C395" s="275" t="s">
        <v>1054</v>
      </c>
      <c r="D395" s="275" t="s">
        <v>1085</v>
      </c>
      <c r="E395" s="275"/>
      <c r="F395" s="284"/>
      <c r="G395" s="282">
        <f>G396</f>
        <v>0</v>
      </c>
      <c r="H395" s="442">
        <f>H396</f>
        <v>0</v>
      </c>
      <c r="I395" s="371">
        <f t="shared" si="5"/>
        <v>0</v>
      </c>
    </row>
    <row r="396" spans="1:9" ht="39.75" hidden="1">
      <c r="A396" s="399" t="s">
        <v>1166</v>
      </c>
      <c r="B396" s="275" t="s">
        <v>1165</v>
      </c>
      <c r="C396" s="275" t="s">
        <v>1054</v>
      </c>
      <c r="D396" s="275" t="s">
        <v>1085</v>
      </c>
      <c r="E396" s="400" t="s">
        <v>698</v>
      </c>
      <c r="F396" s="284"/>
      <c r="G396" s="282">
        <f>G397</f>
        <v>0</v>
      </c>
      <c r="H396" s="442"/>
      <c r="I396" s="371">
        <f t="shared" si="5"/>
        <v>0</v>
      </c>
    </row>
    <row r="397" spans="1:9" ht="72" customHeight="1" hidden="1">
      <c r="A397" s="386" t="s">
        <v>1167</v>
      </c>
      <c r="B397" s="275" t="s">
        <v>1165</v>
      </c>
      <c r="C397" s="275" t="s">
        <v>1054</v>
      </c>
      <c r="D397" s="275" t="s">
        <v>1085</v>
      </c>
      <c r="E397" s="400" t="s">
        <v>700</v>
      </c>
      <c r="F397" s="284"/>
      <c r="G397" s="282">
        <f>G398</f>
        <v>0</v>
      </c>
      <c r="H397" s="442"/>
      <c r="I397" s="371">
        <f t="shared" si="5"/>
        <v>0</v>
      </c>
    </row>
    <row r="398" spans="1:9" ht="30.75" customHeight="1" hidden="1">
      <c r="A398" s="373" t="s">
        <v>701</v>
      </c>
      <c r="B398" s="275" t="s">
        <v>1165</v>
      </c>
      <c r="C398" s="275" t="s">
        <v>1054</v>
      </c>
      <c r="D398" s="275" t="s">
        <v>1085</v>
      </c>
      <c r="E398" s="400" t="s">
        <v>702</v>
      </c>
      <c r="F398" s="284"/>
      <c r="G398" s="282">
        <f>G399</f>
        <v>0</v>
      </c>
      <c r="H398" s="442"/>
      <c r="I398" s="371">
        <f>I399</f>
        <v>0</v>
      </c>
    </row>
    <row r="399" spans="1:9" ht="19.5" customHeight="1" hidden="1">
      <c r="A399" s="367" t="s">
        <v>703</v>
      </c>
      <c r="B399" s="275" t="s">
        <v>1165</v>
      </c>
      <c r="C399" s="275" t="s">
        <v>1054</v>
      </c>
      <c r="D399" s="275" t="s">
        <v>1085</v>
      </c>
      <c r="E399" s="400" t="s">
        <v>704</v>
      </c>
      <c r="F399" s="284"/>
      <c r="G399" s="282">
        <f>G400</f>
        <v>0</v>
      </c>
      <c r="H399" s="442"/>
      <c r="I399" s="371">
        <f t="shared" si="5"/>
        <v>0</v>
      </c>
    </row>
    <row r="400" spans="1:9" ht="15" hidden="1">
      <c r="A400" s="473" t="s">
        <v>516</v>
      </c>
      <c r="B400" s="275" t="s">
        <v>1165</v>
      </c>
      <c r="C400" s="275" t="s">
        <v>1054</v>
      </c>
      <c r="D400" s="275" t="s">
        <v>1085</v>
      </c>
      <c r="E400" s="400" t="s">
        <v>704</v>
      </c>
      <c r="F400" s="284" t="s">
        <v>517</v>
      </c>
      <c r="G400" s="282"/>
      <c r="H400" s="442"/>
      <c r="I400" s="371">
        <f t="shared" si="5"/>
        <v>0</v>
      </c>
    </row>
    <row r="401" spans="1:9" ht="16.5" customHeight="1">
      <c r="A401" s="370" t="s">
        <v>1101</v>
      </c>
      <c r="B401" s="275" t="s">
        <v>1165</v>
      </c>
      <c r="C401" s="275" t="s">
        <v>1063</v>
      </c>
      <c r="D401" s="275"/>
      <c r="E401" s="289"/>
      <c r="F401" s="324"/>
      <c r="G401" s="282">
        <f>G402+G427+G487+G496+G512</f>
        <v>386944412.4</v>
      </c>
      <c r="H401" s="282">
        <f>H402+H427+H487+H496+H512</f>
        <v>15615340.14</v>
      </c>
      <c r="I401" s="371">
        <f t="shared" si="5"/>
        <v>402559752.53999996</v>
      </c>
    </row>
    <row r="402" spans="1:9" ht="18" customHeight="1">
      <c r="A402" s="370" t="s">
        <v>1102</v>
      </c>
      <c r="B402" s="275" t="s">
        <v>1165</v>
      </c>
      <c r="C402" s="275" t="s">
        <v>1063</v>
      </c>
      <c r="D402" s="275" t="s">
        <v>1047</v>
      </c>
      <c r="E402" s="289"/>
      <c r="F402" s="324"/>
      <c r="G402" s="282">
        <f>G403+G420</f>
        <v>89901553</v>
      </c>
      <c r="H402" s="282">
        <f>H403+H420</f>
        <v>6876615.81</v>
      </c>
      <c r="I402" s="371">
        <f t="shared" si="5"/>
        <v>96778168.81</v>
      </c>
    </row>
    <row r="403" spans="1:9" ht="29.25" customHeight="1">
      <c r="A403" s="370" t="s">
        <v>611</v>
      </c>
      <c r="B403" s="275" t="s">
        <v>1165</v>
      </c>
      <c r="C403" s="275" t="s">
        <v>1063</v>
      </c>
      <c r="D403" s="275" t="s">
        <v>1047</v>
      </c>
      <c r="E403" s="275" t="s">
        <v>612</v>
      </c>
      <c r="F403" s="284"/>
      <c r="G403" s="282">
        <f>G404</f>
        <v>87715753</v>
      </c>
      <c r="H403" s="442">
        <f>H404</f>
        <v>6876615.81</v>
      </c>
      <c r="I403" s="371">
        <f t="shared" si="5"/>
        <v>94592368.81</v>
      </c>
    </row>
    <row r="404" spans="1:9" ht="41.25" customHeight="1">
      <c r="A404" s="406" t="s">
        <v>613</v>
      </c>
      <c r="B404" s="275" t="s">
        <v>1165</v>
      </c>
      <c r="C404" s="443" t="s">
        <v>1063</v>
      </c>
      <c r="D404" s="443" t="s">
        <v>1047</v>
      </c>
      <c r="E404" s="443" t="s">
        <v>614</v>
      </c>
      <c r="F404" s="448"/>
      <c r="G404" s="446">
        <f>G405</f>
        <v>87715753</v>
      </c>
      <c r="H404" s="446">
        <f>H405</f>
        <v>6876615.81</v>
      </c>
      <c r="I404" s="371">
        <f t="shared" si="5"/>
        <v>94592368.81</v>
      </c>
    </row>
    <row r="405" spans="1:9" ht="27.75" customHeight="1">
      <c r="A405" s="373" t="s">
        <v>615</v>
      </c>
      <c r="B405" s="275" t="s">
        <v>1165</v>
      </c>
      <c r="C405" s="275" t="s">
        <v>1063</v>
      </c>
      <c r="D405" s="275" t="s">
        <v>1047</v>
      </c>
      <c r="E405" s="275" t="s">
        <v>616</v>
      </c>
      <c r="F405" s="284"/>
      <c r="G405" s="282">
        <f>G406+G413+G415+G411+G409</f>
        <v>87715753</v>
      </c>
      <c r="H405" s="442">
        <f>H406+H415</f>
        <v>6876615.81</v>
      </c>
      <c r="I405" s="371">
        <f t="shared" si="5"/>
        <v>94592368.81</v>
      </c>
    </row>
    <row r="406" spans="1:9" ht="67.5" customHeight="1">
      <c r="A406" s="375" t="s">
        <v>623</v>
      </c>
      <c r="B406" s="275" t="s">
        <v>1165</v>
      </c>
      <c r="C406" s="275" t="s">
        <v>1063</v>
      </c>
      <c r="D406" s="275" t="s">
        <v>1047</v>
      </c>
      <c r="E406" s="275" t="s">
        <v>624</v>
      </c>
      <c r="F406" s="284"/>
      <c r="G406" s="282">
        <f>G407+G408</f>
        <v>48715678</v>
      </c>
      <c r="H406" s="442"/>
      <c r="I406" s="371">
        <f t="shared" si="5"/>
        <v>48715678</v>
      </c>
    </row>
    <row r="407" spans="1:9" ht="45" customHeight="1">
      <c r="A407" s="407" t="s">
        <v>522</v>
      </c>
      <c r="B407" s="275" t="s">
        <v>1165</v>
      </c>
      <c r="C407" s="275" t="s">
        <v>1063</v>
      </c>
      <c r="D407" s="275" t="s">
        <v>1047</v>
      </c>
      <c r="E407" s="275" t="s">
        <v>624</v>
      </c>
      <c r="F407" s="284" t="s">
        <v>523</v>
      </c>
      <c r="G407" s="282">
        <f>45470627+2735549</f>
        <v>48206176</v>
      </c>
      <c r="H407" s="462"/>
      <c r="I407" s="371">
        <f t="shared" si="5"/>
        <v>48206176</v>
      </c>
    </row>
    <row r="408" spans="1:9" ht="24" customHeight="1">
      <c r="A408" s="343" t="s">
        <v>516</v>
      </c>
      <c r="B408" s="275" t="s">
        <v>1165</v>
      </c>
      <c r="C408" s="275" t="s">
        <v>1063</v>
      </c>
      <c r="D408" s="275" t="s">
        <v>1047</v>
      </c>
      <c r="E408" s="275" t="s">
        <v>624</v>
      </c>
      <c r="F408" s="284" t="s">
        <v>517</v>
      </c>
      <c r="G408" s="282">
        <v>509502</v>
      </c>
      <c r="H408" s="462"/>
      <c r="I408" s="371">
        <f t="shared" si="5"/>
        <v>509502</v>
      </c>
    </row>
    <row r="409" spans="1:9" ht="0.75" customHeight="1" hidden="1">
      <c r="A409" s="375" t="s">
        <v>625</v>
      </c>
      <c r="B409" s="275" t="s">
        <v>1165</v>
      </c>
      <c r="C409" s="275" t="s">
        <v>1063</v>
      </c>
      <c r="D409" s="275" t="s">
        <v>1047</v>
      </c>
      <c r="E409" s="275" t="s">
        <v>626</v>
      </c>
      <c r="F409" s="284"/>
      <c r="G409" s="282">
        <f>G410</f>
        <v>0</v>
      </c>
      <c r="H409" s="442"/>
      <c r="I409" s="371">
        <f>G409+H409</f>
        <v>0</v>
      </c>
    </row>
    <row r="410" spans="1:9" ht="26.25" hidden="1">
      <c r="A410" s="343" t="s">
        <v>516</v>
      </c>
      <c r="B410" s="275" t="s">
        <v>1165</v>
      </c>
      <c r="C410" s="275" t="s">
        <v>1063</v>
      </c>
      <c r="D410" s="275" t="s">
        <v>1047</v>
      </c>
      <c r="E410" s="275" t="s">
        <v>626</v>
      </c>
      <c r="F410" s="284" t="s">
        <v>517</v>
      </c>
      <c r="G410" s="282"/>
      <c r="H410" s="442"/>
      <c r="I410" s="371">
        <f>G410+H410</f>
        <v>0</v>
      </c>
    </row>
    <row r="411" spans="1:9" ht="0.75" customHeight="1" hidden="1">
      <c r="A411" s="375" t="s">
        <v>627</v>
      </c>
      <c r="B411" s="275" t="s">
        <v>1165</v>
      </c>
      <c r="C411" s="275" t="s">
        <v>1063</v>
      </c>
      <c r="D411" s="275" t="s">
        <v>1047</v>
      </c>
      <c r="E411" s="275" t="s">
        <v>628</v>
      </c>
      <c r="F411" s="284"/>
      <c r="G411" s="282">
        <f>G412</f>
        <v>0</v>
      </c>
      <c r="H411" s="442"/>
      <c r="I411" s="371">
        <f t="shared" si="5"/>
        <v>0</v>
      </c>
    </row>
    <row r="412" spans="1:9" ht="26.25" hidden="1">
      <c r="A412" s="343" t="s">
        <v>516</v>
      </c>
      <c r="B412" s="275" t="s">
        <v>1165</v>
      </c>
      <c r="C412" s="275" t="s">
        <v>1063</v>
      </c>
      <c r="D412" s="275" t="s">
        <v>1047</v>
      </c>
      <c r="E412" s="275" t="s">
        <v>628</v>
      </c>
      <c r="F412" s="284" t="s">
        <v>517</v>
      </c>
      <c r="G412" s="282">
        <f>175343-175343</f>
        <v>0</v>
      </c>
      <c r="H412" s="442"/>
      <c r="I412" s="371">
        <f t="shared" si="5"/>
        <v>0</v>
      </c>
    </row>
    <row r="413" spans="1:9" ht="26.25" hidden="1">
      <c r="A413" s="375" t="s">
        <v>629</v>
      </c>
      <c r="B413" s="275" t="s">
        <v>1165</v>
      </c>
      <c r="C413" s="275" t="s">
        <v>1063</v>
      </c>
      <c r="D413" s="275" t="s">
        <v>1047</v>
      </c>
      <c r="E413" s="275" t="s">
        <v>632</v>
      </c>
      <c r="F413" s="284"/>
      <c r="G413" s="282">
        <f>G414</f>
        <v>0</v>
      </c>
      <c r="H413" s="462"/>
      <c r="I413" s="371">
        <f t="shared" si="5"/>
        <v>0</v>
      </c>
    </row>
    <row r="414" spans="1:9" ht="26.25" hidden="1">
      <c r="A414" s="343" t="s">
        <v>516</v>
      </c>
      <c r="B414" s="275" t="s">
        <v>1165</v>
      </c>
      <c r="C414" s="275" t="s">
        <v>1063</v>
      </c>
      <c r="D414" s="275" t="s">
        <v>1047</v>
      </c>
      <c r="E414" s="275" t="s">
        <v>632</v>
      </c>
      <c r="F414" s="284" t="s">
        <v>517</v>
      </c>
      <c r="G414" s="282"/>
      <c r="H414" s="462"/>
      <c r="I414" s="371">
        <f t="shared" si="5"/>
        <v>0</v>
      </c>
    </row>
    <row r="415" spans="1:9" ht="25.5" customHeight="1">
      <c r="A415" s="373" t="s">
        <v>520</v>
      </c>
      <c r="B415" s="275" t="s">
        <v>1165</v>
      </c>
      <c r="C415" s="275" t="s">
        <v>1063</v>
      </c>
      <c r="D415" s="275" t="s">
        <v>1047</v>
      </c>
      <c r="E415" s="275" t="s">
        <v>633</v>
      </c>
      <c r="F415" s="284"/>
      <c r="G415" s="282">
        <f>G416+G417+G419+G418</f>
        <v>39000075</v>
      </c>
      <c r="H415" s="282">
        <f>H416+H417+H419+H418</f>
        <v>6876615.81</v>
      </c>
      <c r="I415" s="371">
        <f t="shared" si="5"/>
        <v>45876690.81</v>
      </c>
    </row>
    <row r="416" spans="1:9" ht="45" customHeight="1">
      <c r="A416" s="343" t="s">
        <v>522</v>
      </c>
      <c r="B416" s="275" t="s">
        <v>1165</v>
      </c>
      <c r="C416" s="275" t="s">
        <v>1063</v>
      </c>
      <c r="D416" s="275" t="s">
        <v>1047</v>
      </c>
      <c r="E416" s="275" t="s">
        <v>633</v>
      </c>
      <c r="F416" s="284" t="s">
        <v>523</v>
      </c>
      <c r="G416" s="282">
        <f>22202400+72259</f>
        <v>22274659</v>
      </c>
      <c r="H416" s="442"/>
      <c r="I416" s="371">
        <f t="shared" si="5"/>
        <v>22274659</v>
      </c>
    </row>
    <row r="417" spans="1:9" ht="28.5" customHeight="1">
      <c r="A417" s="343" t="s">
        <v>516</v>
      </c>
      <c r="B417" s="275" t="s">
        <v>1165</v>
      </c>
      <c r="C417" s="275" t="s">
        <v>1063</v>
      </c>
      <c r="D417" s="275" t="s">
        <v>1047</v>
      </c>
      <c r="E417" s="275" t="s">
        <v>633</v>
      </c>
      <c r="F417" s="284" t="s">
        <v>517</v>
      </c>
      <c r="G417" s="282">
        <f>8276200+91350+910203+1530537+167564+622840+63778+377788+2660079</f>
        <v>14700339</v>
      </c>
      <c r="H417" s="442">
        <f>6390555+158331+342729.81+10000-25000</f>
        <v>6876615.81</v>
      </c>
      <c r="I417" s="371">
        <f t="shared" si="5"/>
        <v>21576954.81</v>
      </c>
    </row>
    <row r="418" spans="1:9" ht="28.5" customHeight="1">
      <c r="A418" s="396" t="s">
        <v>751</v>
      </c>
      <c r="B418" s="275" t="s">
        <v>1165</v>
      </c>
      <c r="C418" s="275" t="s">
        <v>1063</v>
      </c>
      <c r="D418" s="275" t="s">
        <v>1047</v>
      </c>
      <c r="E418" s="275" t="s">
        <v>633</v>
      </c>
      <c r="F418" s="284" t="s">
        <v>752</v>
      </c>
      <c r="G418" s="282">
        <f>25872</f>
        <v>25872</v>
      </c>
      <c r="H418" s="442"/>
      <c r="I418" s="371">
        <f t="shared" si="5"/>
        <v>25872</v>
      </c>
    </row>
    <row r="419" spans="1:9" ht="13.5">
      <c r="A419" s="373" t="s">
        <v>524</v>
      </c>
      <c r="B419" s="275" t="s">
        <v>1165</v>
      </c>
      <c r="C419" s="275" t="s">
        <v>1063</v>
      </c>
      <c r="D419" s="275" t="s">
        <v>1047</v>
      </c>
      <c r="E419" s="275" t="s">
        <v>633</v>
      </c>
      <c r="F419" s="284" t="s">
        <v>525</v>
      </c>
      <c r="G419" s="282">
        <f>1924385+16368+2500+2000-2000+4034+51918</f>
        <v>1999205</v>
      </c>
      <c r="H419" s="442"/>
      <c r="I419" s="371">
        <f t="shared" si="5"/>
        <v>1999205</v>
      </c>
    </row>
    <row r="420" spans="1:9" ht="39">
      <c r="A420" s="385" t="s">
        <v>1087</v>
      </c>
      <c r="B420" s="275" t="s">
        <v>1165</v>
      </c>
      <c r="C420" s="275" t="s">
        <v>1063</v>
      </c>
      <c r="D420" s="275" t="s">
        <v>1047</v>
      </c>
      <c r="E420" s="275" t="s">
        <v>722</v>
      </c>
      <c r="F420" s="284"/>
      <c r="G420" s="282">
        <f>G421</f>
        <v>2185800</v>
      </c>
      <c r="H420" s="442"/>
      <c r="I420" s="371">
        <f t="shared" si="5"/>
        <v>2185800</v>
      </c>
    </row>
    <row r="421" spans="1:9" ht="52.5">
      <c r="A421" s="386" t="s">
        <v>1088</v>
      </c>
      <c r="B421" s="275" t="s">
        <v>1165</v>
      </c>
      <c r="C421" s="275" t="s">
        <v>1063</v>
      </c>
      <c r="D421" s="275" t="s">
        <v>1047</v>
      </c>
      <c r="E421" s="443" t="s">
        <v>737</v>
      </c>
      <c r="F421" s="284"/>
      <c r="G421" s="282">
        <f>G422</f>
        <v>2185800</v>
      </c>
      <c r="H421" s="442"/>
      <c r="I421" s="371">
        <f t="shared" si="5"/>
        <v>2185800</v>
      </c>
    </row>
    <row r="422" spans="1:9" ht="26.25">
      <c r="A422" s="373" t="s">
        <v>745</v>
      </c>
      <c r="B422" s="275" t="s">
        <v>1165</v>
      </c>
      <c r="C422" s="275" t="s">
        <v>1063</v>
      </c>
      <c r="D422" s="275" t="s">
        <v>1047</v>
      </c>
      <c r="E422" s="275" t="s">
        <v>746</v>
      </c>
      <c r="F422" s="284"/>
      <c r="G422" s="282">
        <f>G425+G423</f>
        <v>2185800</v>
      </c>
      <c r="H422" s="442"/>
      <c r="I422" s="371">
        <f t="shared" si="5"/>
        <v>2185800</v>
      </c>
    </row>
    <row r="423" spans="1:9" ht="24">
      <c r="A423" s="322" t="s">
        <v>747</v>
      </c>
      <c r="B423" s="275" t="s">
        <v>1165</v>
      </c>
      <c r="C423" s="275" t="s">
        <v>1063</v>
      </c>
      <c r="D423" s="275" t="s">
        <v>1047</v>
      </c>
      <c r="E423" s="275" t="s">
        <v>748</v>
      </c>
      <c r="F423" s="284"/>
      <c r="G423" s="282">
        <f>G424</f>
        <v>1748640</v>
      </c>
      <c r="H423" s="442"/>
      <c r="I423" s="371">
        <f>G423+H423</f>
        <v>1748640</v>
      </c>
    </row>
    <row r="424" spans="1:9" ht="26.25">
      <c r="A424" s="396" t="s">
        <v>751</v>
      </c>
      <c r="B424" s="275" t="s">
        <v>1165</v>
      </c>
      <c r="C424" s="275" t="s">
        <v>1063</v>
      </c>
      <c r="D424" s="275" t="s">
        <v>1047</v>
      </c>
      <c r="E424" s="275" t="s">
        <v>748</v>
      </c>
      <c r="F424" s="284" t="s">
        <v>752</v>
      </c>
      <c r="G424" s="282">
        <f>1748640</f>
        <v>1748640</v>
      </c>
      <c r="H424" s="442"/>
      <c r="I424" s="371">
        <f>G424+H424</f>
        <v>1748640</v>
      </c>
    </row>
    <row r="425" spans="1:9" ht="26.25">
      <c r="A425" s="373" t="s">
        <v>749</v>
      </c>
      <c r="B425" s="275" t="s">
        <v>1165</v>
      </c>
      <c r="C425" s="275" t="s">
        <v>1063</v>
      </c>
      <c r="D425" s="275" t="s">
        <v>1047</v>
      </c>
      <c r="E425" s="275" t="s">
        <v>750</v>
      </c>
      <c r="F425" s="284"/>
      <c r="G425" s="282">
        <f>G426</f>
        <v>437160</v>
      </c>
      <c r="H425" s="442"/>
      <c r="I425" s="371">
        <f t="shared" si="5"/>
        <v>437160</v>
      </c>
    </row>
    <row r="426" spans="1:9" ht="26.25">
      <c r="A426" s="396" t="s">
        <v>751</v>
      </c>
      <c r="B426" s="275" t="s">
        <v>1165</v>
      </c>
      <c r="C426" s="275" t="s">
        <v>1063</v>
      </c>
      <c r="D426" s="275" t="s">
        <v>1047</v>
      </c>
      <c r="E426" s="275" t="s">
        <v>750</v>
      </c>
      <c r="F426" s="284" t="s">
        <v>752</v>
      </c>
      <c r="G426" s="282">
        <f>460000-22840</f>
        <v>437160</v>
      </c>
      <c r="H426" s="442"/>
      <c r="I426" s="371">
        <f t="shared" si="5"/>
        <v>437160</v>
      </c>
    </row>
    <row r="427" spans="1:9" ht="13.5">
      <c r="A427" s="370" t="s">
        <v>1105</v>
      </c>
      <c r="B427" s="275" t="s">
        <v>1165</v>
      </c>
      <c r="C427" s="275" t="s">
        <v>1063</v>
      </c>
      <c r="D427" s="275" t="s">
        <v>1049</v>
      </c>
      <c r="E427" s="275"/>
      <c r="F427" s="284"/>
      <c r="G427" s="282">
        <f>G428+G474+G482+G467</f>
        <v>262282892.4</v>
      </c>
      <c r="H427" s="282">
        <f>H428+H474+H482+H467</f>
        <v>7472921.9399999995</v>
      </c>
      <c r="I427" s="282">
        <f>I428+I474+I482+I467</f>
        <v>269755814.34000003</v>
      </c>
    </row>
    <row r="428" spans="1:9" ht="26.25">
      <c r="A428" s="370" t="s">
        <v>611</v>
      </c>
      <c r="B428" s="275" t="s">
        <v>1165</v>
      </c>
      <c r="C428" s="275" t="s">
        <v>1063</v>
      </c>
      <c r="D428" s="275" t="s">
        <v>1049</v>
      </c>
      <c r="E428" s="275" t="s">
        <v>612</v>
      </c>
      <c r="F428" s="284"/>
      <c r="G428" s="282">
        <f>G429</f>
        <v>262105092.4</v>
      </c>
      <c r="H428" s="478">
        <f>H429</f>
        <v>7472921.9399999995</v>
      </c>
      <c r="I428" s="371">
        <f t="shared" si="5"/>
        <v>269578014.34000003</v>
      </c>
    </row>
    <row r="429" spans="1:9" ht="39">
      <c r="A429" s="406" t="s">
        <v>613</v>
      </c>
      <c r="B429" s="275" t="s">
        <v>1165</v>
      </c>
      <c r="C429" s="275" t="s">
        <v>1063</v>
      </c>
      <c r="D429" s="275" t="s">
        <v>1049</v>
      </c>
      <c r="E429" s="275" t="s">
        <v>614</v>
      </c>
      <c r="F429" s="284"/>
      <c r="G429" s="282">
        <f>G433+G462+G430</f>
        <v>262105092.4</v>
      </c>
      <c r="H429" s="282">
        <f>H433+H462+H430</f>
        <v>7472921.9399999995</v>
      </c>
      <c r="I429" s="371">
        <f t="shared" si="5"/>
        <v>269578014.34000003</v>
      </c>
    </row>
    <row r="430" spans="1:9" ht="13.5">
      <c r="A430" s="406" t="s">
        <v>1211</v>
      </c>
      <c r="B430" s="275" t="s">
        <v>1165</v>
      </c>
      <c r="C430" s="275" t="s">
        <v>1063</v>
      </c>
      <c r="D430" s="275" t="s">
        <v>1049</v>
      </c>
      <c r="E430" s="275" t="s">
        <v>1212</v>
      </c>
      <c r="F430" s="448"/>
      <c r="G430" s="282">
        <f>G431</f>
        <v>2000000</v>
      </c>
      <c r="H430" s="481"/>
      <c r="I430" s="371">
        <f t="shared" si="5"/>
        <v>2000000</v>
      </c>
    </row>
    <row r="431" spans="1:9" ht="26.25">
      <c r="A431" s="406" t="s">
        <v>638</v>
      </c>
      <c r="B431" s="275" t="s">
        <v>1165</v>
      </c>
      <c r="C431" s="275" t="s">
        <v>1063</v>
      </c>
      <c r="D431" s="275" t="s">
        <v>1049</v>
      </c>
      <c r="E431" s="275" t="s">
        <v>1213</v>
      </c>
      <c r="F431" s="448"/>
      <c r="G431" s="282">
        <f>G432</f>
        <v>2000000</v>
      </c>
      <c r="H431" s="481"/>
      <c r="I431" s="371">
        <f t="shared" si="5"/>
        <v>2000000</v>
      </c>
    </row>
    <row r="432" spans="1:9" ht="26.25">
      <c r="A432" s="343" t="s">
        <v>516</v>
      </c>
      <c r="B432" s="275" t="s">
        <v>1165</v>
      </c>
      <c r="C432" s="275" t="s">
        <v>1063</v>
      </c>
      <c r="D432" s="275" t="s">
        <v>1049</v>
      </c>
      <c r="E432" s="275" t="s">
        <v>1213</v>
      </c>
      <c r="F432" s="284" t="s">
        <v>517</v>
      </c>
      <c r="G432" s="282">
        <f>786836.4+1300000-86836.4</f>
        <v>2000000</v>
      </c>
      <c r="H432" s="481"/>
      <c r="I432" s="371">
        <f t="shared" si="5"/>
        <v>2000000</v>
      </c>
    </row>
    <row r="433" spans="1:9" ht="33.75" customHeight="1">
      <c r="A433" s="373" t="s">
        <v>634</v>
      </c>
      <c r="B433" s="275" t="s">
        <v>1165</v>
      </c>
      <c r="C433" s="275" t="s">
        <v>1063</v>
      </c>
      <c r="D433" s="275" t="s">
        <v>1049</v>
      </c>
      <c r="E433" s="275" t="s">
        <v>635</v>
      </c>
      <c r="F433" s="284"/>
      <c r="G433" s="282">
        <f>G438+G446+G448+G450+G452+G454+G456+G460+G441+G443+G434+G436</f>
        <v>260105092.4</v>
      </c>
      <c r="H433" s="282">
        <f>H438+H446+H448+H450+H452+H454+H456+H460+H441+H443+H434+H436</f>
        <v>7472921.9399999995</v>
      </c>
      <c r="I433" s="371">
        <f t="shared" si="5"/>
        <v>267578014.34</v>
      </c>
    </row>
    <row r="434" spans="1:9" ht="38.25" customHeight="1" hidden="1">
      <c r="A434" s="373" t="s">
        <v>636</v>
      </c>
      <c r="B434" s="275" t="s">
        <v>1165</v>
      </c>
      <c r="C434" s="275" t="s">
        <v>1063</v>
      </c>
      <c r="D434" s="275" t="s">
        <v>1049</v>
      </c>
      <c r="E434" s="275" t="s">
        <v>637</v>
      </c>
      <c r="F434" s="284"/>
      <c r="G434" s="282">
        <f>G435</f>
        <v>0</v>
      </c>
      <c r="H434" s="478"/>
      <c r="I434" s="371">
        <f t="shared" si="5"/>
        <v>0</v>
      </c>
    </row>
    <row r="435" spans="1:9" ht="26.25" hidden="1">
      <c r="A435" s="343" t="s">
        <v>516</v>
      </c>
      <c r="B435" s="275" t="s">
        <v>1165</v>
      </c>
      <c r="C435" s="275" t="s">
        <v>1063</v>
      </c>
      <c r="D435" s="275" t="s">
        <v>1049</v>
      </c>
      <c r="E435" s="275" t="s">
        <v>637</v>
      </c>
      <c r="F435" s="284" t="s">
        <v>517</v>
      </c>
      <c r="G435" s="282"/>
      <c r="H435" s="478"/>
      <c r="I435" s="371">
        <f t="shared" si="5"/>
        <v>0</v>
      </c>
    </row>
    <row r="436" spans="1:9" ht="33" customHeight="1" hidden="1">
      <c r="A436" s="482" t="s">
        <v>638</v>
      </c>
      <c r="B436" s="275" t="s">
        <v>1165</v>
      </c>
      <c r="C436" s="275" t="s">
        <v>1063</v>
      </c>
      <c r="D436" s="275" t="s">
        <v>1049</v>
      </c>
      <c r="E436" s="275" t="s">
        <v>639</v>
      </c>
      <c r="F436" s="284"/>
      <c r="G436" s="282">
        <f>G437</f>
        <v>0</v>
      </c>
      <c r="H436" s="282"/>
      <c r="I436" s="371">
        <f t="shared" si="5"/>
        <v>0</v>
      </c>
    </row>
    <row r="437" spans="1:9" ht="30" customHeight="1" hidden="1">
      <c r="A437" s="343" t="s">
        <v>516</v>
      </c>
      <c r="B437" s="275" t="s">
        <v>1165</v>
      </c>
      <c r="C437" s="275" t="s">
        <v>1063</v>
      </c>
      <c r="D437" s="275" t="s">
        <v>1049</v>
      </c>
      <c r="E437" s="275" t="s">
        <v>639</v>
      </c>
      <c r="F437" s="284" t="s">
        <v>517</v>
      </c>
      <c r="G437" s="282"/>
      <c r="H437" s="282"/>
      <c r="I437" s="371">
        <f t="shared" si="5"/>
        <v>0</v>
      </c>
    </row>
    <row r="438" spans="1:9" ht="81" customHeight="1">
      <c r="A438" s="375" t="s">
        <v>640</v>
      </c>
      <c r="B438" s="275" t="s">
        <v>1165</v>
      </c>
      <c r="C438" s="275" t="s">
        <v>1063</v>
      </c>
      <c r="D438" s="275" t="s">
        <v>1049</v>
      </c>
      <c r="E438" s="275" t="s">
        <v>641</v>
      </c>
      <c r="F438" s="284"/>
      <c r="G438" s="282">
        <f>G439+G440</f>
        <v>216205718</v>
      </c>
      <c r="H438" s="442"/>
      <c r="I438" s="371">
        <f t="shared" si="5"/>
        <v>216205718</v>
      </c>
    </row>
    <row r="439" spans="1:9" ht="47.25" customHeight="1">
      <c r="A439" s="343" t="s">
        <v>522</v>
      </c>
      <c r="B439" s="275" t="s">
        <v>1165</v>
      </c>
      <c r="C439" s="275" t="s">
        <v>1063</v>
      </c>
      <c r="D439" s="275" t="s">
        <v>1049</v>
      </c>
      <c r="E439" s="275" t="s">
        <v>641</v>
      </c>
      <c r="F439" s="284" t="s">
        <v>523</v>
      </c>
      <c r="G439" s="282">
        <f>186909233+22376668</f>
        <v>209285901</v>
      </c>
      <c r="H439" s="442"/>
      <c r="I439" s="371">
        <f t="shared" si="5"/>
        <v>209285901</v>
      </c>
    </row>
    <row r="440" spans="1:9" ht="25.5" customHeight="1">
      <c r="A440" s="343" t="s">
        <v>516</v>
      </c>
      <c r="B440" s="275" t="s">
        <v>1165</v>
      </c>
      <c r="C440" s="275" t="s">
        <v>1063</v>
      </c>
      <c r="D440" s="275" t="s">
        <v>1049</v>
      </c>
      <c r="E440" s="275" t="s">
        <v>641</v>
      </c>
      <c r="F440" s="284" t="s">
        <v>517</v>
      </c>
      <c r="G440" s="282">
        <v>6919817</v>
      </c>
      <c r="H440" s="442"/>
      <c r="I440" s="371">
        <f t="shared" si="5"/>
        <v>6919817</v>
      </c>
    </row>
    <row r="441" spans="1:9" ht="26.25">
      <c r="A441" s="375" t="s">
        <v>625</v>
      </c>
      <c r="B441" s="275" t="s">
        <v>1165</v>
      </c>
      <c r="C441" s="275" t="s">
        <v>1063</v>
      </c>
      <c r="D441" s="275" t="s">
        <v>1049</v>
      </c>
      <c r="E441" s="275" t="s">
        <v>648</v>
      </c>
      <c r="F441" s="284"/>
      <c r="G441" s="282">
        <f>G442</f>
        <v>1607171</v>
      </c>
      <c r="H441" s="442"/>
      <c r="I441" s="371">
        <f t="shared" si="5"/>
        <v>1607171</v>
      </c>
    </row>
    <row r="442" spans="1:9" ht="26.25">
      <c r="A442" s="343" t="s">
        <v>516</v>
      </c>
      <c r="B442" s="275" t="s">
        <v>1165</v>
      </c>
      <c r="C442" s="275" t="s">
        <v>1063</v>
      </c>
      <c r="D442" s="275" t="s">
        <v>1049</v>
      </c>
      <c r="E442" s="275" t="s">
        <v>648</v>
      </c>
      <c r="F442" s="284" t="s">
        <v>517</v>
      </c>
      <c r="G442" s="282">
        <f>1607171</f>
        <v>1607171</v>
      </c>
      <c r="H442" s="442"/>
      <c r="I442" s="371">
        <f t="shared" si="5"/>
        <v>1607171</v>
      </c>
    </row>
    <row r="443" spans="1:9" ht="26.25">
      <c r="A443" s="375" t="s">
        <v>627</v>
      </c>
      <c r="B443" s="275" t="s">
        <v>1165</v>
      </c>
      <c r="C443" s="275" t="s">
        <v>1063</v>
      </c>
      <c r="D443" s="275" t="s">
        <v>1049</v>
      </c>
      <c r="E443" s="275" t="s">
        <v>649</v>
      </c>
      <c r="F443" s="284"/>
      <c r="G443" s="282">
        <f>G444</f>
        <v>865399</v>
      </c>
      <c r="H443" s="442"/>
      <c r="I443" s="371">
        <f t="shared" si="5"/>
        <v>865399</v>
      </c>
    </row>
    <row r="444" spans="1:9" ht="25.5" customHeight="1">
      <c r="A444" s="343" t="s">
        <v>516</v>
      </c>
      <c r="B444" s="275" t="s">
        <v>1165</v>
      </c>
      <c r="C444" s="275" t="s">
        <v>1063</v>
      </c>
      <c r="D444" s="275" t="s">
        <v>1049</v>
      </c>
      <c r="E444" s="275" t="s">
        <v>649</v>
      </c>
      <c r="F444" s="284" t="s">
        <v>517</v>
      </c>
      <c r="G444" s="282">
        <f>826214.9+39184.1</f>
        <v>865399</v>
      </c>
      <c r="H444" s="442"/>
      <c r="I444" s="371">
        <f t="shared" si="5"/>
        <v>865399</v>
      </c>
    </row>
    <row r="445" spans="1:9" ht="26.25" hidden="1">
      <c r="A445" s="343" t="s">
        <v>516</v>
      </c>
      <c r="B445" s="275" t="s">
        <v>1165</v>
      </c>
      <c r="C445" s="275" t="s">
        <v>1063</v>
      </c>
      <c r="D445" s="275" t="s">
        <v>1049</v>
      </c>
      <c r="E445" s="275" t="s">
        <v>1168</v>
      </c>
      <c r="F445" s="284" t="s">
        <v>517</v>
      </c>
      <c r="G445" s="282"/>
      <c r="H445" s="442"/>
      <c r="I445" s="371">
        <f t="shared" si="5"/>
        <v>0</v>
      </c>
    </row>
    <row r="446" spans="1:9" ht="39">
      <c r="A446" s="383" t="s">
        <v>1214</v>
      </c>
      <c r="B446" s="275" t="s">
        <v>1165</v>
      </c>
      <c r="C446" s="275" t="s">
        <v>1063</v>
      </c>
      <c r="D446" s="275" t="s">
        <v>1049</v>
      </c>
      <c r="E446" s="275" t="s">
        <v>643</v>
      </c>
      <c r="F446" s="284"/>
      <c r="G446" s="282">
        <f>G447</f>
        <v>889886</v>
      </c>
      <c r="H446" s="442"/>
      <c r="I446" s="371">
        <f t="shared" si="5"/>
        <v>889886</v>
      </c>
    </row>
    <row r="447" spans="1:9" ht="26.25">
      <c r="A447" s="343" t="s">
        <v>516</v>
      </c>
      <c r="B447" s="275" t="s">
        <v>1165</v>
      </c>
      <c r="C447" s="275" t="s">
        <v>1063</v>
      </c>
      <c r="D447" s="275" t="s">
        <v>1049</v>
      </c>
      <c r="E447" s="275" t="s">
        <v>643</v>
      </c>
      <c r="F447" s="284" t="s">
        <v>517</v>
      </c>
      <c r="G447" s="282">
        <f>889886</f>
        <v>889886</v>
      </c>
      <c r="H447" s="442"/>
      <c r="I447" s="371">
        <f t="shared" si="5"/>
        <v>889886</v>
      </c>
    </row>
    <row r="448" spans="1:9" ht="39">
      <c r="A448" s="383" t="s">
        <v>1215</v>
      </c>
      <c r="B448" s="275" t="s">
        <v>1165</v>
      </c>
      <c r="C448" s="275" t="s">
        <v>1063</v>
      </c>
      <c r="D448" s="275" t="s">
        <v>1049</v>
      </c>
      <c r="E448" s="275" t="s">
        <v>645</v>
      </c>
      <c r="F448" s="284"/>
      <c r="G448" s="282">
        <f>G449</f>
        <v>1369687</v>
      </c>
      <c r="H448" s="442"/>
      <c r="I448" s="371">
        <f t="shared" si="5"/>
        <v>1369687</v>
      </c>
    </row>
    <row r="449" spans="1:9" ht="25.5" customHeight="1">
      <c r="A449" s="343" t="s">
        <v>516</v>
      </c>
      <c r="B449" s="275" t="s">
        <v>1165</v>
      </c>
      <c r="C449" s="275" t="s">
        <v>1063</v>
      </c>
      <c r="D449" s="275" t="s">
        <v>1049</v>
      </c>
      <c r="E449" s="275" t="s">
        <v>645</v>
      </c>
      <c r="F449" s="284" t="s">
        <v>517</v>
      </c>
      <c r="G449" s="282">
        <f>1468800-99113</f>
        <v>1369687</v>
      </c>
      <c r="H449" s="442"/>
      <c r="I449" s="371">
        <f t="shared" si="5"/>
        <v>1369687</v>
      </c>
    </row>
    <row r="450" spans="1:9" ht="52.5">
      <c r="A450" s="375" t="s">
        <v>646</v>
      </c>
      <c r="B450" s="275" t="s">
        <v>1165</v>
      </c>
      <c r="C450" s="275" t="s">
        <v>1063</v>
      </c>
      <c r="D450" s="275" t="s">
        <v>1049</v>
      </c>
      <c r="E450" s="275" t="s">
        <v>647</v>
      </c>
      <c r="F450" s="284"/>
      <c r="G450" s="282">
        <f>G451</f>
        <v>48449</v>
      </c>
      <c r="H450" s="442"/>
      <c r="I450" s="371">
        <f t="shared" si="5"/>
        <v>48449</v>
      </c>
    </row>
    <row r="451" spans="1:9" ht="26.25">
      <c r="A451" s="343" t="s">
        <v>516</v>
      </c>
      <c r="B451" s="275" t="s">
        <v>1165</v>
      </c>
      <c r="C451" s="275" t="s">
        <v>1063</v>
      </c>
      <c r="D451" s="275" t="s">
        <v>1049</v>
      </c>
      <c r="E451" s="275" t="s">
        <v>647</v>
      </c>
      <c r="F451" s="284" t="s">
        <v>517</v>
      </c>
      <c r="G451" s="282">
        <f>48449</f>
        <v>48449</v>
      </c>
      <c r="H451" s="442"/>
      <c r="I451" s="371">
        <f t="shared" si="5"/>
        <v>48449</v>
      </c>
    </row>
    <row r="452" spans="1:9" ht="39">
      <c r="A452" s="375" t="s">
        <v>1106</v>
      </c>
      <c r="B452" s="275" t="s">
        <v>1165</v>
      </c>
      <c r="C452" s="275" t="s">
        <v>1063</v>
      </c>
      <c r="D452" s="275" t="s">
        <v>1049</v>
      </c>
      <c r="E452" s="275" t="s">
        <v>651</v>
      </c>
      <c r="F452" s="284"/>
      <c r="G452" s="282">
        <f>G453</f>
        <v>500000</v>
      </c>
      <c r="H452" s="442"/>
      <c r="I452" s="371">
        <f t="shared" si="5"/>
        <v>500000</v>
      </c>
    </row>
    <row r="453" spans="1:9" ht="25.5" customHeight="1">
      <c r="A453" s="343" t="s">
        <v>516</v>
      </c>
      <c r="B453" s="275" t="s">
        <v>1165</v>
      </c>
      <c r="C453" s="275" t="s">
        <v>1063</v>
      </c>
      <c r="D453" s="275" t="s">
        <v>1049</v>
      </c>
      <c r="E453" s="275" t="s">
        <v>651</v>
      </c>
      <c r="F453" s="284" t="s">
        <v>517</v>
      </c>
      <c r="G453" s="282">
        <f>500000</f>
        <v>500000</v>
      </c>
      <c r="H453" s="442"/>
      <c r="I453" s="371">
        <f t="shared" si="5"/>
        <v>500000</v>
      </c>
    </row>
    <row r="454" spans="1:9" ht="13.5" hidden="1">
      <c r="A454" s="401" t="s">
        <v>652</v>
      </c>
      <c r="B454" s="275" t="s">
        <v>1165</v>
      </c>
      <c r="C454" s="275" t="s">
        <v>1063</v>
      </c>
      <c r="D454" s="275" t="s">
        <v>1049</v>
      </c>
      <c r="E454" s="275" t="s">
        <v>653</v>
      </c>
      <c r="F454" s="284"/>
      <c r="G454" s="282">
        <f>G455</f>
        <v>0</v>
      </c>
      <c r="H454" s="442"/>
      <c r="I454" s="371">
        <f t="shared" si="5"/>
        <v>0</v>
      </c>
    </row>
    <row r="455" spans="1:9" ht="39" hidden="1">
      <c r="A455" s="343" t="s">
        <v>522</v>
      </c>
      <c r="B455" s="275" t="s">
        <v>1165</v>
      </c>
      <c r="C455" s="275" t="s">
        <v>1063</v>
      </c>
      <c r="D455" s="275" t="s">
        <v>1049</v>
      </c>
      <c r="E455" s="275" t="s">
        <v>653</v>
      </c>
      <c r="F455" s="284" t="s">
        <v>523</v>
      </c>
      <c r="G455" s="282"/>
      <c r="H455" s="462"/>
      <c r="I455" s="371">
        <f t="shared" si="5"/>
        <v>0</v>
      </c>
    </row>
    <row r="456" spans="1:9" ht="27" customHeight="1">
      <c r="A456" s="373" t="s">
        <v>520</v>
      </c>
      <c r="B456" s="275" t="s">
        <v>1165</v>
      </c>
      <c r="C456" s="275" t="s">
        <v>1063</v>
      </c>
      <c r="D456" s="275" t="s">
        <v>1049</v>
      </c>
      <c r="E456" s="275" t="s">
        <v>654</v>
      </c>
      <c r="F456" s="284"/>
      <c r="G456" s="282">
        <f>G457+G459+G458</f>
        <v>38441182.4</v>
      </c>
      <c r="H456" s="282">
        <f>H457+H459+H458</f>
        <v>7472921.9399999995</v>
      </c>
      <c r="I456" s="371">
        <f t="shared" si="5"/>
        <v>45914104.339999996</v>
      </c>
    </row>
    <row r="457" spans="1:9" ht="26.25">
      <c r="A457" s="343" t="s">
        <v>516</v>
      </c>
      <c r="B457" s="275" t="s">
        <v>1165</v>
      </c>
      <c r="C457" s="275" t="s">
        <v>1063</v>
      </c>
      <c r="D457" s="275" t="s">
        <v>1049</v>
      </c>
      <c r="E457" s="275" t="s">
        <v>654</v>
      </c>
      <c r="F457" s="284" t="s">
        <v>517</v>
      </c>
      <c r="G457" s="282">
        <f>19425845+89480+1288450+248104.4+5038916+1989489+2579000+99113+1841000-2054000+9812+514523+38350+3560683</f>
        <v>34668765.4</v>
      </c>
      <c r="H457" s="293">
        <f>6327341+930000+172569.38+43011.56</f>
        <v>7472921.9399999995</v>
      </c>
      <c r="I457" s="371">
        <f t="shared" si="5"/>
        <v>42141687.339999996</v>
      </c>
    </row>
    <row r="458" spans="1:9" ht="26.25">
      <c r="A458" s="396" t="s">
        <v>751</v>
      </c>
      <c r="B458" s="275" t="s">
        <v>1165</v>
      </c>
      <c r="C458" s="275" t="s">
        <v>1063</v>
      </c>
      <c r="D458" s="275" t="s">
        <v>1049</v>
      </c>
      <c r="E458" s="275" t="s">
        <v>654</v>
      </c>
      <c r="F458" s="284" t="s">
        <v>752</v>
      </c>
      <c r="G458" s="282">
        <f>600000-400000+194802</f>
        <v>394802</v>
      </c>
      <c r="H458" s="293"/>
      <c r="I458" s="371">
        <f t="shared" si="5"/>
        <v>394802</v>
      </c>
    </row>
    <row r="459" spans="1:9" ht="13.5">
      <c r="A459" s="373" t="s">
        <v>524</v>
      </c>
      <c r="B459" s="275" t="s">
        <v>1165</v>
      </c>
      <c r="C459" s="275" t="s">
        <v>1063</v>
      </c>
      <c r="D459" s="275" t="s">
        <v>1049</v>
      </c>
      <c r="E459" s="275" t="s">
        <v>654</v>
      </c>
      <c r="F459" s="284" t="s">
        <v>525</v>
      </c>
      <c r="G459" s="282">
        <f>2072738+4000+53000+4000+1135029+54100+2166+52582</f>
        <v>3377615</v>
      </c>
      <c r="H459" s="442"/>
      <c r="I459" s="371">
        <f t="shared" si="5"/>
        <v>3377615</v>
      </c>
    </row>
    <row r="460" spans="1:9" ht="13.5">
      <c r="A460" s="343" t="s">
        <v>655</v>
      </c>
      <c r="B460" s="275" t="s">
        <v>1165</v>
      </c>
      <c r="C460" s="275" t="s">
        <v>1063</v>
      </c>
      <c r="D460" s="275" t="s">
        <v>1049</v>
      </c>
      <c r="E460" s="275" t="s">
        <v>656</v>
      </c>
      <c r="F460" s="284"/>
      <c r="G460" s="282">
        <f>G461</f>
        <v>177600</v>
      </c>
      <c r="H460" s="442"/>
      <c r="I460" s="371">
        <f t="shared" si="5"/>
        <v>177600</v>
      </c>
    </row>
    <row r="461" spans="1:9" ht="25.5" customHeight="1">
      <c r="A461" s="343" t="s">
        <v>516</v>
      </c>
      <c r="B461" s="275" t="s">
        <v>1165</v>
      </c>
      <c r="C461" s="275" t="s">
        <v>1063</v>
      </c>
      <c r="D461" s="275" t="s">
        <v>1049</v>
      </c>
      <c r="E461" s="275" t="s">
        <v>656</v>
      </c>
      <c r="F461" s="284" t="s">
        <v>517</v>
      </c>
      <c r="G461" s="282">
        <f>177600</f>
        <v>177600</v>
      </c>
      <c r="H461" s="462"/>
      <c r="I461" s="371">
        <f t="shared" si="5"/>
        <v>177600</v>
      </c>
    </row>
    <row r="462" spans="1:9" ht="26.25" hidden="1">
      <c r="A462" s="373" t="s">
        <v>657</v>
      </c>
      <c r="B462" s="275" t="s">
        <v>1165</v>
      </c>
      <c r="C462" s="275" t="s">
        <v>1063</v>
      </c>
      <c r="D462" s="275" t="s">
        <v>1049</v>
      </c>
      <c r="E462" s="275" t="s">
        <v>658</v>
      </c>
      <c r="F462" s="284"/>
      <c r="G462" s="282">
        <f>G463+G465</f>
        <v>0</v>
      </c>
      <c r="H462" s="442"/>
      <c r="I462" s="371">
        <f>G462+H462</f>
        <v>0</v>
      </c>
    </row>
    <row r="463" spans="1:9" ht="26.25" hidden="1">
      <c r="A463" s="375" t="s">
        <v>659</v>
      </c>
      <c r="B463" s="275" t="s">
        <v>1165</v>
      </c>
      <c r="C463" s="275" t="s">
        <v>1063</v>
      </c>
      <c r="D463" s="275" t="s">
        <v>1049</v>
      </c>
      <c r="E463" s="275" t="s">
        <v>660</v>
      </c>
      <c r="F463" s="284"/>
      <c r="G463" s="282">
        <f>G464</f>
        <v>0</v>
      </c>
      <c r="H463" s="442"/>
      <c r="I463" s="371">
        <f>G463+H463</f>
        <v>0</v>
      </c>
    </row>
    <row r="464" spans="1:9" ht="39" hidden="1">
      <c r="A464" s="343" t="s">
        <v>522</v>
      </c>
      <c r="B464" s="275" t="s">
        <v>1165</v>
      </c>
      <c r="C464" s="275" t="s">
        <v>1063</v>
      </c>
      <c r="D464" s="275" t="s">
        <v>1049</v>
      </c>
      <c r="E464" s="275" t="s">
        <v>660</v>
      </c>
      <c r="F464" s="284" t="s">
        <v>523</v>
      </c>
      <c r="G464" s="282"/>
      <c r="H464" s="442"/>
      <c r="I464" s="371">
        <f>G464+H464</f>
        <v>0</v>
      </c>
    </row>
    <row r="465" spans="1:9" ht="26.25" hidden="1">
      <c r="A465" s="375" t="s">
        <v>661</v>
      </c>
      <c r="B465" s="275" t="s">
        <v>1165</v>
      </c>
      <c r="C465" s="275" t="s">
        <v>1063</v>
      </c>
      <c r="D465" s="275" t="s">
        <v>1049</v>
      </c>
      <c r="E465" s="275" t="s">
        <v>662</v>
      </c>
      <c r="F465" s="284"/>
      <c r="G465" s="282">
        <f>G466</f>
        <v>0</v>
      </c>
      <c r="H465" s="442"/>
      <c r="I465" s="371">
        <f aca="true" t="shared" si="6" ref="I465:I533">G465+H465</f>
        <v>0</v>
      </c>
    </row>
    <row r="466" spans="1:9" ht="39" hidden="1">
      <c r="A466" s="343" t="s">
        <v>522</v>
      </c>
      <c r="B466" s="275" t="s">
        <v>1165</v>
      </c>
      <c r="C466" s="275" t="s">
        <v>1063</v>
      </c>
      <c r="D466" s="275" t="s">
        <v>1049</v>
      </c>
      <c r="E466" s="275" t="s">
        <v>662</v>
      </c>
      <c r="F466" s="284" t="s">
        <v>523</v>
      </c>
      <c r="G466" s="282">
        <f>100000-100000</f>
        <v>0</v>
      </c>
      <c r="H466" s="442"/>
      <c r="I466" s="371">
        <f>G466+H466</f>
        <v>0</v>
      </c>
    </row>
    <row r="467" spans="1:9" ht="39" hidden="1">
      <c r="A467" s="402" t="s">
        <v>1107</v>
      </c>
      <c r="B467" s="275" t="s">
        <v>1165</v>
      </c>
      <c r="C467" s="275" t="s">
        <v>1063</v>
      </c>
      <c r="D467" s="275" t="s">
        <v>1049</v>
      </c>
      <c r="E467" s="289" t="s">
        <v>722</v>
      </c>
      <c r="F467" s="284"/>
      <c r="G467" s="282">
        <f>G468</f>
        <v>0</v>
      </c>
      <c r="H467" s="442"/>
      <c r="I467" s="371">
        <f aca="true" t="shared" si="7" ref="I467:I473">G467+H467</f>
        <v>0</v>
      </c>
    </row>
    <row r="468" spans="1:9" ht="18" customHeight="1" hidden="1">
      <c r="A468" s="408" t="s">
        <v>1108</v>
      </c>
      <c r="B468" s="275" t="s">
        <v>1165</v>
      </c>
      <c r="C468" s="275" t="s">
        <v>1063</v>
      </c>
      <c r="D468" s="275" t="s">
        <v>1049</v>
      </c>
      <c r="E468" s="453" t="s">
        <v>1097</v>
      </c>
      <c r="F468" s="284"/>
      <c r="G468" s="282">
        <f>G469</f>
        <v>0</v>
      </c>
      <c r="H468" s="442"/>
      <c r="I468" s="371">
        <f t="shared" si="7"/>
        <v>0</v>
      </c>
    </row>
    <row r="469" spans="1:9" ht="26.25" hidden="1">
      <c r="A469" s="373" t="s">
        <v>745</v>
      </c>
      <c r="B469" s="275" t="s">
        <v>1165</v>
      </c>
      <c r="C469" s="275" t="s">
        <v>1063</v>
      </c>
      <c r="D469" s="275" t="s">
        <v>1049</v>
      </c>
      <c r="E469" s="298" t="s">
        <v>746</v>
      </c>
      <c r="F469" s="284"/>
      <c r="G469" s="282">
        <f>G472+G470</f>
        <v>0</v>
      </c>
      <c r="H469" s="442"/>
      <c r="I469" s="371">
        <f t="shared" si="7"/>
        <v>0</v>
      </c>
    </row>
    <row r="470" spans="1:9" ht="24" hidden="1">
      <c r="A470" s="474" t="s">
        <v>747</v>
      </c>
      <c r="B470" s="275" t="s">
        <v>1165</v>
      </c>
      <c r="C470" s="275" t="s">
        <v>1063</v>
      </c>
      <c r="D470" s="275" t="s">
        <v>1049</v>
      </c>
      <c r="E470" s="298" t="s">
        <v>748</v>
      </c>
      <c r="F470" s="284"/>
      <c r="G470" s="282">
        <f>G471</f>
        <v>0</v>
      </c>
      <c r="H470" s="442"/>
      <c r="I470" s="371">
        <f>G470+H470</f>
        <v>0</v>
      </c>
    </row>
    <row r="471" spans="1:9" ht="26.25" hidden="1">
      <c r="A471" s="343" t="s">
        <v>751</v>
      </c>
      <c r="B471" s="275" t="s">
        <v>1165</v>
      </c>
      <c r="C471" s="275" t="s">
        <v>1063</v>
      </c>
      <c r="D471" s="275" t="s">
        <v>1049</v>
      </c>
      <c r="E471" s="298" t="s">
        <v>748</v>
      </c>
      <c r="F471" s="284" t="s">
        <v>752</v>
      </c>
      <c r="G471" s="282"/>
      <c r="H471" s="442"/>
      <c r="I471" s="371">
        <f>G471+H471</f>
        <v>0</v>
      </c>
    </row>
    <row r="472" spans="1:9" ht="24" hidden="1">
      <c r="A472" s="474" t="s">
        <v>749</v>
      </c>
      <c r="B472" s="275" t="s">
        <v>1165</v>
      </c>
      <c r="C472" s="275" t="s">
        <v>1063</v>
      </c>
      <c r="D472" s="275" t="s">
        <v>1049</v>
      </c>
      <c r="E472" s="298" t="s">
        <v>750</v>
      </c>
      <c r="F472" s="284"/>
      <c r="G472" s="282">
        <f>G473</f>
        <v>0</v>
      </c>
      <c r="H472" s="442"/>
      <c r="I472" s="371">
        <f t="shared" si="7"/>
        <v>0</v>
      </c>
    </row>
    <row r="473" spans="1:9" ht="26.25" hidden="1">
      <c r="A473" s="343" t="s">
        <v>751</v>
      </c>
      <c r="B473" s="275" t="s">
        <v>1165</v>
      </c>
      <c r="C473" s="275" t="s">
        <v>1063</v>
      </c>
      <c r="D473" s="275" t="s">
        <v>1049</v>
      </c>
      <c r="E473" s="298" t="s">
        <v>750</v>
      </c>
      <c r="F473" s="284" t="s">
        <v>752</v>
      </c>
      <c r="G473" s="282"/>
      <c r="H473" s="442"/>
      <c r="I473" s="371">
        <f t="shared" si="7"/>
        <v>0</v>
      </c>
    </row>
    <row r="474" spans="1:9" ht="54.75" customHeight="1">
      <c r="A474" s="394" t="s">
        <v>822</v>
      </c>
      <c r="B474" s="275" t="s">
        <v>1165</v>
      </c>
      <c r="C474" s="275" t="s">
        <v>1063</v>
      </c>
      <c r="D474" s="275" t="s">
        <v>1049</v>
      </c>
      <c r="E474" s="289" t="s">
        <v>823</v>
      </c>
      <c r="F474" s="284"/>
      <c r="G474" s="282">
        <f>G475</f>
        <v>167800</v>
      </c>
      <c r="H474" s="442"/>
      <c r="I474" s="371">
        <f t="shared" si="6"/>
        <v>167800</v>
      </c>
    </row>
    <row r="475" spans="1:9" ht="75.75" customHeight="1">
      <c r="A475" s="395" t="s">
        <v>843</v>
      </c>
      <c r="B475" s="275" t="s">
        <v>1165</v>
      </c>
      <c r="C475" s="443" t="s">
        <v>1063</v>
      </c>
      <c r="D475" s="443" t="s">
        <v>1049</v>
      </c>
      <c r="E475" s="453" t="s">
        <v>844</v>
      </c>
      <c r="F475" s="448"/>
      <c r="G475" s="446">
        <f>G476+G479</f>
        <v>167800</v>
      </c>
      <c r="H475" s="442"/>
      <c r="I475" s="371">
        <f t="shared" si="6"/>
        <v>167800</v>
      </c>
    </row>
    <row r="476" spans="1:9" ht="26.25" hidden="1">
      <c r="A476" s="397" t="s">
        <v>845</v>
      </c>
      <c r="B476" s="275" t="s">
        <v>1165</v>
      </c>
      <c r="C476" s="275" t="s">
        <v>1063</v>
      </c>
      <c r="D476" s="275" t="s">
        <v>1049</v>
      </c>
      <c r="E476" s="289" t="s">
        <v>846</v>
      </c>
      <c r="F476" s="284"/>
      <c r="G476" s="282">
        <f>G477</f>
        <v>0</v>
      </c>
      <c r="H476" s="442"/>
      <c r="I476" s="371">
        <f t="shared" si="6"/>
        <v>0</v>
      </c>
    </row>
    <row r="477" spans="1:9" ht="26.25" hidden="1">
      <c r="A477" s="373" t="s">
        <v>847</v>
      </c>
      <c r="B477" s="275" t="s">
        <v>1165</v>
      </c>
      <c r="C477" s="275" t="s">
        <v>1063</v>
      </c>
      <c r="D477" s="275" t="s">
        <v>1049</v>
      </c>
      <c r="E477" s="289" t="s">
        <v>848</v>
      </c>
      <c r="F477" s="284"/>
      <c r="G477" s="282">
        <f>G478</f>
        <v>0</v>
      </c>
      <c r="H477" s="442"/>
      <c r="I477" s="371">
        <f t="shared" si="6"/>
        <v>0</v>
      </c>
    </row>
    <row r="478" spans="1:9" ht="26.25" hidden="1">
      <c r="A478" s="343" t="s">
        <v>516</v>
      </c>
      <c r="B478" s="275" t="s">
        <v>1165</v>
      </c>
      <c r="C478" s="275" t="s">
        <v>1063</v>
      </c>
      <c r="D478" s="275" t="s">
        <v>1049</v>
      </c>
      <c r="E478" s="289" t="s">
        <v>848</v>
      </c>
      <c r="F478" s="284" t="s">
        <v>517</v>
      </c>
      <c r="G478" s="282"/>
      <c r="H478" s="462"/>
      <c r="I478" s="371">
        <f t="shared" si="6"/>
        <v>0</v>
      </c>
    </row>
    <row r="479" spans="1:9" ht="63.75" customHeight="1">
      <c r="A479" s="397" t="s">
        <v>849</v>
      </c>
      <c r="B479" s="275" t="s">
        <v>1165</v>
      </c>
      <c r="C479" s="275" t="s">
        <v>1063</v>
      </c>
      <c r="D479" s="275" t="s">
        <v>1049</v>
      </c>
      <c r="E479" s="289" t="s">
        <v>850</v>
      </c>
      <c r="F479" s="284"/>
      <c r="G479" s="282">
        <f>G480</f>
        <v>167800</v>
      </c>
      <c r="H479" s="442"/>
      <c r="I479" s="371">
        <f t="shared" si="6"/>
        <v>167800</v>
      </c>
    </row>
    <row r="480" spans="1:9" ht="30.75" customHeight="1">
      <c r="A480" s="373" t="s">
        <v>847</v>
      </c>
      <c r="B480" s="275" t="s">
        <v>1165</v>
      </c>
      <c r="C480" s="275" t="s">
        <v>1063</v>
      </c>
      <c r="D480" s="275" t="s">
        <v>1049</v>
      </c>
      <c r="E480" s="289" t="s">
        <v>851</v>
      </c>
      <c r="F480" s="284"/>
      <c r="G480" s="282">
        <f>G481</f>
        <v>167800</v>
      </c>
      <c r="H480" s="442"/>
      <c r="I480" s="371">
        <f t="shared" si="6"/>
        <v>167800</v>
      </c>
    </row>
    <row r="481" spans="1:9" ht="34.5" customHeight="1">
      <c r="A481" s="343" t="s">
        <v>516</v>
      </c>
      <c r="B481" s="275" t="s">
        <v>1165</v>
      </c>
      <c r="C481" s="275" t="s">
        <v>1063</v>
      </c>
      <c r="D481" s="275" t="s">
        <v>1049</v>
      </c>
      <c r="E481" s="289" t="s">
        <v>851</v>
      </c>
      <c r="F481" s="284" t="s">
        <v>517</v>
      </c>
      <c r="G481" s="282">
        <v>167800</v>
      </c>
      <c r="H481" s="462"/>
      <c r="I481" s="371">
        <f t="shared" si="6"/>
        <v>167800</v>
      </c>
    </row>
    <row r="482" spans="1:9" ht="42" customHeight="1">
      <c r="A482" s="385" t="s">
        <v>937</v>
      </c>
      <c r="B482" s="275" t="s">
        <v>1165</v>
      </c>
      <c r="C482" s="275" t="s">
        <v>1063</v>
      </c>
      <c r="D482" s="275" t="s">
        <v>1049</v>
      </c>
      <c r="E482" s="275" t="s">
        <v>938</v>
      </c>
      <c r="F482" s="303"/>
      <c r="G482" s="282">
        <f>G483</f>
        <v>10000</v>
      </c>
      <c r="H482" s="442"/>
      <c r="I482" s="371">
        <f t="shared" si="6"/>
        <v>10000</v>
      </c>
    </row>
    <row r="483" spans="1:9" s="308" customFormat="1" ht="60" customHeight="1">
      <c r="A483" s="376" t="s">
        <v>939</v>
      </c>
      <c r="B483" s="275" t="s">
        <v>1165</v>
      </c>
      <c r="C483" s="443" t="s">
        <v>1063</v>
      </c>
      <c r="D483" s="443" t="s">
        <v>1049</v>
      </c>
      <c r="E483" s="443" t="s">
        <v>940</v>
      </c>
      <c r="F483" s="445"/>
      <c r="G483" s="446">
        <f>G484</f>
        <v>10000</v>
      </c>
      <c r="H483" s="449"/>
      <c r="I483" s="468">
        <f t="shared" si="6"/>
        <v>10000</v>
      </c>
    </row>
    <row r="484" spans="1:9" ht="26.25">
      <c r="A484" s="383" t="s">
        <v>941</v>
      </c>
      <c r="B484" s="275" t="s">
        <v>1165</v>
      </c>
      <c r="C484" s="275" t="s">
        <v>1063</v>
      </c>
      <c r="D484" s="275" t="s">
        <v>1049</v>
      </c>
      <c r="E484" s="275" t="s">
        <v>942</v>
      </c>
      <c r="F484" s="303"/>
      <c r="G484" s="282">
        <f>G485</f>
        <v>10000</v>
      </c>
      <c r="H484" s="442"/>
      <c r="I484" s="371">
        <f t="shared" si="6"/>
        <v>10000</v>
      </c>
    </row>
    <row r="485" spans="1:9" ht="13.5">
      <c r="A485" s="383" t="s">
        <v>943</v>
      </c>
      <c r="B485" s="275" t="s">
        <v>1165</v>
      </c>
      <c r="C485" s="275" t="s">
        <v>1063</v>
      </c>
      <c r="D485" s="275" t="s">
        <v>1049</v>
      </c>
      <c r="E485" s="275" t="s">
        <v>944</v>
      </c>
      <c r="F485" s="303"/>
      <c r="G485" s="282">
        <f>G486</f>
        <v>10000</v>
      </c>
      <c r="H485" s="442"/>
      <c r="I485" s="371">
        <f t="shared" si="6"/>
        <v>10000</v>
      </c>
    </row>
    <row r="486" spans="1:9" ht="33.75" customHeight="1">
      <c r="A486" s="473" t="s">
        <v>516</v>
      </c>
      <c r="B486" s="275" t="s">
        <v>1165</v>
      </c>
      <c r="C486" s="275" t="s">
        <v>1063</v>
      </c>
      <c r="D486" s="275" t="s">
        <v>1049</v>
      </c>
      <c r="E486" s="275" t="s">
        <v>944</v>
      </c>
      <c r="F486" s="284" t="s">
        <v>517</v>
      </c>
      <c r="G486" s="282">
        <f>10000</f>
        <v>10000</v>
      </c>
      <c r="H486" s="462"/>
      <c r="I486" s="371">
        <f t="shared" si="6"/>
        <v>10000</v>
      </c>
    </row>
    <row r="487" spans="1:9" ht="21" customHeight="1">
      <c r="A487" s="471" t="s">
        <v>1111</v>
      </c>
      <c r="B487" s="275" t="s">
        <v>1165</v>
      </c>
      <c r="C487" s="275" t="s">
        <v>1063</v>
      </c>
      <c r="D487" s="275" t="s">
        <v>1051</v>
      </c>
      <c r="E487" s="275"/>
      <c r="F487" s="284"/>
      <c r="G487" s="282">
        <f>G488</f>
        <v>23510212</v>
      </c>
      <c r="H487" s="442"/>
      <c r="I487" s="371">
        <f t="shared" si="6"/>
        <v>23510212</v>
      </c>
    </row>
    <row r="488" spans="1:9" ht="39" customHeight="1">
      <c r="A488" s="370" t="s">
        <v>611</v>
      </c>
      <c r="B488" s="443" t="s">
        <v>1165</v>
      </c>
      <c r="C488" s="275" t="s">
        <v>1063</v>
      </c>
      <c r="D488" s="275" t="s">
        <v>1051</v>
      </c>
      <c r="E488" s="275" t="s">
        <v>612</v>
      </c>
      <c r="F488" s="284"/>
      <c r="G488" s="282">
        <f>G489</f>
        <v>23510212</v>
      </c>
      <c r="H488" s="442"/>
      <c r="I488" s="371">
        <f t="shared" si="6"/>
        <v>23510212</v>
      </c>
    </row>
    <row r="489" spans="1:9" s="308" customFormat="1" ht="39">
      <c r="A489" s="343" t="s">
        <v>665</v>
      </c>
      <c r="B489" s="275" t="s">
        <v>1165</v>
      </c>
      <c r="C489" s="443" t="s">
        <v>1063</v>
      </c>
      <c r="D489" s="443" t="s">
        <v>1051</v>
      </c>
      <c r="E489" s="443" t="s">
        <v>666</v>
      </c>
      <c r="F489" s="448"/>
      <c r="G489" s="446">
        <f>G490</f>
        <v>23510212</v>
      </c>
      <c r="H489" s="449"/>
      <c r="I489" s="468">
        <f t="shared" si="6"/>
        <v>23510212</v>
      </c>
    </row>
    <row r="490" spans="1:9" ht="26.25">
      <c r="A490" s="373" t="s">
        <v>667</v>
      </c>
      <c r="B490" s="275" t="s">
        <v>1165</v>
      </c>
      <c r="C490" s="275" t="s">
        <v>1063</v>
      </c>
      <c r="D490" s="275" t="s">
        <v>1051</v>
      </c>
      <c r="E490" s="275" t="s">
        <v>668</v>
      </c>
      <c r="F490" s="284"/>
      <c r="G490" s="282">
        <f>G491</f>
        <v>23510212</v>
      </c>
      <c r="H490" s="442"/>
      <c r="I490" s="371">
        <f t="shared" si="6"/>
        <v>23510212</v>
      </c>
    </row>
    <row r="491" spans="1:9" ht="26.25">
      <c r="A491" s="373" t="s">
        <v>520</v>
      </c>
      <c r="B491" s="275" t="s">
        <v>1165</v>
      </c>
      <c r="C491" s="275" t="s">
        <v>1063</v>
      </c>
      <c r="D491" s="275" t="s">
        <v>1051</v>
      </c>
      <c r="E491" s="275" t="s">
        <v>669</v>
      </c>
      <c r="F491" s="284"/>
      <c r="G491" s="282">
        <f>G492+G493+G495+G494</f>
        <v>23510212</v>
      </c>
      <c r="H491" s="442"/>
      <c r="I491" s="371">
        <f t="shared" si="6"/>
        <v>23510212</v>
      </c>
    </row>
    <row r="492" spans="1:9" ht="43.5" customHeight="1">
      <c r="A492" s="343" t="s">
        <v>522</v>
      </c>
      <c r="B492" s="275" t="s">
        <v>1165</v>
      </c>
      <c r="C492" s="275" t="s">
        <v>1063</v>
      </c>
      <c r="D492" s="275" t="s">
        <v>1051</v>
      </c>
      <c r="E492" s="275" t="s">
        <v>669</v>
      </c>
      <c r="F492" s="284" t="s">
        <v>523</v>
      </c>
      <c r="G492" s="282">
        <f>14400300+1054655</f>
        <v>15454955</v>
      </c>
      <c r="H492" s="442"/>
      <c r="I492" s="371">
        <f t="shared" si="6"/>
        <v>15454955</v>
      </c>
    </row>
    <row r="493" spans="1:9" ht="26.25" customHeight="1">
      <c r="A493" s="343" t="s">
        <v>516</v>
      </c>
      <c r="B493" s="275" t="s">
        <v>1165</v>
      </c>
      <c r="C493" s="275" t="s">
        <v>1063</v>
      </c>
      <c r="D493" s="275" t="s">
        <v>1051</v>
      </c>
      <c r="E493" s="275" t="s">
        <v>669</v>
      </c>
      <c r="F493" s="284" t="s">
        <v>517</v>
      </c>
      <c r="G493" s="282">
        <f>644300+5760+3675000+798279+367800+80000+73970-73970+10681+100000-78751</f>
        <v>5603069</v>
      </c>
      <c r="H493" s="442"/>
      <c r="I493" s="371">
        <f t="shared" si="6"/>
        <v>5603069</v>
      </c>
    </row>
    <row r="494" spans="1:9" ht="29.25" customHeight="1">
      <c r="A494" s="396" t="s">
        <v>751</v>
      </c>
      <c r="B494" s="443" t="s">
        <v>1165</v>
      </c>
      <c r="C494" s="275" t="s">
        <v>1063</v>
      </c>
      <c r="D494" s="275" t="s">
        <v>1051</v>
      </c>
      <c r="E494" s="275" t="s">
        <v>669</v>
      </c>
      <c r="F494" s="284" t="s">
        <v>752</v>
      </c>
      <c r="G494" s="282">
        <f>1510000+1640000-3000000+2197730</f>
        <v>2347730</v>
      </c>
      <c r="H494" s="442"/>
      <c r="I494" s="371">
        <f>G494+H494</f>
        <v>2347730</v>
      </c>
    </row>
    <row r="495" spans="1:9" ht="22.5" customHeight="1">
      <c r="A495" s="373" t="s">
        <v>524</v>
      </c>
      <c r="B495" s="443" t="s">
        <v>1165</v>
      </c>
      <c r="C495" s="275" t="s">
        <v>1063</v>
      </c>
      <c r="D495" s="275" t="s">
        <v>1051</v>
      </c>
      <c r="E495" s="275" t="s">
        <v>669</v>
      </c>
      <c r="F495" s="284" t="s">
        <v>525</v>
      </c>
      <c r="G495" s="282">
        <f>115463-13005+2000</f>
        <v>104458</v>
      </c>
      <c r="H495" s="442"/>
      <c r="I495" s="371">
        <f t="shared" si="6"/>
        <v>104458</v>
      </c>
    </row>
    <row r="496" spans="1:9" ht="13.5">
      <c r="A496" s="370" t="s">
        <v>1162</v>
      </c>
      <c r="B496" s="275" t="s">
        <v>1165</v>
      </c>
      <c r="C496" s="275" t="s">
        <v>1063</v>
      </c>
      <c r="D496" s="275" t="s">
        <v>1063</v>
      </c>
      <c r="E496" s="275"/>
      <c r="F496" s="284"/>
      <c r="G496" s="282">
        <f>G497</f>
        <v>2193360</v>
      </c>
      <c r="H496" s="442">
        <f>H497</f>
        <v>1240802.39</v>
      </c>
      <c r="I496" s="371">
        <f t="shared" si="6"/>
        <v>3434162.3899999997</v>
      </c>
    </row>
    <row r="497" spans="1:9" ht="53.25" customHeight="1">
      <c r="A497" s="373" t="s">
        <v>771</v>
      </c>
      <c r="B497" s="275" t="s">
        <v>1165</v>
      </c>
      <c r="C497" s="275" t="s">
        <v>1063</v>
      </c>
      <c r="D497" s="275" t="s">
        <v>1063</v>
      </c>
      <c r="E497" s="289" t="s">
        <v>772</v>
      </c>
      <c r="F497" s="284"/>
      <c r="G497" s="282">
        <f>G498</f>
        <v>2193360</v>
      </c>
      <c r="H497" s="442">
        <f>H498</f>
        <v>1240802.39</v>
      </c>
      <c r="I497" s="371">
        <f t="shared" si="6"/>
        <v>3434162.3899999997</v>
      </c>
    </row>
    <row r="498" spans="1:9" ht="60" customHeight="1">
      <c r="A498" s="386" t="s">
        <v>788</v>
      </c>
      <c r="B498" s="275" t="s">
        <v>1165</v>
      </c>
      <c r="C498" s="275" t="s">
        <v>1063</v>
      </c>
      <c r="D498" s="275" t="s">
        <v>1063</v>
      </c>
      <c r="E498" s="289" t="s">
        <v>789</v>
      </c>
      <c r="F498" s="324"/>
      <c r="G498" s="282">
        <f>G499+G507+G504</f>
        <v>2193360</v>
      </c>
      <c r="H498" s="442">
        <f>H500+H508</f>
        <v>1240802.39</v>
      </c>
      <c r="I498" s="371">
        <f t="shared" si="6"/>
        <v>3434162.3899999997</v>
      </c>
    </row>
    <row r="499" spans="1:9" ht="31.5" customHeight="1">
      <c r="A499" s="373" t="s">
        <v>790</v>
      </c>
      <c r="B499" s="275" t="s">
        <v>1165</v>
      </c>
      <c r="C499" s="275" t="s">
        <v>1063</v>
      </c>
      <c r="D499" s="275" t="s">
        <v>1063</v>
      </c>
      <c r="E499" s="289" t="s">
        <v>791</v>
      </c>
      <c r="F499" s="324"/>
      <c r="G499" s="282">
        <f>G500+G502</f>
        <v>758160</v>
      </c>
      <c r="H499" s="442"/>
      <c r="I499" s="371">
        <f t="shared" si="6"/>
        <v>758160</v>
      </c>
    </row>
    <row r="500" spans="1:9" ht="13.5">
      <c r="A500" s="370" t="s">
        <v>792</v>
      </c>
      <c r="B500" s="275" t="s">
        <v>1165</v>
      </c>
      <c r="C500" s="275" t="s">
        <v>1063</v>
      </c>
      <c r="D500" s="275" t="s">
        <v>1063</v>
      </c>
      <c r="E500" s="289" t="s">
        <v>793</v>
      </c>
      <c r="F500" s="284"/>
      <c r="G500" s="282">
        <f>G501</f>
        <v>237417</v>
      </c>
      <c r="H500" s="442"/>
      <c r="I500" s="371">
        <f t="shared" si="6"/>
        <v>237417</v>
      </c>
    </row>
    <row r="501" spans="1:9" ht="13.5">
      <c r="A501" s="473" t="s">
        <v>516</v>
      </c>
      <c r="B501" s="275" t="s">
        <v>1165</v>
      </c>
      <c r="C501" s="275" t="s">
        <v>1063</v>
      </c>
      <c r="D501" s="275" t="s">
        <v>1063</v>
      </c>
      <c r="E501" s="289" t="s">
        <v>793</v>
      </c>
      <c r="F501" s="324" t="s">
        <v>517</v>
      </c>
      <c r="G501" s="476">
        <f>237417</f>
        <v>237417</v>
      </c>
      <c r="H501" s="442"/>
      <c r="I501" s="371">
        <f t="shared" si="6"/>
        <v>237417</v>
      </c>
    </row>
    <row r="502" spans="1:9" ht="13.5">
      <c r="A502" s="477" t="s">
        <v>794</v>
      </c>
      <c r="B502" s="275" t="s">
        <v>1165</v>
      </c>
      <c r="C502" s="275" t="s">
        <v>1063</v>
      </c>
      <c r="D502" s="275" t="s">
        <v>1063</v>
      </c>
      <c r="E502" s="289" t="s">
        <v>795</v>
      </c>
      <c r="F502" s="284"/>
      <c r="G502" s="476">
        <f>G503</f>
        <v>520743</v>
      </c>
      <c r="H502" s="442"/>
      <c r="I502" s="371">
        <f t="shared" si="6"/>
        <v>520743</v>
      </c>
    </row>
    <row r="503" spans="1:9" ht="13.5">
      <c r="A503" s="473" t="s">
        <v>516</v>
      </c>
      <c r="B503" s="275" t="s">
        <v>1165</v>
      </c>
      <c r="C503" s="275" t="s">
        <v>1063</v>
      </c>
      <c r="D503" s="275" t="s">
        <v>1063</v>
      </c>
      <c r="E503" s="289" t="s">
        <v>795</v>
      </c>
      <c r="F503" s="324" t="s">
        <v>517</v>
      </c>
      <c r="G503" s="282">
        <f>500331+20412</f>
        <v>520743</v>
      </c>
      <c r="H503" s="462"/>
      <c r="I503" s="371">
        <f t="shared" si="6"/>
        <v>520743</v>
      </c>
    </row>
    <row r="504" spans="1:9" ht="22.5" customHeight="1">
      <c r="A504" s="373" t="s">
        <v>796</v>
      </c>
      <c r="B504" s="275" t="s">
        <v>1165</v>
      </c>
      <c r="C504" s="275" t="s">
        <v>1063</v>
      </c>
      <c r="D504" s="275" t="s">
        <v>1063</v>
      </c>
      <c r="E504" s="289" t="s">
        <v>797</v>
      </c>
      <c r="F504" s="324"/>
      <c r="G504" s="476">
        <f>G505</f>
        <v>36000</v>
      </c>
      <c r="H504" s="442"/>
      <c r="I504" s="371">
        <f t="shared" si="6"/>
        <v>36000</v>
      </c>
    </row>
    <row r="505" spans="1:9" ht="15" customHeight="1">
      <c r="A505" s="473" t="s">
        <v>798</v>
      </c>
      <c r="B505" s="275" t="s">
        <v>1165</v>
      </c>
      <c r="C505" s="275" t="s">
        <v>1063</v>
      </c>
      <c r="D505" s="275" t="s">
        <v>1063</v>
      </c>
      <c r="E505" s="289" t="s">
        <v>799</v>
      </c>
      <c r="F505" s="324"/>
      <c r="G505" s="476">
        <f>G506</f>
        <v>36000</v>
      </c>
      <c r="H505" s="442"/>
      <c r="I505" s="371">
        <f t="shared" si="6"/>
        <v>36000</v>
      </c>
    </row>
    <row r="506" spans="1:9" ht="13.5">
      <c r="A506" s="473" t="s">
        <v>516</v>
      </c>
      <c r="B506" s="275" t="s">
        <v>1165</v>
      </c>
      <c r="C506" s="275" t="s">
        <v>1063</v>
      </c>
      <c r="D506" s="275" t="s">
        <v>1063</v>
      </c>
      <c r="E506" s="289" t="s">
        <v>799</v>
      </c>
      <c r="F506" s="324" t="s">
        <v>517</v>
      </c>
      <c r="G506" s="282">
        <f>36000</f>
        <v>36000</v>
      </c>
      <c r="H506" s="462"/>
      <c r="I506" s="371">
        <f t="shared" si="6"/>
        <v>36000</v>
      </c>
    </row>
    <row r="507" spans="1:9" ht="39.75" customHeight="1">
      <c r="A507" s="373" t="s">
        <v>800</v>
      </c>
      <c r="B507" s="275" t="s">
        <v>1165</v>
      </c>
      <c r="C507" s="275" t="s">
        <v>1063</v>
      </c>
      <c r="D507" s="275" t="s">
        <v>1063</v>
      </c>
      <c r="E507" s="289" t="s">
        <v>801</v>
      </c>
      <c r="F507" s="324"/>
      <c r="G507" s="282">
        <f>G508</f>
        <v>1399200</v>
      </c>
      <c r="H507" s="442">
        <f>H508</f>
        <v>1240802.39</v>
      </c>
      <c r="I507" s="371">
        <f t="shared" si="6"/>
        <v>2640002.3899999997</v>
      </c>
    </row>
    <row r="508" spans="1:9" ht="29.25" customHeight="1">
      <c r="A508" s="483" t="s">
        <v>520</v>
      </c>
      <c r="B508" s="275" t="s">
        <v>1165</v>
      </c>
      <c r="C508" s="275" t="s">
        <v>1063</v>
      </c>
      <c r="D508" s="275" t="s">
        <v>1063</v>
      </c>
      <c r="E508" s="289" t="s">
        <v>802</v>
      </c>
      <c r="F508" s="324"/>
      <c r="G508" s="282">
        <f>G509+G510+G511</f>
        <v>1399200</v>
      </c>
      <c r="H508" s="462">
        <f>H509+H510+H511</f>
        <v>1240802.39</v>
      </c>
      <c r="I508" s="371">
        <f t="shared" si="6"/>
        <v>2640002.3899999997</v>
      </c>
    </row>
    <row r="509" spans="1:9" ht="27.75" customHeight="1">
      <c r="A509" s="370" t="s">
        <v>803</v>
      </c>
      <c r="B509" s="275" t="s">
        <v>1165</v>
      </c>
      <c r="C509" s="275" t="s">
        <v>1063</v>
      </c>
      <c r="D509" s="275" t="s">
        <v>1063</v>
      </c>
      <c r="E509" s="289" t="s">
        <v>802</v>
      </c>
      <c r="F509" s="284" t="s">
        <v>523</v>
      </c>
      <c r="G509" s="282">
        <v>616000</v>
      </c>
      <c r="H509" s="462"/>
      <c r="I509" s="371">
        <f t="shared" si="6"/>
        <v>616000</v>
      </c>
    </row>
    <row r="510" spans="1:9" ht="29.25" customHeight="1">
      <c r="A510" s="343" t="s">
        <v>516</v>
      </c>
      <c r="B510" s="275" t="s">
        <v>1165</v>
      </c>
      <c r="C510" s="275" t="s">
        <v>1063</v>
      </c>
      <c r="D510" s="275" t="s">
        <v>1063</v>
      </c>
      <c r="E510" s="289" t="s">
        <v>802</v>
      </c>
      <c r="F510" s="324" t="s">
        <v>517</v>
      </c>
      <c r="G510" s="282">
        <f>123200+40000+200000+350000</f>
        <v>713200</v>
      </c>
      <c r="H510" s="462">
        <f>1231440+9362.39</f>
        <v>1240802.39</v>
      </c>
      <c r="I510" s="371">
        <f t="shared" si="6"/>
        <v>1954002.39</v>
      </c>
    </row>
    <row r="511" spans="1:9" ht="13.5">
      <c r="A511" s="373" t="s">
        <v>524</v>
      </c>
      <c r="B511" s="275" t="s">
        <v>1165</v>
      </c>
      <c r="C511" s="275" t="s">
        <v>1063</v>
      </c>
      <c r="D511" s="275" t="s">
        <v>1063</v>
      </c>
      <c r="E511" s="289" t="s">
        <v>802</v>
      </c>
      <c r="F511" s="324" t="s">
        <v>525</v>
      </c>
      <c r="G511" s="282">
        <v>70000</v>
      </c>
      <c r="H511" s="462"/>
      <c r="I511" s="371">
        <f t="shared" si="6"/>
        <v>70000</v>
      </c>
    </row>
    <row r="512" spans="1:9" ht="13.5">
      <c r="A512" s="370" t="s">
        <v>1113</v>
      </c>
      <c r="B512" s="275" t="s">
        <v>1165</v>
      </c>
      <c r="C512" s="275" t="s">
        <v>1063</v>
      </c>
      <c r="D512" s="275" t="s">
        <v>1079</v>
      </c>
      <c r="E512" s="275"/>
      <c r="F512" s="284"/>
      <c r="G512" s="282">
        <f>G513+G525</f>
        <v>9056395</v>
      </c>
      <c r="H512" s="282">
        <f>H513+H525</f>
        <v>25000</v>
      </c>
      <c r="I512" s="371">
        <f t="shared" si="6"/>
        <v>9081395</v>
      </c>
    </row>
    <row r="513" spans="1:9" ht="36" customHeight="1">
      <c r="A513" s="370" t="s">
        <v>611</v>
      </c>
      <c r="B513" s="275" t="s">
        <v>1165</v>
      </c>
      <c r="C513" s="275" t="s">
        <v>1063</v>
      </c>
      <c r="D513" s="275" t="s">
        <v>1079</v>
      </c>
      <c r="E513" s="275" t="s">
        <v>612</v>
      </c>
      <c r="F513" s="284"/>
      <c r="G513" s="282">
        <f>G514</f>
        <v>9056395</v>
      </c>
      <c r="H513" s="282">
        <f>H514</f>
        <v>25000</v>
      </c>
      <c r="I513" s="371">
        <f t="shared" si="6"/>
        <v>9081395</v>
      </c>
    </row>
    <row r="514" spans="1:9" ht="58.5" customHeight="1">
      <c r="A514" s="385" t="s">
        <v>677</v>
      </c>
      <c r="B514" s="275" t="s">
        <v>1165</v>
      </c>
      <c r="C514" s="443" t="s">
        <v>1063</v>
      </c>
      <c r="D514" s="443" t="s">
        <v>1079</v>
      </c>
      <c r="E514" s="443" t="s">
        <v>678</v>
      </c>
      <c r="F514" s="448"/>
      <c r="G514" s="446">
        <f>G515+G520</f>
        <v>9056395</v>
      </c>
      <c r="H514" s="446">
        <f>H515+H520</f>
        <v>25000</v>
      </c>
      <c r="I514" s="371">
        <f t="shared" si="6"/>
        <v>9081395</v>
      </c>
    </row>
    <row r="515" spans="1:9" ht="32.25" customHeight="1">
      <c r="A515" s="373" t="s">
        <v>679</v>
      </c>
      <c r="B515" s="275" t="s">
        <v>1165</v>
      </c>
      <c r="C515" s="275" t="s">
        <v>1063</v>
      </c>
      <c r="D515" s="275" t="s">
        <v>1079</v>
      </c>
      <c r="E515" s="275" t="s">
        <v>680</v>
      </c>
      <c r="F515" s="284"/>
      <c r="G515" s="282">
        <f>G516</f>
        <v>8833343</v>
      </c>
      <c r="H515" s="282">
        <f>H516</f>
        <v>25000</v>
      </c>
      <c r="I515" s="371">
        <f t="shared" si="6"/>
        <v>8858343</v>
      </c>
    </row>
    <row r="516" spans="1:9" ht="28.5" customHeight="1">
      <c r="A516" s="373" t="s">
        <v>520</v>
      </c>
      <c r="B516" s="275" t="s">
        <v>1165</v>
      </c>
      <c r="C516" s="275" t="s">
        <v>1063</v>
      </c>
      <c r="D516" s="275" t="s">
        <v>1079</v>
      </c>
      <c r="E516" s="275" t="s">
        <v>681</v>
      </c>
      <c r="F516" s="284"/>
      <c r="G516" s="282">
        <f>G517+G518+G519</f>
        <v>8833343</v>
      </c>
      <c r="H516" s="282">
        <f>H517+H518+H519</f>
        <v>25000</v>
      </c>
      <c r="I516" s="371">
        <f t="shared" si="6"/>
        <v>8858343</v>
      </c>
    </row>
    <row r="517" spans="1:9" ht="42.75" customHeight="1">
      <c r="A517" s="343" t="s">
        <v>522</v>
      </c>
      <c r="B517" s="275" t="s">
        <v>1165</v>
      </c>
      <c r="C517" s="275" t="s">
        <v>1063</v>
      </c>
      <c r="D517" s="275" t="s">
        <v>1079</v>
      </c>
      <c r="E517" s="275" t="s">
        <v>681</v>
      </c>
      <c r="F517" s="284" t="s">
        <v>523</v>
      </c>
      <c r="G517" s="282">
        <v>7573300</v>
      </c>
      <c r="H517" s="442"/>
      <c r="I517" s="371">
        <f t="shared" si="6"/>
        <v>7573300</v>
      </c>
    </row>
    <row r="518" spans="1:9" ht="26.25">
      <c r="A518" s="343" t="s">
        <v>516</v>
      </c>
      <c r="B518" s="275" t="s">
        <v>1165</v>
      </c>
      <c r="C518" s="275" t="s">
        <v>1063</v>
      </c>
      <c r="D518" s="275" t="s">
        <v>1079</v>
      </c>
      <c r="E518" s="275" t="s">
        <v>681</v>
      </c>
      <c r="F518" s="284" t="s">
        <v>517</v>
      </c>
      <c r="G518" s="282">
        <f>517200+35500+100000+467547+60000+7770+27875</f>
        <v>1215892</v>
      </c>
      <c r="H518" s="442">
        <f>25000</f>
        <v>25000</v>
      </c>
      <c r="I518" s="371">
        <f t="shared" si="6"/>
        <v>1240892</v>
      </c>
    </row>
    <row r="519" spans="1:9" ht="15.75" customHeight="1">
      <c r="A519" s="373" t="s">
        <v>524</v>
      </c>
      <c r="B519" s="275" t="s">
        <v>1165</v>
      </c>
      <c r="C519" s="275" t="s">
        <v>1063</v>
      </c>
      <c r="D519" s="275" t="s">
        <v>1079</v>
      </c>
      <c r="E519" s="275" t="s">
        <v>681</v>
      </c>
      <c r="F519" s="284" t="s">
        <v>525</v>
      </c>
      <c r="G519" s="282">
        <f>35314-1063+9900</f>
        <v>44151</v>
      </c>
      <c r="H519" s="442"/>
      <c r="I519" s="371">
        <f t="shared" si="6"/>
        <v>44151</v>
      </c>
    </row>
    <row r="520" spans="1:9" ht="29.25" customHeight="1">
      <c r="A520" s="373" t="s">
        <v>682</v>
      </c>
      <c r="B520" s="275" t="s">
        <v>1165</v>
      </c>
      <c r="C520" s="275" t="s">
        <v>1063</v>
      </c>
      <c r="D520" s="275" t="s">
        <v>1079</v>
      </c>
      <c r="E520" s="275" t="s">
        <v>683</v>
      </c>
      <c r="F520" s="284"/>
      <c r="G520" s="282">
        <f>G521+G523</f>
        <v>223052</v>
      </c>
      <c r="H520" s="442"/>
      <c r="I520" s="371">
        <f t="shared" si="6"/>
        <v>223052</v>
      </c>
    </row>
    <row r="521" spans="1:9" ht="34.5" customHeight="1">
      <c r="A521" s="409" t="s">
        <v>684</v>
      </c>
      <c r="B521" s="275" t="s">
        <v>1165</v>
      </c>
      <c r="C521" s="275" t="s">
        <v>1063</v>
      </c>
      <c r="D521" s="275" t="s">
        <v>1079</v>
      </c>
      <c r="E521" s="275" t="s">
        <v>685</v>
      </c>
      <c r="F521" s="284"/>
      <c r="G521" s="282">
        <f>G522</f>
        <v>223052</v>
      </c>
      <c r="H521" s="442"/>
      <c r="I521" s="371">
        <f t="shared" si="6"/>
        <v>223052</v>
      </c>
    </row>
    <row r="522" spans="1:9" ht="44.25" customHeight="1">
      <c r="A522" s="343" t="s">
        <v>522</v>
      </c>
      <c r="B522" s="275" t="s">
        <v>1165</v>
      </c>
      <c r="C522" s="275" t="s">
        <v>1063</v>
      </c>
      <c r="D522" s="275" t="s">
        <v>1079</v>
      </c>
      <c r="E522" s="275" t="s">
        <v>685</v>
      </c>
      <c r="F522" s="284" t="s">
        <v>523</v>
      </c>
      <c r="G522" s="282">
        <v>223052</v>
      </c>
      <c r="H522" s="442"/>
      <c r="I522" s="371">
        <f t="shared" si="6"/>
        <v>223052</v>
      </c>
    </row>
    <row r="523" spans="1:9" ht="13.5" hidden="1">
      <c r="A523" s="343" t="s">
        <v>655</v>
      </c>
      <c r="B523" s="275" t="s">
        <v>1165</v>
      </c>
      <c r="C523" s="275" t="s">
        <v>1063</v>
      </c>
      <c r="D523" s="275" t="s">
        <v>1079</v>
      </c>
      <c r="E523" s="275" t="s">
        <v>686</v>
      </c>
      <c r="F523" s="284"/>
      <c r="G523" s="282">
        <f>G524</f>
        <v>0</v>
      </c>
      <c r="H523" s="462"/>
      <c r="I523" s="371">
        <f t="shared" si="6"/>
        <v>0</v>
      </c>
    </row>
    <row r="524" spans="1:9" ht="26.25" hidden="1">
      <c r="A524" s="343" t="s">
        <v>516</v>
      </c>
      <c r="B524" s="275" t="s">
        <v>1165</v>
      </c>
      <c r="C524" s="275" t="s">
        <v>1063</v>
      </c>
      <c r="D524" s="275" t="s">
        <v>1079</v>
      </c>
      <c r="E524" s="275" t="s">
        <v>686</v>
      </c>
      <c r="F524" s="284" t="s">
        <v>517</v>
      </c>
      <c r="G524" s="282"/>
      <c r="H524" s="462"/>
      <c r="I524" s="371">
        <f t="shared" si="6"/>
        <v>0</v>
      </c>
    </row>
    <row r="525" spans="1:9" ht="26.25" hidden="1">
      <c r="A525" s="373" t="s">
        <v>1114</v>
      </c>
      <c r="B525" s="275" t="s">
        <v>1165</v>
      </c>
      <c r="C525" s="275" t="s">
        <v>1063</v>
      </c>
      <c r="D525" s="275" t="s">
        <v>1079</v>
      </c>
      <c r="E525" s="302" t="s">
        <v>1028</v>
      </c>
      <c r="F525" s="284"/>
      <c r="G525" s="282">
        <f>G526</f>
        <v>0</v>
      </c>
      <c r="H525" s="462"/>
      <c r="I525" s="371">
        <f t="shared" si="6"/>
        <v>0</v>
      </c>
    </row>
    <row r="526" spans="1:9" ht="26.25" customHeight="1" hidden="1">
      <c r="A526" s="373" t="s">
        <v>1029</v>
      </c>
      <c r="B526" s="275" t="s">
        <v>1165</v>
      </c>
      <c r="C526" s="275" t="s">
        <v>1063</v>
      </c>
      <c r="D526" s="275" t="s">
        <v>1079</v>
      </c>
      <c r="E526" s="302" t="s">
        <v>1030</v>
      </c>
      <c r="F526" s="284"/>
      <c r="G526" s="282">
        <f>G527</f>
        <v>0</v>
      </c>
      <c r="H526" s="462"/>
      <c r="I526" s="371">
        <f t="shared" si="6"/>
        <v>0</v>
      </c>
    </row>
    <row r="527" spans="1:9" ht="17.25" customHeight="1" hidden="1">
      <c r="A527" s="373" t="s">
        <v>1031</v>
      </c>
      <c r="B527" s="275" t="s">
        <v>1165</v>
      </c>
      <c r="C527" s="275" t="s">
        <v>1063</v>
      </c>
      <c r="D527" s="275" t="s">
        <v>1079</v>
      </c>
      <c r="E527" s="410" t="s">
        <v>1032</v>
      </c>
      <c r="F527" s="284"/>
      <c r="G527" s="282">
        <f>G528</f>
        <v>0</v>
      </c>
      <c r="H527" s="462"/>
      <c r="I527" s="371">
        <f t="shared" si="6"/>
        <v>0</v>
      </c>
    </row>
    <row r="528" spans="1:9" ht="26.25" hidden="1">
      <c r="A528" s="343" t="s">
        <v>516</v>
      </c>
      <c r="B528" s="275" t="s">
        <v>1165</v>
      </c>
      <c r="C528" s="275" t="s">
        <v>1063</v>
      </c>
      <c r="D528" s="275" t="s">
        <v>1079</v>
      </c>
      <c r="E528" s="302" t="s">
        <v>1032</v>
      </c>
      <c r="F528" s="284" t="s">
        <v>517</v>
      </c>
      <c r="G528" s="282"/>
      <c r="H528" s="462"/>
      <c r="I528" s="371">
        <f t="shared" si="6"/>
        <v>0</v>
      </c>
    </row>
    <row r="529" spans="1:9" ht="17.25" customHeight="1">
      <c r="A529" s="370" t="s">
        <v>1127</v>
      </c>
      <c r="B529" s="275" t="s">
        <v>1165</v>
      </c>
      <c r="C529" s="275">
        <v>10</v>
      </c>
      <c r="D529" s="275"/>
      <c r="E529" s="275"/>
      <c r="F529" s="284"/>
      <c r="G529" s="282">
        <f>G530+G542</f>
        <v>30500985</v>
      </c>
      <c r="H529" s="462"/>
      <c r="I529" s="371">
        <f t="shared" si="6"/>
        <v>30500985</v>
      </c>
    </row>
    <row r="530" spans="1:9" ht="16.5" customHeight="1">
      <c r="A530" s="370" t="s">
        <v>1133</v>
      </c>
      <c r="B530" s="275" t="s">
        <v>1165</v>
      </c>
      <c r="C530" s="275">
        <v>10</v>
      </c>
      <c r="D530" s="275" t="s">
        <v>1051</v>
      </c>
      <c r="E530" s="275"/>
      <c r="F530" s="284"/>
      <c r="G530" s="282">
        <f>G531</f>
        <v>19366008</v>
      </c>
      <c r="H530" s="462"/>
      <c r="I530" s="371">
        <f t="shared" si="6"/>
        <v>19366008</v>
      </c>
    </row>
    <row r="531" spans="1:9" ht="27.75" customHeight="1">
      <c r="A531" s="370" t="s">
        <v>611</v>
      </c>
      <c r="B531" s="275" t="s">
        <v>1165</v>
      </c>
      <c r="C531" s="275">
        <v>10</v>
      </c>
      <c r="D531" s="275" t="s">
        <v>1051</v>
      </c>
      <c r="E531" s="275" t="s">
        <v>612</v>
      </c>
      <c r="F531" s="284"/>
      <c r="G531" s="282">
        <f>G532+G537</f>
        <v>19366008</v>
      </c>
      <c r="H531" s="462"/>
      <c r="I531" s="371">
        <f t="shared" si="6"/>
        <v>19366008</v>
      </c>
    </row>
    <row r="532" spans="1:9" ht="45" customHeight="1">
      <c r="A532" s="406" t="s">
        <v>613</v>
      </c>
      <c r="B532" s="275" t="s">
        <v>1165</v>
      </c>
      <c r="C532" s="443">
        <v>10</v>
      </c>
      <c r="D532" s="443" t="s">
        <v>1051</v>
      </c>
      <c r="E532" s="443" t="s">
        <v>614</v>
      </c>
      <c r="F532" s="448"/>
      <c r="G532" s="446">
        <f>G533</f>
        <v>18966008</v>
      </c>
      <c r="H532" s="462"/>
      <c r="I532" s="371">
        <f t="shared" si="6"/>
        <v>18966008</v>
      </c>
    </row>
    <row r="533" spans="1:9" ht="28.5" customHeight="1">
      <c r="A533" s="373" t="s">
        <v>657</v>
      </c>
      <c r="B533" s="275" t="s">
        <v>1165</v>
      </c>
      <c r="C533" s="275">
        <v>10</v>
      </c>
      <c r="D533" s="275" t="s">
        <v>1051</v>
      </c>
      <c r="E533" s="275" t="s">
        <v>658</v>
      </c>
      <c r="F533" s="284"/>
      <c r="G533" s="282">
        <f>G534</f>
        <v>18966008</v>
      </c>
      <c r="H533" s="462"/>
      <c r="I533" s="371">
        <f t="shared" si="6"/>
        <v>18966008</v>
      </c>
    </row>
    <row r="534" spans="1:9" ht="53.25" customHeight="1">
      <c r="A534" s="375" t="s">
        <v>663</v>
      </c>
      <c r="B534" s="275" t="s">
        <v>1165</v>
      </c>
      <c r="C534" s="275">
        <v>10</v>
      </c>
      <c r="D534" s="275" t="s">
        <v>1051</v>
      </c>
      <c r="E534" s="275" t="s">
        <v>664</v>
      </c>
      <c r="F534" s="284"/>
      <c r="G534" s="282">
        <f>G535+G536</f>
        <v>18966008</v>
      </c>
      <c r="H534" s="462"/>
      <c r="I534" s="371">
        <f aca="true" t="shared" si="8" ref="I534:I601">G534+H534</f>
        <v>18966008</v>
      </c>
    </row>
    <row r="535" spans="1:9" ht="26.25" hidden="1">
      <c r="A535" s="343" t="s">
        <v>516</v>
      </c>
      <c r="B535" s="275" t="s">
        <v>1165</v>
      </c>
      <c r="C535" s="275">
        <v>10</v>
      </c>
      <c r="D535" s="275" t="s">
        <v>1051</v>
      </c>
      <c r="E535" s="275" t="s">
        <v>664</v>
      </c>
      <c r="F535" s="284" t="s">
        <v>517</v>
      </c>
      <c r="G535" s="282"/>
      <c r="H535" s="462"/>
      <c r="I535" s="371">
        <f>G535+H535</f>
        <v>0</v>
      </c>
    </row>
    <row r="536" spans="1:9" ht="19.5" customHeight="1">
      <c r="A536" s="415" t="s">
        <v>550</v>
      </c>
      <c r="B536" s="275" t="s">
        <v>1165</v>
      </c>
      <c r="C536" s="275">
        <v>10</v>
      </c>
      <c r="D536" s="275" t="s">
        <v>1051</v>
      </c>
      <c r="E536" s="275" t="s">
        <v>664</v>
      </c>
      <c r="F536" s="284" t="s">
        <v>551</v>
      </c>
      <c r="G536" s="282">
        <v>18966008</v>
      </c>
      <c r="H536" s="462"/>
      <c r="I536" s="371">
        <f t="shared" si="8"/>
        <v>18966008</v>
      </c>
    </row>
    <row r="537" spans="1:9" ht="57.75" customHeight="1">
      <c r="A537" s="343" t="s">
        <v>665</v>
      </c>
      <c r="B537" s="275" t="s">
        <v>1165</v>
      </c>
      <c r="C537" s="443">
        <v>10</v>
      </c>
      <c r="D537" s="443" t="s">
        <v>1051</v>
      </c>
      <c r="E537" s="443" t="s">
        <v>666</v>
      </c>
      <c r="F537" s="448"/>
      <c r="G537" s="446">
        <f>G538</f>
        <v>400000</v>
      </c>
      <c r="H537" s="462"/>
      <c r="I537" s="371">
        <f>G537+H537</f>
        <v>400000</v>
      </c>
    </row>
    <row r="538" spans="1:9" ht="29.25" customHeight="1">
      <c r="A538" s="416" t="s">
        <v>673</v>
      </c>
      <c r="B538" s="275" t="s">
        <v>1165</v>
      </c>
      <c r="C538" s="275">
        <v>10</v>
      </c>
      <c r="D538" s="275" t="s">
        <v>1051</v>
      </c>
      <c r="E538" s="275" t="s">
        <v>674</v>
      </c>
      <c r="F538" s="284"/>
      <c r="G538" s="282">
        <f>G539</f>
        <v>400000</v>
      </c>
      <c r="H538" s="442"/>
      <c r="I538" s="371">
        <f>G538+H538</f>
        <v>400000</v>
      </c>
    </row>
    <row r="539" spans="1:9" ht="52.5" customHeight="1">
      <c r="A539" s="401" t="s">
        <v>675</v>
      </c>
      <c r="B539" s="275" t="s">
        <v>1165</v>
      </c>
      <c r="C539" s="275">
        <v>10</v>
      </c>
      <c r="D539" s="275" t="s">
        <v>1051</v>
      </c>
      <c r="E539" s="275" t="s">
        <v>676</v>
      </c>
      <c r="F539" s="284"/>
      <c r="G539" s="282">
        <f>G541</f>
        <v>400000</v>
      </c>
      <c r="H539" s="442"/>
      <c r="I539" s="371">
        <f>G539+H539</f>
        <v>400000</v>
      </c>
    </row>
    <row r="540" spans="1:9" ht="26.25" hidden="1">
      <c r="A540" s="343" t="s">
        <v>516</v>
      </c>
      <c r="B540" s="275" t="s">
        <v>1165</v>
      </c>
      <c r="C540" s="275">
        <v>10</v>
      </c>
      <c r="D540" s="275" t="s">
        <v>1051</v>
      </c>
      <c r="E540" s="275" t="s">
        <v>676</v>
      </c>
      <c r="F540" s="284" t="s">
        <v>517</v>
      </c>
      <c r="G540" s="282"/>
      <c r="H540" s="442"/>
      <c r="I540" s="371">
        <f>G540+H540</f>
        <v>0</v>
      </c>
    </row>
    <row r="541" spans="1:9" ht="19.5" customHeight="1">
      <c r="A541" s="415" t="s">
        <v>550</v>
      </c>
      <c r="B541" s="275" t="s">
        <v>1165</v>
      </c>
      <c r="C541" s="275">
        <v>10</v>
      </c>
      <c r="D541" s="275" t="s">
        <v>1051</v>
      </c>
      <c r="E541" s="275" t="s">
        <v>676</v>
      </c>
      <c r="F541" s="284" t="s">
        <v>551</v>
      </c>
      <c r="G541" s="325">
        <v>400000</v>
      </c>
      <c r="H541" s="442"/>
      <c r="I541" s="371">
        <f>G541+H541</f>
        <v>400000</v>
      </c>
    </row>
    <row r="542" spans="1:9" ht="19.5" customHeight="1">
      <c r="A542" s="370" t="s">
        <v>1135</v>
      </c>
      <c r="B542" s="275" t="s">
        <v>1165</v>
      </c>
      <c r="C542" s="275">
        <v>10</v>
      </c>
      <c r="D542" s="275" t="s">
        <v>1054</v>
      </c>
      <c r="E542" s="275"/>
      <c r="F542" s="284"/>
      <c r="G542" s="282">
        <f>G548+G543</f>
        <v>11134977</v>
      </c>
      <c r="H542" s="442"/>
      <c r="I542" s="371">
        <f t="shared" si="8"/>
        <v>11134977</v>
      </c>
    </row>
    <row r="543" spans="1:9" ht="47.25" customHeight="1">
      <c r="A543" s="370" t="s">
        <v>1068</v>
      </c>
      <c r="B543" s="275" t="s">
        <v>1165</v>
      </c>
      <c r="C543" s="275">
        <v>10</v>
      </c>
      <c r="D543" s="275" t="s">
        <v>1054</v>
      </c>
      <c r="E543" s="309" t="s">
        <v>556</v>
      </c>
      <c r="F543" s="284"/>
      <c r="G543" s="282">
        <f>G544</f>
        <v>9054167</v>
      </c>
      <c r="H543" s="442"/>
      <c r="I543" s="371">
        <f t="shared" si="8"/>
        <v>9054167</v>
      </c>
    </row>
    <row r="544" spans="1:9" ht="58.5" customHeight="1">
      <c r="A544" s="386" t="s">
        <v>579</v>
      </c>
      <c r="B544" s="275" t="s">
        <v>1165</v>
      </c>
      <c r="C544" s="275">
        <v>10</v>
      </c>
      <c r="D544" s="275" t="s">
        <v>1054</v>
      </c>
      <c r="E544" s="275" t="s">
        <v>580</v>
      </c>
      <c r="F544" s="284"/>
      <c r="G544" s="282">
        <f>G546</f>
        <v>9054167</v>
      </c>
      <c r="H544" s="442"/>
      <c r="I544" s="371">
        <f t="shared" si="8"/>
        <v>9054167</v>
      </c>
    </row>
    <row r="545" spans="1:9" ht="40.5" customHeight="1">
      <c r="A545" s="373" t="s">
        <v>581</v>
      </c>
      <c r="B545" s="275" t="s">
        <v>1165</v>
      </c>
      <c r="C545" s="275">
        <v>10</v>
      </c>
      <c r="D545" s="275" t="s">
        <v>1054</v>
      </c>
      <c r="E545" s="275" t="s">
        <v>582</v>
      </c>
      <c r="F545" s="284"/>
      <c r="G545" s="282">
        <f>G546</f>
        <v>9054167</v>
      </c>
      <c r="H545" s="442"/>
      <c r="I545" s="371">
        <f t="shared" si="8"/>
        <v>9054167</v>
      </c>
    </row>
    <row r="546" spans="1:9" ht="30.75" customHeight="1">
      <c r="A546" s="372" t="s">
        <v>583</v>
      </c>
      <c r="B546" s="275" t="s">
        <v>1165</v>
      </c>
      <c r="C546" s="275">
        <v>10</v>
      </c>
      <c r="D546" s="275" t="s">
        <v>1054</v>
      </c>
      <c r="E546" s="275" t="s">
        <v>584</v>
      </c>
      <c r="F546" s="284"/>
      <c r="G546" s="282">
        <f>G547</f>
        <v>9054167</v>
      </c>
      <c r="H546" s="442"/>
      <c r="I546" s="371">
        <f t="shared" si="8"/>
        <v>9054167</v>
      </c>
    </row>
    <row r="547" spans="1:9" ht="19.5" customHeight="1">
      <c r="A547" s="415" t="s">
        <v>550</v>
      </c>
      <c r="B547" s="275" t="s">
        <v>1165</v>
      </c>
      <c r="C547" s="275">
        <v>10</v>
      </c>
      <c r="D547" s="275" t="s">
        <v>1054</v>
      </c>
      <c r="E547" s="275" t="s">
        <v>584</v>
      </c>
      <c r="F547" s="284" t="s">
        <v>551</v>
      </c>
      <c r="G547" s="282">
        <v>9054167</v>
      </c>
      <c r="H547" s="442"/>
      <c r="I547" s="371">
        <f t="shared" si="8"/>
        <v>9054167</v>
      </c>
    </row>
    <row r="548" spans="1:9" ht="32.25" customHeight="1">
      <c r="A548" s="370" t="s">
        <v>1136</v>
      </c>
      <c r="B548" s="275" t="s">
        <v>1165</v>
      </c>
      <c r="C548" s="275">
        <v>10</v>
      </c>
      <c r="D548" s="275" t="s">
        <v>1054</v>
      </c>
      <c r="E548" s="309" t="s">
        <v>612</v>
      </c>
      <c r="F548" s="284"/>
      <c r="G548" s="282">
        <f>G549</f>
        <v>2080810</v>
      </c>
      <c r="H548" s="442"/>
      <c r="I548" s="371">
        <f t="shared" si="8"/>
        <v>2080810</v>
      </c>
    </row>
    <row r="549" spans="1:9" ht="48.75" customHeight="1">
      <c r="A549" s="406" t="s">
        <v>613</v>
      </c>
      <c r="B549" s="275" t="s">
        <v>1165</v>
      </c>
      <c r="C549" s="275">
        <v>10</v>
      </c>
      <c r="D549" s="275" t="s">
        <v>1054</v>
      </c>
      <c r="E549" s="309" t="s">
        <v>614</v>
      </c>
      <c r="F549" s="284"/>
      <c r="G549" s="282">
        <f>G551</f>
        <v>2080810</v>
      </c>
      <c r="H549" s="442"/>
      <c r="I549" s="371">
        <f t="shared" si="8"/>
        <v>2080810</v>
      </c>
    </row>
    <row r="550" spans="1:9" ht="29.25" customHeight="1">
      <c r="A550" s="373" t="s">
        <v>615</v>
      </c>
      <c r="B550" s="275" t="s">
        <v>1165</v>
      </c>
      <c r="C550" s="275">
        <v>10</v>
      </c>
      <c r="D550" s="275" t="s">
        <v>1054</v>
      </c>
      <c r="E550" s="309" t="s">
        <v>616</v>
      </c>
      <c r="F550" s="284"/>
      <c r="G550" s="282">
        <f>G551</f>
        <v>2080810</v>
      </c>
      <c r="H550" s="442"/>
      <c r="I550" s="371">
        <f t="shared" si="8"/>
        <v>2080810</v>
      </c>
    </row>
    <row r="551" spans="1:9" ht="14.25" customHeight="1">
      <c r="A551" s="484" t="s">
        <v>617</v>
      </c>
      <c r="B551" s="275" t="s">
        <v>1165</v>
      </c>
      <c r="C551" s="275">
        <v>10</v>
      </c>
      <c r="D551" s="275" t="s">
        <v>1054</v>
      </c>
      <c r="E551" s="309" t="s">
        <v>618</v>
      </c>
      <c r="F551" s="284"/>
      <c r="G551" s="282">
        <f>G553+G552</f>
        <v>2080810</v>
      </c>
      <c r="H551" s="442"/>
      <c r="I551" s="371">
        <f t="shared" si="8"/>
        <v>2080810</v>
      </c>
    </row>
    <row r="552" spans="1:9" ht="28.5" customHeight="1" hidden="1">
      <c r="A552" s="473" t="s">
        <v>516</v>
      </c>
      <c r="B552" s="275" t="s">
        <v>1165</v>
      </c>
      <c r="C552" s="275">
        <v>10</v>
      </c>
      <c r="D552" s="275" t="s">
        <v>1054</v>
      </c>
      <c r="E552" s="309" t="s">
        <v>618</v>
      </c>
      <c r="F552" s="284" t="s">
        <v>517</v>
      </c>
      <c r="G552" s="282"/>
      <c r="H552" s="442"/>
      <c r="I552" s="371">
        <f t="shared" si="8"/>
        <v>0</v>
      </c>
    </row>
    <row r="553" spans="1:9" ht="16.5" customHeight="1">
      <c r="A553" s="415" t="s">
        <v>550</v>
      </c>
      <c r="B553" s="275" t="s">
        <v>1165</v>
      </c>
      <c r="C553" s="275">
        <v>10</v>
      </c>
      <c r="D553" s="275" t="s">
        <v>1054</v>
      </c>
      <c r="E553" s="309" t="s">
        <v>618</v>
      </c>
      <c r="F553" s="284" t="s">
        <v>551</v>
      </c>
      <c r="G553" s="282">
        <v>2080810</v>
      </c>
      <c r="H553" s="442"/>
      <c r="I553" s="371">
        <f t="shared" si="8"/>
        <v>2080810</v>
      </c>
    </row>
    <row r="554" spans="1:9" ht="33.75" customHeight="1">
      <c r="A554" s="467" t="s">
        <v>1170</v>
      </c>
      <c r="B554" s="275" t="s">
        <v>1171</v>
      </c>
      <c r="C554" s="275"/>
      <c r="D554" s="275"/>
      <c r="E554" s="275"/>
      <c r="F554" s="284"/>
      <c r="G554" s="282">
        <f>G562+G574+G616+G555</f>
        <v>55101720.04</v>
      </c>
      <c r="H554" s="442">
        <f>H562+H574+H616+H555</f>
        <v>1671790.33</v>
      </c>
      <c r="I554" s="371">
        <f t="shared" si="8"/>
        <v>56773510.37</v>
      </c>
    </row>
    <row r="555" spans="1:9" ht="13.5" hidden="1">
      <c r="A555" s="370" t="s">
        <v>1080</v>
      </c>
      <c r="B555" s="275" t="s">
        <v>1171</v>
      </c>
      <c r="C555" s="275" t="s">
        <v>1054</v>
      </c>
      <c r="D555" s="275"/>
      <c r="E555" s="275"/>
      <c r="F555" s="284"/>
      <c r="G555" s="282">
        <f>G556</f>
        <v>0</v>
      </c>
      <c r="H555" s="442">
        <f>H556</f>
        <v>0</v>
      </c>
      <c r="I555" s="371">
        <f t="shared" si="8"/>
        <v>0</v>
      </c>
    </row>
    <row r="556" spans="1:9" ht="13.5" hidden="1">
      <c r="A556" s="370" t="s">
        <v>1084</v>
      </c>
      <c r="B556" s="275" t="s">
        <v>1171</v>
      </c>
      <c r="C556" s="275" t="s">
        <v>1054</v>
      </c>
      <c r="D556" s="275" t="s">
        <v>1085</v>
      </c>
      <c r="E556" s="275"/>
      <c r="F556" s="284"/>
      <c r="G556" s="282">
        <f>G557</f>
        <v>0</v>
      </c>
      <c r="H556" s="442"/>
      <c r="I556" s="371">
        <f t="shared" si="8"/>
        <v>0</v>
      </c>
    </row>
    <row r="557" spans="1:9" ht="54" customHeight="1" hidden="1">
      <c r="A557" s="399" t="s">
        <v>697</v>
      </c>
      <c r="B557" s="275" t="s">
        <v>1171</v>
      </c>
      <c r="C557" s="275" t="s">
        <v>1054</v>
      </c>
      <c r="D557" s="275" t="s">
        <v>1085</v>
      </c>
      <c r="E557" s="400" t="s">
        <v>698</v>
      </c>
      <c r="F557" s="284"/>
      <c r="G557" s="282">
        <f>G558</f>
        <v>0</v>
      </c>
      <c r="H557" s="442"/>
      <c r="I557" s="371">
        <f t="shared" si="8"/>
        <v>0</v>
      </c>
    </row>
    <row r="558" spans="1:9" ht="75.75" customHeight="1" hidden="1">
      <c r="A558" s="386" t="s">
        <v>699</v>
      </c>
      <c r="B558" s="275" t="s">
        <v>1171</v>
      </c>
      <c r="C558" s="275" t="s">
        <v>1054</v>
      </c>
      <c r="D558" s="275" t="s">
        <v>1085</v>
      </c>
      <c r="E558" s="400" t="s">
        <v>700</v>
      </c>
      <c r="F558" s="284"/>
      <c r="G558" s="282">
        <f>G560</f>
        <v>0</v>
      </c>
      <c r="H558" s="442"/>
      <c r="I558" s="371">
        <f t="shared" si="8"/>
        <v>0</v>
      </c>
    </row>
    <row r="559" spans="1:9" ht="27" customHeight="1" hidden="1">
      <c r="A559" s="373" t="s">
        <v>701</v>
      </c>
      <c r="B559" s="275" t="s">
        <v>1171</v>
      </c>
      <c r="C559" s="275" t="s">
        <v>1054</v>
      </c>
      <c r="D559" s="275" t="s">
        <v>1085</v>
      </c>
      <c r="E559" s="400" t="s">
        <v>702</v>
      </c>
      <c r="F559" s="284"/>
      <c r="G559" s="282"/>
      <c r="H559" s="442"/>
      <c r="I559" s="371">
        <f>I560</f>
        <v>0</v>
      </c>
    </row>
    <row r="560" spans="1:9" ht="15" hidden="1">
      <c r="A560" s="367" t="s">
        <v>703</v>
      </c>
      <c r="B560" s="275" t="s">
        <v>1171</v>
      </c>
      <c r="C560" s="275" t="s">
        <v>1054</v>
      </c>
      <c r="D560" s="275" t="s">
        <v>1085</v>
      </c>
      <c r="E560" s="400" t="s">
        <v>704</v>
      </c>
      <c r="F560" s="284"/>
      <c r="G560" s="282">
        <f>G561</f>
        <v>0</v>
      </c>
      <c r="H560" s="442"/>
      <c r="I560" s="371">
        <f>G560+H560</f>
        <v>0</v>
      </c>
    </row>
    <row r="561" spans="1:9" ht="28.5" customHeight="1" hidden="1">
      <c r="A561" s="473" t="s">
        <v>516</v>
      </c>
      <c r="B561" s="275" t="s">
        <v>1171</v>
      </c>
      <c r="C561" s="275" t="s">
        <v>1054</v>
      </c>
      <c r="D561" s="275" t="s">
        <v>1085</v>
      </c>
      <c r="E561" s="400" t="s">
        <v>704</v>
      </c>
      <c r="F561" s="284" t="s">
        <v>517</v>
      </c>
      <c r="G561" s="282"/>
      <c r="H561" s="442"/>
      <c r="I561" s="371">
        <f>G561+H561</f>
        <v>0</v>
      </c>
    </row>
    <row r="562" spans="1:9" ht="15" customHeight="1">
      <c r="A562" s="370" t="s">
        <v>1101</v>
      </c>
      <c r="B562" s="275" t="s">
        <v>1171</v>
      </c>
      <c r="C562" s="275" t="s">
        <v>1063</v>
      </c>
      <c r="D562" s="275"/>
      <c r="E562" s="275"/>
      <c r="F562" s="284"/>
      <c r="G562" s="282">
        <f aca="true" t="shared" si="9" ref="G562:H564">G563</f>
        <v>19823985.04</v>
      </c>
      <c r="H562" s="442">
        <f t="shared" si="9"/>
        <v>0</v>
      </c>
      <c r="I562" s="371">
        <f t="shared" si="8"/>
        <v>19823985.04</v>
      </c>
    </row>
    <row r="563" spans="1:9" s="253" customFormat="1" ht="15">
      <c r="A563" s="471" t="s">
        <v>1111</v>
      </c>
      <c r="B563" s="275" t="s">
        <v>1171</v>
      </c>
      <c r="C563" s="275" t="s">
        <v>1063</v>
      </c>
      <c r="D563" s="275" t="s">
        <v>1051</v>
      </c>
      <c r="E563" s="275"/>
      <c r="F563" s="284"/>
      <c r="G563" s="282">
        <f t="shared" si="9"/>
        <v>19823985.04</v>
      </c>
      <c r="H563" s="442">
        <f t="shared" si="9"/>
        <v>0</v>
      </c>
      <c r="I563" s="371">
        <f t="shared" si="8"/>
        <v>19823985.04</v>
      </c>
    </row>
    <row r="564" spans="1:9" ht="42" customHeight="1">
      <c r="A564" s="370" t="s">
        <v>611</v>
      </c>
      <c r="B564" s="275" t="s">
        <v>1171</v>
      </c>
      <c r="C564" s="275" t="s">
        <v>1063</v>
      </c>
      <c r="D564" s="275" t="s">
        <v>1051</v>
      </c>
      <c r="E564" s="275" t="s">
        <v>612</v>
      </c>
      <c r="F564" s="284"/>
      <c r="G564" s="282">
        <f t="shared" si="9"/>
        <v>19823985.04</v>
      </c>
      <c r="H564" s="442">
        <f t="shared" si="9"/>
        <v>0</v>
      </c>
      <c r="I564" s="371">
        <f t="shared" si="8"/>
        <v>19823985.04</v>
      </c>
    </row>
    <row r="565" spans="1:9" ht="45" customHeight="1">
      <c r="A565" s="343" t="s">
        <v>665</v>
      </c>
      <c r="B565" s="275" t="s">
        <v>1171</v>
      </c>
      <c r="C565" s="275" t="s">
        <v>1063</v>
      </c>
      <c r="D565" s="275" t="s">
        <v>1051</v>
      </c>
      <c r="E565" s="275" t="s">
        <v>666</v>
      </c>
      <c r="F565" s="284"/>
      <c r="G565" s="282">
        <f>G566</f>
        <v>19823985.04</v>
      </c>
      <c r="H565" s="442">
        <f>H566</f>
        <v>0</v>
      </c>
      <c r="I565" s="371">
        <f t="shared" si="8"/>
        <v>19823985.04</v>
      </c>
    </row>
    <row r="566" spans="1:9" ht="18.75" customHeight="1">
      <c r="A566" s="373" t="s">
        <v>670</v>
      </c>
      <c r="B566" s="275" t="s">
        <v>1171</v>
      </c>
      <c r="C566" s="275" t="s">
        <v>1063</v>
      </c>
      <c r="D566" s="275" t="s">
        <v>1051</v>
      </c>
      <c r="E566" s="275" t="s">
        <v>671</v>
      </c>
      <c r="F566" s="284"/>
      <c r="G566" s="282">
        <f>G567</f>
        <v>19823985.04</v>
      </c>
      <c r="H566" s="442">
        <f>H567</f>
        <v>0</v>
      </c>
      <c r="I566" s="371">
        <f t="shared" si="8"/>
        <v>19823985.04</v>
      </c>
    </row>
    <row r="567" spans="1:9" ht="29.25" customHeight="1">
      <c r="A567" s="373" t="s">
        <v>520</v>
      </c>
      <c r="B567" s="275" t="s">
        <v>1171</v>
      </c>
      <c r="C567" s="275" t="s">
        <v>1063</v>
      </c>
      <c r="D567" s="275" t="s">
        <v>1051</v>
      </c>
      <c r="E567" s="275" t="s">
        <v>672</v>
      </c>
      <c r="F567" s="284"/>
      <c r="G567" s="282">
        <f>G568+G569+G570</f>
        <v>19823985.04</v>
      </c>
      <c r="H567" s="442">
        <f>H568+H569+H570</f>
        <v>0</v>
      </c>
      <c r="I567" s="371">
        <f t="shared" si="8"/>
        <v>19823985.04</v>
      </c>
    </row>
    <row r="568" spans="1:9" ht="41.25" customHeight="1">
      <c r="A568" s="343" t="s">
        <v>522</v>
      </c>
      <c r="B568" s="275" t="s">
        <v>1171</v>
      </c>
      <c r="C568" s="275" t="s">
        <v>1063</v>
      </c>
      <c r="D568" s="275" t="s">
        <v>1051</v>
      </c>
      <c r="E568" s="275" t="s">
        <v>672</v>
      </c>
      <c r="F568" s="284" t="s">
        <v>523</v>
      </c>
      <c r="G568" s="282">
        <f>17937600+270967</f>
        <v>18208567</v>
      </c>
      <c r="H568" s="442"/>
      <c r="I568" s="371">
        <f t="shared" si="8"/>
        <v>18208567</v>
      </c>
    </row>
    <row r="569" spans="1:9" ht="27" customHeight="1">
      <c r="A569" s="343" t="s">
        <v>516</v>
      </c>
      <c r="B569" s="275" t="s">
        <v>1171</v>
      </c>
      <c r="C569" s="275" t="s">
        <v>1063</v>
      </c>
      <c r="D569" s="275" t="s">
        <v>1051</v>
      </c>
      <c r="E569" s="275" t="s">
        <v>672</v>
      </c>
      <c r="F569" s="284" t="s">
        <v>517</v>
      </c>
      <c r="G569" s="282">
        <f>688100+61300+400700.04+4900+370000+30000+14718</f>
        <v>1569718.04</v>
      </c>
      <c r="H569" s="442"/>
      <c r="I569" s="371">
        <f t="shared" si="8"/>
        <v>1569718.04</v>
      </c>
    </row>
    <row r="570" spans="1:9" ht="15" customHeight="1">
      <c r="A570" s="373" t="s">
        <v>524</v>
      </c>
      <c r="B570" s="275" t="s">
        <v>1171</v>
      </c>
      <c r="C570" s="275" t="s">
        <v>1063</v>
      </c>
      <c r="D570" s="275" t="s">
        <v>1051</v>
      </c>
      <c r="E570" s="275" t="s">
        <v>672</v>
      </c>
      <c r="F570" s="284" t="s">
        <v>525</v>
      </c>
      <c r="G570" s="282">
        <v>45700</v>
      </c>
      <c r="H570" s="442"/>
      <c r="I570" s="371">
        <f t="shared" si="8"/>
        <v>45700</v>
      </c>
    </row>
    <row r="571" spans="1:9" ht="15" customHeight="1" hidden="1">
      <c r="A571" s="373" t="s">
        <v>1172</v>
      </c>
      <c r="B571" s="275" t="s">
        <v>1171</v>
      </c>
      <c r="C571" s="275" t="s">
        <v>1063</v>
      </c>
      <c r="D571" s="275" t="s">
        <v>1049</v>
      </c>
      <c r="E571" s="275" t="s">
        <v>1173</v>
      </c>
      <c r="F571" s="284"/>
      <c r="G571" s="282">
        <f>G573+G572</f>
        <v>0</v>
      </c>
      <c r="H571" s="442">
        <f>H573+H572</f>
        <v>0</v>
      </c>
      <c r="I571" s="371">
        <f t="shared" si="8"/>
        <v>0</v>
      </c>
    </row>
    <row r="572" spans="1:9" ht="39.75" customHeight="1" hidden="1">
      <c r="A572" s="343" t="s">
        <v>522</v>
      </c>
      <c r="B572" s="275" t="s">
        <v>1171</v>
      </c>
      <c r="C572" s="275" t="s">
        <v>1063</v>
      </c>
      <c r="D572" s="275" t="s">
        <v>1049</v>
      </c>
      <c r="E572" s="275" t="s">
        <v>1173</v>
      </c>
      <c r="F572" s="284" t="s">
        <v>523</v>
      </c>
      <c r="G572" s="282"/>
      <c r="H572" s="442"/>
      <c r="I572" s="371">
        <f t="shared" si="8"/>
        <v>0</v>
      </c>
    </row>
    <row r="573" spans="1:9" ht="15" customHeight="1" hidden="1">
      <c r="A573" s="343" t="s">
        <v>554</v>
      </c>
      <c r="B573" s="275" t="s">
        <v>1171</v>
      </c>
      <c r="C573" s="275" t="s">
        <v>1063</v>
      </c>
      <c r="D573" s="275" t="s">
        <v>1049</v>
      </c>
      <c r="E573" s="275" t="s">
        <v>1173</v>
      </c>
      <c r="F573" s="284" t="s">
        <v>517</v>
      </c>
      <c r="G573" s="282"/>
      <c r="H573" s="442"/>
      <c r="I573" s="371">
        <f t="shared" si="8"/>
        <v>0</v>
      </c>
    </row>
    <row r="574" spans="1:9" ht="15.75" customHeight="1">
      <c r="A574" s="370" t="s">
        <v>1115</v>
      </c>
      <c r="B574" s="275" t="s">
        <v>1171</v>
      </c>
      <c r="C574" s="275" t="s">
        <v>1082</v>
      </c>
      <c r="D574" s="275"/>
      <c r="E574" s="275"/>
      <c r="F574" s="284"/>
      <c r="G574" s="282">
        <f>G575+G605</f>
        <v>32601828</v>
      </c>
      <c r="H574" s="442">
        <f>H575+H605</f>
        <v>1671790.33</v>
      </c>
      <c r="I574" s="371">
        <f t="shared" si="8"/>
        <v>34273618.33</v>
      </c>
    </row>
    <row r="575" spans="1:9" ht="13.5">
      <c r="A575" s="370" t="s">
        <v>1174</v>
      </c>
      <c r="B575" s="275" t="s">
        <v>1171</v>
      </c>
      <c r="C575" s="275" t="s">
        <v>1082</v>
      </c>
      <c r="D575" s="275" t="s">
        <v>1047</v>
      </c>
      <c r="E575" s="275"/>
      <c r="F575" s="284"/>
      <c r="G575" s="282">
        <f>G576+G590+G601</f>
        <v>28591656</v>
      </c>
      <c r="H575" s="282">
        <f>H576+H590+H601</f>
        <v>1671790.33</v>
      </c>
      <c r="I575" s="371">
        <f t="shared" si="8"/>
        <v>30263446.33</v>
      </c>
    </row>
    <row r="576" spans="1:9" ht="31.5" customHeight="1">
      <c r="A576" s="370" t="s">
        <v>508</v>
      </c>
      <c r="B576" s="275" t="s">
        <v>1171</v>
      </c>
      <c r="C576" s="275" t="s">
        <v>1082</v>
      </c>
      <c r="D576" s="275" t="s">
        <v>1047</v>
      </c>
      <c r="E576" s="275" t="s">
        <v>1117</v>
      </c>
      <c r="F576" s="284"/>
      <c r="G576" s="282">
        <f>G577+G595</f>
        <v>28486656</v>
      </c>
      <c r="H576" s="442">
        <f>H577+H595</f>
        <v>1671790.33</v>
      </c>
      <c r="I576" s="371">
        <f t="shared" si="8"/>
        <v>30158446.33</v>
      </c>
    </row>
    <row r="577" spans="1:9" s="308" customFormat="1" ht="45.75" customHeight="1">
      <c r="A577" s="370" t="s">
        <v>510</v>
      </c>
      <c r="B577" s="275" t="s">
        <v>1171</v>
      </c>
      <c r="C577" s="443" t="s">
        <v>1118</v>
      </c>
      <c r="D577" s="443" t="s">
        <v>1047</v>
      </c>
      <c r="E577" s="443" t="s">
        <v>511</v>
      </c>
      <c r="F577" s="448"/>
      <c r="G577" s="446">
        <f>G578</f>
        <v>17900195</v>
      </c>
      <c r="H577" s="446">
        <f>H578</f>
        <v>1671790.33</v>
      </c>
      <c r="I577" s="371">
        <f t="shared" si="8"/>
        <v>19571985.33</v>
      </c>
    </row>
    <row r="578" spans="1:9" ht="39.75" customHeight="1">
      <c r="A578" s="376" t="s">
        <v>512</v>
      </c>
      <c r="B578" s="275" t="s">
        <v>1171</v>
      </c>
      <c r="C578" s="275" t="s">
        <v>1118</v>
      </c>
      <c r="D578" s="275" t="s">
        <v>1047</v>
      </c>
      <c r="E578" s="275" t="s">
        <v>513</v>
      </c>
      <c r="F578" s="284"/>
      <c r="G578" s="282">
        <f>G579+G583+G581+G588</f>
        <v>17900195</v>
      </c>
      <c r="H578" s="282">
        <f>H579+H583+H581+H588</f>
        <v>1671790.33</v>
      </c>
      <c r="I578" s="371">
        <f t="shared" si="8"/>
        <v>19571985.33</v>
      </c>
    </row>
    <row r="579" spans="1:9" ht="13.5" hidden="1">
      <c r="A579" s="373" t="s">
        <v>514</v>
      </c>
      <c r="B579" s="275" t="s">
        <v>1171</v>
      </c>
      <c r="C579" s="275" t="s">
        <v>1118</v>
      </c>
      <c r="D579" s="275" t="s">
        <v>1047</v>
      </c>
      <c r="E579" s="275" t="s">
        <v>1119</v>
      </c>
      <c r="F579" s="284"/>
      <c r="G579" s="282">
        <f>G580</f>
        <v>0</v>
      </c>
      <c r="H579" s="282">
        <f>H580</f>
        <v>0</v>
      </c>
      <c r="I579" s="371">
        <f t="shared" si="8"/>
        <v>0</v>
      </c>
    </row>
    <row r="580" spans="1:9" ht="13.5" hidden="1">
      <c r="A580" s="473" t="s">
        <v>516</v>
      </c>
      <c r="B580" s="275" t="s">
        <v>1171</v>
      </c>
      <c r="C580" s="275" t="s">
        <v>1118</v>
      </c>
      <c r="D580" s="275" t="s">
        <v>1047</v>
      </c>
      <c r="E580" s="275" t="s">
        <v>1119</v>
      </c>
      <c r="F580" s="284" t="s">
        <v>517</v>
      </c>
      <c r="G580" s="282"/>
      <c r="H580" s="282"/>
      <c r="I580" s="371">
        <f t="shared" si="8"/>
        <v>0</v>
      </c>
    </row>
    <row r="581" spans="1:9" ht="13.5" hidden="1">
      <c r="A581" s="375" t="s">
        <v>518</v>
      </c>
      <c r="B581" s="275" t="s">
        <v>1171</v>
      </c>
      <c r="C581" s="275" t="s">
        <v>1118</v>
      </c>
      <c r="D581" s="275" t="s">
        <v>1047</v>
      </c>
      <c r="E581" s="275" t="s">
        <v>1120</v>
      </c>
      <c r="F581" s="284"/>
      <c r="G581" s="282">
        <f>G582</f>
        <v>0</v>
      </c>
      <c r="H581" s="282">
        <f>H582</f>
        <v>0</v>
      </c>
      <c r="I581" s="371">
        <f t="shared" si="8"/>
        <v>0</v>
      </c>
    </row>
    <row r="582" spans="1:9" ht="26.25" hidden="1">
      <c r="A582" s="343" t="s">
        <v>516</v>
      </c>
      <c r="B582" s="443" t="s">
        <v>1171</v>
      </c>
      <c r="C582" s="275" t="s">
        <v>1118</v>
      </c>
      <c r="D582" s="275" t="s">
        <v>1047</v>
      </c>
      <c r="E582" s="275" t="s">
        <v>1120</v>
      </c>
      <c r="F582" s="284" t="s">
        <v>517</v>
      </c>
      <c r="G582" s="282"/>
      <c r="H582" s="282"/>
      <c r="I582" s="371">
        <f t="shared" si="8"/>
        <v>0</v>
      </c>
    </row>
    <row r="583" spans="1:9" ht="26.25">
      <c r="A583" s="370" t="s">
        <v>520</v>
      </c>
      <c r="B583" s="275" t="s">
        <v>1171</v>
      </c>
      <c r="C583" s="275" t="s">
        <v>1118</v>
      </c>
      <c r="D583" s="275" t="s">
        <v>1047</v>
      </c>
      <c r="E583" s="275" t="s">
        <v>1121</v>
      </c>
      <c r="F583" s="284"/>
      <c r="G583" s="282">
        <f>G584+G585+G587+G586</f>
        <v>16529195</v>
      </c>
      <c r="H583" s="282">
        <f>H584+H585+H587+H586</f>
        <v>1671790.33</v>
      </c>
      <c r="I583" s="371">
        <f t="shared" si="8"/>
        <v>18200985.33</v>
      </c>
    </row>
    <row r="584" spans="1:9" ht="48" customHeight="1">
      <c r="A584" s="343" t="s">
        <v>522</v>
      </c>
      <c r="B584" s="275" t="s">
        <v>1171</v>
      </c>
      <c r="C584" s="275" t="s">
        <v>1118</v>
      </c>
      <c r="D584" s="275" t="s">
        <v>1047</v>
      </c>
      <c r="E584" s="275" t="s">
        <v>1121</v>
      </c>
      <c r="F584" s="284" t="s">
        <v>523</v>
      </c>
      <c r="G584" s="282">
        <f>10765600+213161</f>
        <v>10978761</v>
      </c>
      <c r="H584" s="442">
        <v>10000</v>
      </c>
      <c r="I584" s="371">
        <f t="shared" si="8"/>
        <v>10988761</v>
      </c>
    </row>
    <row r="585" spans="1:9" ht="26.25" customHeight="1">
      <c r="A585" s="343" t="s">
        <v>516</v>
      </c>
      <c r="B585" s="275" t="s">
        <v>1171</v>
      </c>
      <c r="C585" s="275" t="s">
        <v>1118</v>
      </c>
      <c r="D585" s="275" t="s">
        <v>1047</v>
      </c>
      <c r="E585" s="275" t="s">
        <v>1121</v>
      </c>
      <c r="F585" s="284" t="s">
        <v>517</v>
      </c>
      <c r="G585" s="282">
        <f>1009100-20000+20000+800000+1256000+140000+750000+1127800-750000+93728+750000+4906-22000</f>
        <v>5159534</v>
      </c>
      <c r="H585" s="442">
        <f>636648+44690.88+18451.45+712000+250000</f>
        <v>1661790.33</v>
      </c>
      <c r="I585" s="371">
        <f t="shared" si="8"/>
        <v>6821324.33</v>
      </c>
    </row>
    <row r="586" spans="1:9" ht="26.25" customHeight="1">
      <c r="A586" s="396" t="s">
        <v>751</v>
      </c>
      <c r="B586" s="275" t="s">
        <v>1171</v>
      </c>
      <c r="C586" s="275" t="s">
        <v>1118</v>
      </c>
      <c r="D586" s="275" t="s">
        <v>1047</v>
      </c>
      <c r="E586" s="275" t="s">
        <v>1121</v>
      </c>
      <c r="F586" s="284" t="s">
        <v>752</v>
      </c>
      <c r="G586" s="282">
        <f>200000</f>
        <v>200000</v>
      </c>
      <c r="H586" s="442"/>
      <c r="I586" s="371">
        <f t="shared" si="8"/>
        <v>200000</v>
      </c>
    </row>
    <row r="587" spans="1:9" ht="21" customHeight="1">
      <c r="A587" s="393" t="s">
        <v>524</v>
      </c>
      <c r="B587" s="275" t="s">
        <v>1171</v>
      </c>
      <c r="C587" s="275" t="s">
        <v>1118</v>
      </c>
      <c r="D587" s="275" t="s">
        <v>1047</v>
      </c>
      <c r="E587" s="275" t="s">
        <v>1121</v>
      </c>
      <c r="F587" s="284" t="s">
        <v>525</v>
      </c>
      <c r="G587" s="282">
        <f>67400+100000-2500+4000+22000</f>
        <v>190900</v>
      </c>
      <c r="H587" s="442"/>
      <c r="I587" s="371">
        <f t="shared" si="8"/>
        <v>190900</v>
      </c>
    </row>
    <row r="588" spans="1:9" ht="31.5" customHeight="1">
      <c r="A588" s="343" t="s">
        <v>1216</v>
      </c>
      <c r="B588" s="275" t="s">
        <v>1171</v>
      </c>
      <c r="C588" s="275" t="s">
        <v>1082</v>
      </c>
      <c r="D588" s="275" t="s">
        <v>1047</v>
      </c>
      <c r="E588" s="275" t="s">
        <v>1217</v>
      </c>
      <c r="F588" s="284"/>
      <c r="G588" s="282">
        <f>G589</f>
        <v>1371000</v>
      </c>
      <c r="H588" s="442"/>
      <c r="I588" s="371">
        <f t="shared" si="8"/>
        <v>1371000</v>
      </c>
    </row>
    <row r="589" spans="1:9" ht="28.5" customHeight="1">
      <c r="A589" s="343" t="s">
        <v>516</v>
      </c>
      <c r="B589" s="275" t="s">
        <v>1171</v>
      </c>
      <c r="C589" s="275" t="s">
        <v>1082</v>
      </c>
      <c r="D589" s="275" t="s">
        <v>1047</v>
      </c>
      <c r="E589" s="275" t="s">
        <v>1217</v>
      </c>
      <c r="F589" s="284" t="s">
        <v>517</v>
      </c>
      <c r="G589" s="282">
        <f>68550+1302450</f>
        <v>1371000</v>
      </c>
      <c r="H589" s="442"/>
      <c r="I589" s="371">
        <f t="shared" si="8"/>
        <v>1371000</v>
      </c>
    </row>
    <row r="590" spans="1:9" ht="35.25" customHeight="1">
      <c r="A590" s="385" t="s">
        <v>1122</v>
      </c>
      <c r="B590" s="275" t="s">
        <v>1171</v>
      </c>
      <c r="C590" s="275" t="s">
        <v>1118</v>
      </c>
      <c r="D590" s="275" t="s">
        <v>1047</v>
      </c>
      <c r="E590" s="275" t="s">
        <v>938</v>
      </c>
      <c r="F590" s="303"/>
      <c r="G590" s="282">
        <f>G591</f>
        <v>5000</v>
      </c>
      <c r="H590" s="442"/>
      <c r="I590" s="371">
        <f t="shared" si="8"/>
        <v>5000</v>
      </c>
    </row>
    <row r="591" spans="1:9" ht="52.5" customHeight="1">
      <c r="A591" s="376" t="s">
        <v>939</v>
      </c>
      <c r="B591" s="275" t="s">
        <v>1171</v>
      </c>
      <c r="C591" s="275" t="s">
        <v>1118</v>
      </c>
      <c r="D591" s="275" t="s">
        <v>1047</v>
      </c>
      <c r="E591" s="275" t="s">
        <v>940</v>
      </c>
      <c r="F591" s="303"/>
      <c r="G591" s="282">
        <f>G592</f>
        <v>5000</v>
      </c>
      <c r="H591" s="442"/>
      <c r="I591" s="371">
        <f t="shared" si="8"/>
        <v>5000</v>
      </c>
    </row>
    <row r="592" spans="1:9" ht="35.25" customHeight="1">
      <c r="A592" s="383" t="s">
        <v>941</v>
      </c>
      <c r="B592" s="275" t="s">
        <v>1171</v>
      </c>
      <c r="C592" s="275" t="s">
        <v>1118</v>
      </c>
      <c r="D592" s="275" t="s">
        <v>1047</v>
      </c>
      <c r="E592" s="275" t="s">
        <v>942</v>
      </c>
      <c r="F592" s="303"/>
      <c r="G592" s="282">
        <f>G593</f>
        <v>5000</v>
      </c>
      <c r="H592" s="442"/>
      <c r="I592" s="371">
        <f t="shared" si="8"/>
        <v>5000</v>
      </c>
    </row>
    <row r="593" spans="1:9" ht="24" customHeight="1">
      <c r="A593" s="383" t="s">
        <v>943</v>
      </c>
      <c r="B593" s="275" t="s">
        <v>1171</v>
      </c>
      <c r="C593" s="275" t="s">
        <v>1118</v>
      </c>
      <c r="D593" s="275" t="s">
        <v>1047</v>
      </c>
      <c r="E593" s="275" t="s">
        <v>944</v>
      </c>
      <c r="F593" s="303"/>
      <c r="G593" s="282">
        <f>G594</f>
        <v>5000</v>
      </c>
      <c r="H593" s="442"/>
      <c r="I593" s="371">
        <f t="shared" si="8"/>
        <v>5000</v>
      </c>
    </row>
    <row r="594" spans="1:9" ht="35.25" customHeight="1">
      <c r="A594" s="473" t="s">
        <v>516</v>
      </c>
      <c r="B594" s="275" t="s">
        <v>1171</v>
      </c>
      <c r="C594" s="275" t="s">
        <v>1118</v>
      </c>
      <c r="D594" s="275" t="s">
        <v>1047</v>
      </c>
      <c r="E594" s="275" t="s">
        <v>944</v>
      </c>
      <c r="F594" s="284" t="s">
        <v>517</v>
      </c>
      <c r="G594" s="282">
        <v>5000</v>
      </c>
      <c r="H594" s="442"/>
      <c r="I594" s="371">
        <f t="shared" si="8"/>
        <v>5000</v>
      </c>
    </row>
    <row r="595" spans="1:9" ht="38.25" customHeight="1">
      <c r="A595" s="370" t="s">
        <v>530</v>
      </c>
      <c r="B595" s="275" t="s">
        <v>1171</v>
      </c>
      <c r="C595" s="275" t="s">
        <v>1118</v>
      </c>
      <c r="D595" s="275" t="s">
        <v>1047</v>
      </c>
      <c r="E595" s="289" t="s">
        <v>531</v>
      </c>
      <c r="F595" s="284"/>
      <c r="G595" s="282">
        <f>G596</f>
        <v>10586461</v>
      </c>
      <c r="H595" s="442">
        <f>H597+H601</f>
        <v>0</v>
      </c>
      <c r="I595" s="371">
        <f t="shared" si="8"/>
        <v>10586461</v>
      </c>
    </row>
    <row r="596" spans="1:9" ht="28.5" customHeight="1">
      <c r="A596" s="373" t="s">
        <v>532</v>
      </c>
      <c r="B596" s="275" t="s">
        <v>1171</v>
      </c>
      <c r="C596" s="275" t="s">
        <v>1118</v>
      </c>
      <c r="D596" s="275" t="s">
        <v>1047</v>
      </c>
      <c r="E596" s="289" t="s">
        <v>533</v>
      </c>
      <c r="F596" s="284"/>
      <c r="G596" s="282">
        <f>G597</f>
        <v>10586461</v>
      </c>
      <c r="H596" s="442"/>
      <c r="I596" s="371">
        <f t="shared" si="8"/>
        <v>10586461</v>
      </c>
    </row>
    <row r="597" spans="1:9" ht="26.25">
      <c r="A597" s="370" t="s">
        <v>520</v>
      </c>
      <c r="B597" s="275" t="s">
        <v>1171</v>
      </c>
      <c r="C597" s="275" t="s">
        <v>1118</v>
      </c>
      <c r="D597" s="275" t="s">
        <v>1047</v>
      </c>
      <c r="E597" s="289" t="s">
        <v>534</v>
      </c>
      <c r="F597" s="284"/>
      <c r="G597" s="282">
        <f>G598+G599+G600</f>
        <v>10586461</v>
      </c>
      <c r="H597" s="442">
        <f>H598+H599+H600</f>
        <v>0</v>
      </c>
      <c r="I597" s="371">
        <f t="shared" si="8"/>
        <v>10586461</v>
      </c>
    </row>
    <row r="598" spans="1:9" ht="40.5" customHeight="1">
      <c r="A598" s="343" t="s">
        <v>522</v>
      </c>
      <c r="B598" s="275" t="s">
        <v>1171</v>
      </c>
      <c r="C598" s="275" t="s">
        <v>1118</v>
      </c>
      <c r="D598" s="275" t="s">
        <v>1047</v>
      </c>
      <c r="E598" s="289" t="s">
        <v>534</v>
      </c>
      <c r="F598" s="284" t="s">
        <v>523</v>
      </c>
      <c r="G598" s="282">
        <f>8967000+185161</f>
        <v>9152161</v>
      </c>
      <c r="H598" s="442"/>
      <c r="I598" s="371">
        <f t="shared" si="8"/>
        <v>9152161</v>
      </c>
    </row>
    <row r="599" spans="1:9" ht="27" customHeight="1">
      <c r="A599" s="473" t="s">
        <v>516</v>
      </c>
      <c r="B599" s="275" t="s">
        <v>1171</v>
      </c>
      <c r="C599" s="275" t="s">
        <v>1118</v>
      </c>
      <c r="D599" s="275" t="s">
        <v>1047</v>
      </c>
      <c r="E599" s="289" t="s">
        <v>534</v>
      </c>
      <c r="F599" s="284" t="s">
        <v>517</v>
      </c>
      <c r="G599" s="282">
        <f>230200+4500+72000+800000+136000+187000</f>
        <v>1429700</v>
      </c>
      <c r="H599" s="442"/>
      <c r="I599" s="371">
        <f t="shared" si="8"/>
        <v>1429700</v>
      </c>
    </row>
    <row r="600" spans="1:9" ht="13.5">
      <c r="A600" s="393" t="s">
        <v>524</v>
      </c>
      <c r="B600" s="275" t="s">
        <v>1171</v>
      </c>
      <c r="C600" s="275" t="s">
        <v>1118</v>
      </c>
      <c r="D600" s="275" t="s">
        <v>1047</v>
      </c>
      <c r="E600" s="289" t="s">
        <v>534</v>
      </c>
      <c r="F600" s="284" t="s">
        <v>525</v>
      </c>
      <c r="G600" s="282">
        <f>2100+2500</f>
        <v>4600</v>
      </c>
      <c r="H600" s="442"/>
      <c r="I600" s="371">
        <f t="shared" si="8"/>
        <v>4600</v>
      </c>
    </row>
    <row r="601" spans="1:9" ht="26.25">
      <c r="A601" s="288" t="s">
        <v>1114</v>
      </c>
      <c r="B601" s="275" t="s">
        <v>1171</v>
      </c>
      <c r="C601" s="275" t="s">
        <v>1118</v>
      </c>
      <c r="D601" s="275" t="s">
        <v>1047</v>
      </c>
      <c r="E601" s="289" t="s">
        <v>1028</v>
      </c>
      <c r="F601" s="284"/>
      <c r="G601" s="282">
        <f>G602</f>
        <v>100000</v>
      </c>
      <c r="H601" s="442"/>
      <c r="I601" s="371">
        <f t="shared" si="8"/>
        <v>100000</v>
      </c>
    </row>
    <row r="602" spans="1:9" ht="35.25" customHeight="1">
      <c r="A602" s="343" t="s">
        <v>1029</v>
      </c>
      <c r="B602" s="275" t="s">
        <v>1171</v>
      </c>
      <c r="C602" s="275" t="s">
        <v>1118</v>
      </c>
      <c r="D602" s="275" t="s">
        <v>1047</v>
      </c>
      <c r="E602" s="289" t="s">
        <v>1030</v>
      </c>
      <c r="F602" s="284"/>
      <c r="G602" s="282">
        <f>G603</f>
        <v>100000</v>
      </c>
      <c r="H602" s="442"/>
      <c r="I602" s="371">
        <f>G602+H602</f>
        <v>100000</v>
      </c>
    </row>
    <row r="603" spans="1:9" ht="21.75" customHeight="1">
      <c r="A603" s="343" t="s">
        <v>1218</v>
      </c>
      <c r="B603" s="275" t="s">
        <v>1171</v>
      </c>
      <c r="C603" s="275" t="s">
        <v>1118</v>
      </c>
      <c r="D603" s="275" t="s">
        <v>1047</v>
      </c>
      <c r="E603" s="302" t="s">
        <v>1219</v>
      </c>
      <c r="F603" s="284"/>
      <c r="G603" s="282">
        <f>G604</f>
        <v>100000</v>
      </c>
      <c r="H603" s="442"/>
      <c r="I603" s="371">
        <f>G603+H603</f>
        <v>100000</v>
      </c>
    </row>
    <row r="604" spans="1:9" ht="27" customHeight="1">
      <c r="A604" s="473" t="s">
        <v>516</v>
      </c>
      <c r="B604" s="275" t="s">
        <v>1171</v>
      </c>
      <c r="C604" s="275" t="s">
        <v>1118</v>
      </c>
      <c r="D604" s="275" t="s">
        <v>1047</v>
      </c>
      <c r="E604" s="302" t="s">
        <v>1219</v>
      </c>
      <c r="F604" s="284" t="s">
        <v>517</v>
      </c>
      <c r="G604" s="282">
        <f>100000</f>
        <v>100000</v>
      </c>
      <c r="H604" s="442"/>
      <c r="I604" s="371">
        <f>G604+H604</f>
        <v>100000</v>
      </c>
    </row>
    <row r="605" spans="1:9" ht="13.5">
      <c r="A605" s="370" t="s">
        <v>1123</v>
      </c>
      <c r="B605" s="275" t="s">
        <v>1171</v>
      </c>
      <c r="C605" s="275" t="s">
        <v>1082</v>
      </c>
      <c r="D605" s="275" t="s">
        <v>1054</v>
      </c>
      <c r="E605" s="275"/>
      <c r="F605" s="284"/>
      <c r="G605" s="282">
        <f>G606</f>
        <v>4010172</v>
      </c>
      <c r="H605" s="442"/>
      <c r="I605" s="371">
        <f aca="true" t="shared" si="10" ref="I605:I628">G605+H605</f>
        <v>4010172</v>
      </c>
    </row>
    <row r="606" spans="1:9" ht="31.5" customHeight="1">
      <c r="A606" s="370" t="s">
        <v>508</v>
      </c>
      <c r="B606" s="275" t="s">
        <v>1171</v>
      </c>
      <c r="C606" s="275" t="s">
        <v>1082</v>
      </c>
      <c r="D606" s="275" t="s">
        <v>1054</v>
      </c>
      <c r="E606" s="275" t="s">
        <v>1117</v>
      </c>
      <c r="F606" s="284"/>
      <c r="G606" s="282">
        <f>G607</f>
        <v>4010172</v>
      </c>
      <c r="H606" s="442"/>
      <c r="I606" s="371">
        <f t="shared" si="10"/>
        <v>4010172</v>
      </c>
    </row>
    <row r="607" spans="1:9" ht="58.5" customHeight="1">
      <c r="A607" s="370" t="s">
        <v>537</v>
      </c>
      <c r="B607" s="275" t="s">
        <v>1171</v>
      </c>
      <c r="C607" s="275" t="s">
        <v>1082</v>
      </c>
      <c r="D607" s="275" t="s">
        <v>1054</v>
      </c>
      <c r="E607" s="275" t="s">
        <v>538</v>
      </c>
      <c r="F607" s="284"/>
      <c r="G607" s="282">
        <f>G608+G613</f>
        <v>4010172</v>
      </c>
      <c r="H607" s="462"/>
      <c r="I607" s="371">
        <f t="shared" si="10"/>
        <v>4010172</v>
      </c>
    </row>
    <row r="608" spans="1:9" ht="32.25" customHeight="1">
      <c r="A608" s="411" t="s">
        <v>539</v>
      </c>
      <c r="B608" s="275" t="s">
        <v>1171</v>
      </c>
      <c r="C608" s="275" t="s">
        <v>1082</v>
      </c>
      <c r="D608" s="275" t="s">
        <v>1054</v>
      </c>
      <c r="E608" s="275" t="s">
        <v>540</v>
      </c>
      <c r="F608" s="284"/>
      <c r="G608" s="282">
        <f>G609</f>
        <v>3957300</v>
      </c>
      <c r="H608" s="442"/>
      <c r="I608" s="371">
        <f t="shared" si="10"/>
        <v>3957300</v>
      </c>
    </row>
    <row r="609" spans="1:9" ht="32.25" customHeight="1">
      <c r="A609" s="370" t="s">
        <v>520</v>
      </c>
      <c r="B609" s="275" t="s">
        <v>1171</v>
      </c>
      <c r="C609" s="275" t="s">
        <v>1082</v>
      </c>
      <c r="D609" s="275" t="s">
        <v>1054</v>
      </c>
      <c r="E609" s="275" t="s">
        <v>541</v>
      </c>
      <c r="F609" s="284"/>
      <c r="G609" s="282">
        <f>G610+G611+G612</f>
        <v>3957300</v>
      </c>
      <c r="H609" s="442"/>
      <c r="I609" s="371">
        <f t="shared" si="10"/>
        <v>3957300</v>
      </c>
    </row>
    <row r="610" spans="1:9" ht="42.75" customHeight="1">
      <c r="A610" s="343" t="s">
        <v>522</v>
      </c>
      <c r="B610" s="275" t="s">
        <v>1171</v>
      </c>
      <c r="C610" s="275" t="s">
        <v>1082</v>
      </c>
      <c r="D610" s="275" t="s">
        <v>1054</v>
      </c>
      <c r="E610" s="275" t="s">
        <v>541</v>
      </c>
      <c r="F610" s="284" t="s">
        <v>523</v>
      </c>
      <c r="G610" s="282">
        <v>3411200</v>
      </c>
      <c r="H610" s="442"/>
      <c r="I610" s="371">
        <f t="shared" si="10"/>
        <v>3411200</v>
      </c>
    </row>
    <row r="611" spans="1:9" ht="26.25" customHeight="1">
      <c r="A611" s="473" t="s">
        <v>516</v>
      </c>
      <c r="B611" s="275" t="s">
        <v>1171</v>
      </c>
      <c r="C611" s="275" t="s">
        <v>1082</v>
      </c>
      <c r="D611" s="275" t="s">
        <v>1054</v>
      </c>
      <c r="E611" s="275" t="s">
        <v>541</v>
      </c>
      <c r="F611" s="284" t="s">
        <v>517</v>
      </c>
      <c r="G611" s="282">
        <f>230100-80000+15000+310000+19000+50000</f>
        <v>544100</v>
      </c>
      <c r="H611" s="442"/>
      <c r="I611" s="371">
        <f t="shared" si="10"/>
        <v>544100</v>
      </c>
    </row>
    <row r="612" spans="1:9" ht="16.5" customHeight="1">
      <c r="A612" s="393" t="s">
        <v>524</v>
      </c>
      <c r="B612" s="275" t="s">
        <v>1171</v>
      </c>
      <c r="C612" s="275" t="s">
        <v>1082</v>
      </c>
      <c r="D612" s="275" t="s">
        <v>1054</v>
      </c>
      <c r="E612" s="275" t="s">
        <v>541</v>
      </c>
      <c r="F612" s="284" t="s">
        <v>525</v>
      </c>
      <c r="G612" s="282">
        <v>2000</v>
      </c>
      <c r="H612" s="442"/>
      <c r="I612" s="371">
        <f t="shared" si="10"/>
        <v>2000</v>
      </c>
    </row>
    <row r="613" spans="1:9" ht="41.25" customHeight="1">
      <c r="A613" s="412" t="s">
        <v>542</v>
      </c>
      <c r="B613" s="275" t="s">
        <v>1171</v>
      </c>
      <c r="C613" s="275" t="s">
        <v>1082</v>
      </c>
      <c r="D613" s="275" t="s">
        <v>1054</v>
      </c>
      <c r="E613" s="275" t="s">
        <v>543</v>
      </c>
      <c r="F613" s="284"/>
      <c r="G613" s="282">
        <f>G614</f>
        <v>52872</v>
      </c>
      <c r="H613" s="442"/>
      <c r="I613" s="371">
        <f t="shared" si="10"/>
        <v>52872</v>
      </c>
    </row>
    <row r="614" spans="1:9" ht="42.75" customHeight="1">
      <c r="A614" s="372" t="s">
        <v>544</v>
      </c>
      <c r="B614" s="275" t="s">
        <v>1171</v>
      </c>
      <c r="C614" s="275" t="s">
        <v>1082</v>
      </c>
      <c r="D614" s="275" t="s">
        <v>1054</v>
      </c>
      <c r="E614" s="275" t="s">
        <v>545</v>
      </c>
      <c r="F614" s="284"/>
      <c r="G614" s="282">
        <f>G615</f>
        <v>52872</v>
      </c>
      <c r="H614" s="442"/>
      <c r="I614" s="371">
        <f t="shared" si="10"/>
        <v>52872</v>
      </c>
    </row>
    <row r="615" spans="1:9" ht="42" customHeight="1">
      <c r="A615" s="343" t="s">
        <v>522</v>
      </c>
      <c r="B615" s="275" t="s">
        <v>1171</v>
      </c>
      <c r="C615" s="275" t="s">
        <v>1082</v>
      </c>
      <c r="D615" s="275" t="s">
        <v>1054</v>
      </c>
      <c r="E615" s="275" t="s">
        <v>545</v>
      </c>
      <c r="F615" s="284" t="s">
        <v>523</v>
      </c>
      <c r="G615" s="282">
        <v>52872</v>
      </c>
      <c r="H615" s="462"/>
      <c r="I615" s="371">
        <f t="shared" si="10"/>
        <v>52872</v>
      </c>
    </row>
    <row r="616" spans="1:9" ht="13.5">
      <c r="A616" s="370" t="s">
        <v>1127</v>
      </c>
      <c r="B616" s="275" t="s">
        <v>1171</v>
      </c>
      <c r="C616" s="275">
        <v>10</v>
      </c>
      <c r="D616" s="275"/>
      <c r="E616" s="275"/>
      <c r="F616" s="284"/>
      <c r="G616" s="282">
        <f>G617</f>
        <v>2675907</v>
      </c>
      <c r="H616" s="442"/>
      <c r="I616" s="371">
        <f t="shared" si="10"/>
        <v>2675907</v>
      </c>
    </row>
    <row r="617" spans="1:9" ht="13.5">
      <c r="A617" s="370" t="s">
        <v>1133</v>
      </c>
      <c r="B617" s="275" t="s">
        <v>1171</v>
      </c>
      <c r="C617" s="275">
        <v>10</v>
      </c>
      <c r="D617" s="275" t="s">
        <v>1051</v>
      </c>
      <c r="E617" s="275"/>
      <c r="F617" s="284"/>
      <c r="G617" s="282">
        <f>G623+G618</f>
        <v>2675907</v>
      </c>
      <c r="H617" s="442"/>
      <c r="I617" s="371">
        <f t="shared" si="10"/>
        <v>2675907</v>
      </c>
    </row>
    <row r="618" spans="1:9" ht="33.75" customHeight="1">
      <c r="A618" s="370" t="s">
        <v>508</v>
      </c>
      <c r="B618" s="275" t="s">
        <v>1171</v>
      </c>
      <c r="C618" s="275">
        <v>10</v>
      </c>
      <c r="D618" s="275" t="s">
        <v>1051</v>
      </c>
      <c r="E618" s="275" t="s">
        <v>1117</v>
      </c>
      <c r="F618" s="284"/>
      <c r="G618" s="282">
        <f>G619</f>
        <v>1575907</v>
      </c>
      <c r="H618" s="442"/>
      <c r="I618" s="371">
        <f>G618+H618</f>
        <v>1575907</v>
      </c>
    </row>
    <row r="619" spans="1:9" ht="57.75" customHeight="1">
      <c r="A619" s="370" t="s">
        <v>537</v>
      </c>
      <c r="B619" s="275" t="s">
        <v>1171</v>
      </c>
      <c r="C619" s="275">
        <v>10</v>
      </c>
      <c r="D619" s="275" t="s">
        <v>1051</v>
      </c>
      <c r="E619" s="275" t="s">
        <v>538</v>
      </c>
      <c r="F619" s="284"/>
      <c r="G619" s="282">
        <f>G620</f>
        <v>1575907</v>
      </c>
      <c r="H619" s="442"/>
      <c r="I619" s="371">
        <f>G619+H619</f>
        <v>1575907</v>
      </c>
    </row>
    <row r="620" spans="1:9" ht="30" customHeight="1">
      <c r="A620" s="389" t="s">
        <v>546</v>
      </c>
      <c r="B620" s="275" t="s">
        <v>1171</v>
      </c>
      <c r="C620" s="275">
        <v>10</v>
      </c>
      <c r="D620" s="275" t="s">
        <v>1051</v>
      </c>
      <c r="E620" s="275" t="s">
        <v>547</v>
      </c>
      <c r="F620" s="284"/>
      <c r="G620" s="282">
        <f>G621</f>
        <v>1575907</v>
      </c>
      <c r="H620" s="442"/>
      <c r="I620" s="371">
        <f>G620+H620</f>
        <v>1575907</v>
      </c>
    </row>
    <row r="621" spans="1:9" ht="47.25" customHeight="1">
      <c r="A621" s="375" t="s">
        <v>548</v>
      </c>
      <c r="B621" s="275" t="s">
        <v>1171</v>
      </c>
      <c r="C621" s="275">
        <v>10</v>
      </c>
      <c r="D621" s="275" t="s">
        <v>1051</v>
      </c>
      <c r="E621" s="298" t="s">
        <v>549</v>
      </c>
      <c r="F621" s="284"/>
      <c r="G621" s="282">
        <f>G622</f>
        <v>1575907</v>
      </c>
      <c r="H621" s="442"/>
      <c r="I621" s="371">
        <f>G621+H621</f>
        <v>1575907</v>
      </c>
    </row>
    <row r="622" spans="1:9" ht="18" customHeight="1">
      <c r="A622" s="393" t="s">
        <v>550</v>
      </c>
      <c r="B622" s="275" t="s">
        <v>1171</v>
      </c>
      <c r="C622" s="275">
        <v>10</v>
      </c>
      <c r="D622" s="275" t="s">
        <v>1051</v>
      </c>
      <c r="E622" s="298" t="s">
        <v>549</v>
      </c>
      <c r="F622" s="284" t="s">
        <v>551</v>
      </c>
      <c r="G622" s="282">
        <v>1575907</v>
      </c>
      <c r="H622" s="462"/>
      <c r="I622" s="371">
        <f>G622+H622</f>
        <v>1575907</v>
      </c>
    </row>
    <row r="623" spans="1:9" ht="31.5" customHeight="1">
      <c r="A623" s="485" t="s">
        <v>611</v>
      </c>
      <c r="B623" s="275" t="s">
        <v>1171</v>
      </c>
      <c r="C623" s="486">
        <v>10</v>
      </c>
      <c r="D623" s="486" t="s">
        <v>1051</v>
      </c>
      <c r="E623" s="486" t="s">
        <v>612</v>
      </c>
      <c r="F623" s="487"/>
      <c r="G623" s="282">
        <f>G624</f>
        <v>1100000</v>
      </c>
      <c r="H623" s="442"/>
      <c r="I623" s="391">
        <f t="shared" si="10"/>
        <v>1100000</v>
      </c>
    </row>
    <row r="624" spans="1:9" ht="54.75" customHeight="1">
      <c r="A624" s="343" t="s">
        <v>665</v>
      </c>
      <c r="B624" s="275" t="s">
        <v>1171</v>
      </c>
      <c r="C624" s="275" t="s">
        <v>1128</v>
      </c>
      <c r="D624" s="275" t="s">
        <v>1051</v>
      </c>
      <c r="E624" s="275" t="s">
        <v>666</v>
      </c>
      <c r="F624" s="284"/>
      <c r="G624" s="282">
        <f>G625</f>
        <v>1100000</v>
      </c>
      <c r="H624" s="442"/>
      <c r="I624" s="371">
        <f t="shared" si="10"/>
        <v>1100000</v>
      </c>
    </row>
    <row r="625" spans="1:9" ht="29.25" customHeight="1">
      <c r="A625" s="416" t="s">
        <v>673</v>
      </c>
      <c r="B625" s="275" t="s">
        <v>1171</v>
      </c>
      <c r="C625" s="275" t="s">
        <v>1128</v>
      </c>
      <c r="D625" s="275" t="s">
        <v>1051</v>
      </c>
      <c r="E625" s="275" t="s">
        <v>674</v>
      </c>
      <c r="F625" s="284"/>
      <c r="G625" s="282">
        <f>G626</f>
        <v>1100000</v>
      </c>
      <c r="H625" s="442"/>
      <c r="I625" s="371">
        <f t="shared" si="10"/>
        <v>1100000</v>
      </c>
    </row>
    <row r="626" spans="1:9" ht="53.25" customHeight="1">
      <c r="A626" s="401" t="s">
        <v>675</v>
      </c>
      <c r="B626" s="275" t="s">
        <v>1171</v>
      </c>
      <c r="C626" s="275" t="s">
        <v>1128</v>
      </c>
      <c r="D626" s="275" t="s">
        <v>1051</v>
      </c>
      <c r="E626" s="275" t="s">
        <v>676</v>
      </c>
      <c r="F626" s="284"/>
      <c r="G626" s="282">
        <f>G627+G628</f>
        <v>1100000</v>
      </c>
      <c r="H626" s="442"/>
      <c r="I626" s="371">
        <f t="shared" si="10"/>
        <v>1100000</v>
      </c>
    </row>
    <row r="627" spans="1:9" ht="20.25" customHeight="1" hidden="1">
      <c r="A627" s="343" t="s">
        <v>554</v>
      </c>
      <c r="B627" s="275" t="s">
        <v>1171</v>
      </c>
      <c r="C627" s="275">
        <v>10</v>
      </c>
      <c r="D627" s="275" t="s">
        <v>1051</v>
      </c>
      <c r="E627" s="275" t="s">
        <v>1175</v>
      </c>
      <c r="F627" s="284" t="s">
        <v>517</v>
      </c>
      <c r="G627" s="282"/>
      <c r="H627" s="442"/>
      <c r="I627" s="371">
        <f t="shared" si="10"/>
        <v>0</v>
      </c>
    </row>
    <row r="628" spans="1:9" ht="19.5" customHeight="1" thickBot="1">
      <c r="A628" s="488" t="s">
        <v>550</v>
      </c>
      <c r="B628" s="421" t="s">
        <v>1171</v>
      </c>
      <c r="C628" s="421">
        <v>10</v>
      </c>
      <c r="D628" s="421" t="s">
        <v>1051</v>
      </c>
      <c r="E628" s="421" t="s">
        <v>676</v>
      </c>
      <c r="F628" s="489" t="s">
        <v>551</v>
      </c>
      <c r="G628" s="423">
        <v>1100000</v>
      </c>
      <c r="H628" s="490"/>
      <c r="I628" s="424">
        <f t="shared" si="10"/>
        <v>1100000</v>
      </c>
    </row>
    <row r="629" spans="2:6" ht="13.5">
      <c r="B629" s="263"/>
      <c r="C629" s="263"/>
      <c r="D629" s="263"/>
      <c r="E629" s="263"/>
      <c r="F629" s="425"/>
    </row>
    <row r="630" spans="2:6" ht="13.5">
      <c r="B630" s="263"/>
      <c r="C630" s="263"/>
      <c r="D630" s="263"/>
      <c r="E630" s="263"/>
      <c r="F630" s="425"/>
    </row>
    <row r="631" spans="2:6" ht="13.5">
      <c r="B631" s="263"/>
      <c r="C631" s="263"/>
      <c r="D631" s="263"/>
      <c r="E631" s="263"/>
      <c r="F631" s="425"/>
    </row>
    <row r="632" spans="2:6" ht="13.5">
      <c r="B632" s="263"/>
      <c r="C632" s="263"/>
      <c r="D632" s="263"/>
      <c r="E632" s="263"/>
      <c r="F632" s="425"/>
    </row>
    <row r="633" spans="2:6" ht="13.5">
      <c r="B633" s="263"/>
      <c r="C633" s="263"/>
      <c r="D633" s="263"/>
      <c r="E633" s="263"/>
      <c r="F633" s="425"/>
    </row>
    <row r="634" spans="2:6" ht="13.5">
      <c r="B634" s="263"/>
      <c r="C634" s="263"/>
      <c r="D634" s="263"/>
      <c r="E634" s="263"/>
      <c r="F634" s="425"/>
    </row>
    <row r="635" spans="2:6" ht="13.5">
      <c r="B635" s="263"/>
      <c r="C635" s="263"/>
      <c r="D635" s="263"/>
      <c r="E635" s="263"/>
      <c r="F635" s="425"/>
    </row>
    <row r="636" spans="2:6" ht="13.5">
      <c r="B636" s="263"/>
      <c r="C636" s="263"/>
      <c r="D636" s="263"/>
      <c r="E636" s="263"/>
      <c r="F636" s="425"/>
    </row>
    <row r="637" spans="2:6" ht="13.5">
      <c r="B637" s="263"/>
      <c r="C637" s="263"/>
      <c r="D637" s="263"/>
      <c r="E637" s="263"/>
      <c r="F637" s="425"/>
    </row>
    <row r="638" spans="2:6" ht="13.5">
      <c r="B638" s="263"/>
      <c r="C638" s="263"/>
      <c r="D638" s="263"/>
      <c r="E638" s="263"/>
      <c r="F638" s="425"/>
    </row>
    <row r="639" spans="2:6" ht="13.5">
      <c r="B639" s="263"/>
      <c r="C639" s="263"/>
      <c r="D639" s="263"/>
      <c r="E639" s="263"/>
      <c r="F639" s="425"/>
    </row>
    <row r="640" ht="13.5">
      <c r="B640" s="263"/>
    </row>
    <row r="641" ht="13.5">
      <c r="B641" s="263"/>
    </row>
    <row r="642" ht="13.5">
      <c r="B642" s="263"/>
    </row>
    <row r="643" ht="13.5">
      <c r="B643" s="263"/>
    </row>
    <row r="644" ht="13.5">
      <c r="B644" s="263"/>
    </row>
  </sheetData>
  <sheetProtection/>
  <mergeCells count="12">
    <mergeCell ref="B5:I5"/>
    <mergeCell ref="B6:I6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hyperlinks>
    <hyperlink ref="A276" r:id="rId1" display="consultantplus://offline/ref=C6EF3AE28B6C46D1117CBBA251A07B11C6C7C5768D606C8B0E322DA1BBA42282C9440EEF08E6CC43400230U6VFM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0"/>
  <sheetViews>
    <sheetView view="pageBreakPreview" zoomScale="60" zoomScalePageLayoutView="0" workbookViewId="0" topLeftCell="A1">
      <selection activeCell="M6" sqref="M6"/>
    </sheetView>
  </sheetViews>
  <sheetFormatPr defaultColWidth="9.140625" defaultRowHeight="15"/>
  <cols>
    <col min="1" max="1" width="62.57421875" style="248" customWidth="1"/>
    <col min="2" max="2" width="5.140625" style="360" customWidth="1"/>
    <col min="3" max="3" width="4.8515625" style="360" customWidth="1"/>
    <col min="4" max="4" width="5.00390625" style="360" customWidth="1"/>
    <col min="5" max="5" width="16.8515625" style="360" customWidth="1"/>
    <col min="6" max="6" width="5.421875" style="354" customWidth="1"/>
    <col min="7" max="7" width="16.7109375" style="426" hidden="1" customWidth="1"/>
    <col min="8" max="8" width="13.7109375" style="434" hidden="1" customWidth="1"/>
    <col min="9" max="9" width="17.28125" style="426" customWidth="1"/>
    <col min="10" max="10" width="16.7109375" style="426" hidden="1" customWidth="1"/>
    <col min="11" max="11" width="13.7109375" style="434" hidden="1" customWidth="1"/>
    <col min="12" max="12" width="16.7109375" style="426" customWidth="1"/>
    <col min="13" max="13" width="11.57421875" style="252" customWidth="1"/>
    <col min="14" max="16384" width="9.140625" style="252" customWidth="1"/>
  </cols>
  <sheetData>
    <row r="1" spans="1:11" ht="13.5">
      <c r="A1" s="428"/>
      <c r="B1" s="250" t="s">
        <v>1146</v>
      </c>
      <c r="D1" s="250"/>
      <c r="E1" s="250"/>
      <c r="F1" s="352"/>
      <c r="H1" s="429"/>
      <c r="K1" s="429"/>
    </row>
    <row r="2" spans="2:12" ht="42.75" customHeight="1">
      <c r="B2" s="582" t="s">
        <v>1147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2:12" ht="29.25" customHeight="1">
      <c r="B3" s="583" t="s">
        <v>1148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</row>
    <row r="4" spans="2:11" ht="20.25" customHeight="1" hidden="1">
      <c r="B4" s="255" t="s">
        <v>1149</v>
      </c>
      <c r="C4" s="255"/>
      <c r="D4" s="255"/>
      <c r="E4" s="430"/>
      <c r="F4" s="431"/>
      <c r="H4" s="266"/>
      <c r="K4" s="266"/>
    </row>
    <row r="5" spans="2:12" ht="12.75">
      <c r="B5" s="260"/>
      <c r="C5" s="260"/>
      <c r="D5" s="260"/>
      <c r="E5" s="260"/>
      <c r="F5" s="260"/>
      <c r="G5" s="432"/>
      <c r="H5" s="260"/>
      <c r="I5" s="260"/>
      <c r="J5" s="432"/>
      <c r="K5" s="260"/>
      <c r="L5" s="260"/>
    </row>
    <row r="6" spans="1:12" ht="34.5" customHeight="1">
      <c r="A6" s="606" t="s">
        <v>1176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</row>
    <row r="7" spans="6:12" ht="22.5" customHeight="1">
      <c r="F7" s="361"/>
      <c r="G7" s="433"/>
      <c r="I7" s="265"/>
      <c r="J7" s="433"/>
      <c r="L7" s="265" t="s">
        <v>497</v>
      </c>
    </row>
    <row r="8" spans="1:12" ht="42.75" customHeight="1">
      <c r="A8" s="607" t="s">
        <v>498</v>
      </c>
      <c r="B8" s="608" t="s">
        <v>1150</v>
      </c>
      <c r="C8" s="608" t="s">
        <v>1043</v>
      </c>
      <c r="D8" s="608" t="s">
        <v>1044</v>
      </c>
      <c r="E8" s="609" t="s">
        <v>499</v>
      </c>
      <c r="F8" s="609" t="s">
        <v>500</v>
      </c>
      <c r="G8" s="610" t="s">
        <v>1151</v>
      </c>
      <c r="H8" s="605" t="s">
        <v>1152</v>
      </c>
      <c r="I8" s="605" t="s">
        <v>1153</v>
      </c>
      <c r="J8" s="605" t="s">
        <v>1154</v>
      </c>
      <c r="K8" s="605" t="s">
        <v>1152</v>
      </c>
      <c r="L8" s="605" t="s">
        <v>1155</v>
      </c>
    </row>
    <row r="9" spans="1:12" ht="3.75" customHeight="1">
      <c r="A9" s="607"/>
      <c r="B9" s="608"/>
      <c r="C9" s="608"/>
      <c r="D9" s="608"/>
      <c r="E9" s="609"/>
      <c r="F9" s="609"/>
      <c r="G9" s="610"/>
      <c r="H9" s="605"/>
      <c r="I9" s="605"/>
      <c r="J9" s="605"/>
      <c r="K9" s="605"/>
      <c r="L9" s="605"/>
    </row>
    <row r="10" spans="1:12" s="273" customFormat="1" ht="12.75" customHeight="1">
      <c r="A10" s="435">
        <v>1</v>
      </c>
      <c r="B10" s="436">
        <v>2</v>
      </c>
      <c r="C10" s="436" t="s">
        <v>504</v>
      </c>
      <c r="D10" s="436" t="s">
        <v>505</v>
      </c>
      <c r="E10" s="437" t="s">
        <v>1045</v>
      </c>
      <c r="F10" s="437" t="s">
        <v>1156</v>
      </c>
      <c r="G10" s="438"/>
      <c r="H10" s="439"/>
      <c r="I10" s="440" t="s">
        <v>1157</v>
      </c>
      <c r="J10" s="438"/>
      <c r="K10" s="439"/>
      <c r="L10" s="441">
        <v>8</v>
      </c>
    </row>
    <row r="11" spans="1:12" s="280" customFormat="1" ht="24.75" customHeight="1">
      <c r="A11" s="274" t="s">
        <v>506</v>
      </c>
      <c r="B11" s="275"/>
      <c r="C11" s="275"/>
      <c r="D11" s="275"/>
      <c r="E11" s="275"/>
      <c r="F11" s="284"/>
      <c r="G11" s="282">
        <f>G13+G370+G525+G12</f>
        <v>449552119</v>
      </c>
      <c r="H11" s="282">
        <f>H13+H370+H525+H12</f>
        <v>15684315</v>
      </c>
      <c r="I11" s="282">
        <f aca="true" t="shared" si="0" ref="I11:I74">G11+H11</f>
        <v>465236434</v>
      </c>
      <c r="J11" s="282">
        <f>J13+J370+J525+J12</f>
        <v>428107544</v>
      </c>
      <c r="K11" s="282">
        <f>K13+K370+K525+K12</f>
        <v>15684315</v>
      </c>
      <c r="L11" s="282">
        <f>J11+K11</f>
        <v>443791859</v>
      </c>
    </row>
    <row r="12" spans="1:12" s="280" customFormat="1" ht="21">
      <c r="A12" s="281" t="s">
        <v>507</v>
      </c>
      <c r="B12" s="275"/>
      <c r="C12" s="275"/>
      <c r="D12" s="275"/>
      <c r="E12" s="275"/>
      <c r="F12" s="284"/>
      <c r="G12" s="282">
        <v>4400000</v>
      </c>
      <c r="H12" s="442"/>
      <c r="I12" s="282">
        <f t="shared" si="0"/>
        <v>4400000</v>
      </c>
      <c r="J12" s="282">
        <v>8900000</v>
      </c>
      <c r="K12" s="442"/>
      <c r="L12" s="282">
        <f>J12+K12</f>
        <v>8900000</v>
      </c>
    </row>
    <row r="13" spans="1:12" ht="16.5" customHeight="1">
      <c r="A13" s="274" t="s">
        <v>1158</v>
      </c>
      <c r="B13" s="275" t="s">
        <v>1159</v>
      </c>
      <c r="C13" s="275"/>
      <c r="D13" s="275"/>
      <c r="E13" s="275"/>
      <c r="F13" s="284"/>
      <c r="G13" s="282">
        <f>G14+G170+G186+G238+G294+G308+G316+G345+G356+G363+G288</f>
        <v>91534464</v>
      </c>
      <c r="H13" s="442"/>
      <c r="I13" s="282">
        <f t="shared" si="0"/>
        <v>91534464</v>
      </c>
      <c r="J13" s="282">
        <f>J14+J170+J186+J238+J294+J308+J316+J345+J356+J363+J288</f>
        <v>63339076</v>
      </c>
      <c r="K13" s="442"/>
      <c r="L13" s="282">
        <f>J13+K13</f>
        <v>63339076</v>
      </c>
    </row>
    <row r="14" spans="1:12" ht="13.5">
      <c r="A14" s="281" t="s">
        <v>1046</v>
      </c>
      <c r="B14" s="275" t="s">
        <v>1159</v>
      </c>
      <c r="C14" s="275" t="s">
        <v>1047</v>
      </c>
      <c r="D14" s="275"/>
      <c r="E14" s="275"/>
      <c r="F14" s="284"/>
      <c r="G14" s="282">
        <f>G15+G20+G29+G87+G92+G75+G70+G82</f>
        <v>35934564.78</v>
      </c>
      <c r="H14" s="442"/>
      <c r="I14" s="282">
        <f t="shared" si="0"/>
        <v>35934564.78</v>
      </c>
      <c r="J14" s="282">
        <f>J15+J20+J29+J87+J92+J75+J70+J82</f>
        <v>35088760</v>
      </c>
      <c r="K14" s="442"/>
      <c r="L14" s="282">
        <f>J14+K14</f>
        <v>35088760</v>
      </c>
    </row>
    <row r="15" spans="1:12" ht="28.5" customHeight="1">
      <c r="A15" s="296" t="s">
        <v>1048</v>
      </c>
      <c r="B15" s="275" t="s">
        <v>1159</v>
      </c>
      <c r="C15" s="275" t="s">
        <v>1047</v>
      </c>
      <c r="D15" s="275" t="s">
        <v>1049</v>
      </c>
      <c r="E15" s="275"/>
      <c r="F15" s="284"/>
      <c r="G15" s="282">
        <f>G17</f>
        <v>1537000</v>
      </c>
      <c r="H15" s="442"/>
      <c r="I15" s="282">
        <f t="shared" si="0"/>
        <v>1537000</v>
      </c>
      <c r="J15" s="282">
        <f>J17</f>
        <v>1537000</v>
      </c>
      <c r="K15" s="442"/>
      <c r="L15" s="282">
        <f aca="true" t="shared" si="1" ref="L15:L61">J15+K15</f>
        <v>1537000</v>
      </c>
    </row>
    <row r="16" spans="1:12" ht="19.5" customHeight="1">
      <c r="A16" s="290" t="s">
        <v>966</v>
      </c>
      <c r="B16" s="275" t="s">
        <v>1159</v>
      </c>
      <c r="C16" s="275" t="s">
        <v>1047</v>
      </c>
      <c r="D16" s="275" t="s">
        <v>1049</v>
      </c>
      <c r="E16" s="302" t="s">
        <v>967</v>
      </c>
      <c r="F16" s="284"/>
      <c r="G16" s="282">
        <f>G17</f>
        <v>1537000</v>
      </c>
      <c r="H16" s="442"/>
      <c r="I16" s="282">
        <f t="shared" si="0"/>
        <v>1537000</v>
      </c>
      <c r="J16" s="282">
        <f>J17</f>
        <v>1537000</v>
      </c>
      <c r="K16" s="442"/>
      <c r="L16" s="282">
        <f t="shared" si="1"/>
        <v>1537000</v>
      </c>
    </row>
    <row r="17" spans="1:12" ht="17.25" customHeight="1">
      <c r="A17" s="281" t="s">
        <v>968</v>
      </c>
      <c r="B17" s="275" t="s">
        <v>1159</v>
      </c>
      <c r="C17" s="275" t="s">
        <v>1047</v>
      </c>
      <c r="D17" s="275" t="s">
        <v>1049</v>
      </c>
      <c r="E17" s="302" t="s">
        <v>969</v>
      </c>
      <c r="F17" s="284"/>
      <c r="G17" s="282">
        <f>G19</f>
        <v>1537000</v>
      </c>
      <c r="H17" s="442"/>
      <c r="I17" s="282">
        <f t="shared" si="0"/>
        <v>1537000</v>
      </c>
      <c r="J17" s="282">
        <f>J19</f>
        <v>1537000</v>
      </c>
      <c r="K17" s="442"/>
      <c r="L17" s="282">
        <f t="shared" si="1"/>
        <v>1537000</v>
      </c>
    </row>
    <row r="18" spans="1:12" ht="30" customHeight="1">
      <c r="A18" s="296" t="s">
        <v>970</v>
      </c>
      <c r="B18" s="275" t="s">
        <v>1159</v>
      </c>
      <c r="C18" s="275" t="s">
        <v>1047</v>
      </c>
      <c r="D18" s="275" t="s">
        <v>1049</v>
      </c>
      <c r="E18" s="302" t="s">
        <v>971</v>
      </c>
      <c r="F18" s="284"/>
      <c r="G18" s="282">
        <f>G19</f>
        <v>1537000</v>
      </c>
      <c r="H18" s="442"/>
      <c r="I18" s="282">
        <f t="shared" si="0"/>
        <v>1537000</v>
      </c>
      <c r="J18" s="282">
        <f>J19</f>
        <v>1537000</v>
      </c>
      <c r="K18" s="442"/>
      <c r="L18" s="282">
        <f t="shared" si="1"/>
        <v>1537000</v>
      </c>
    </row>
    <row r="19" spans="1:12" ht="51" customHeight="1">
      <c r="A19" s="290" t="s">
        <v>522</v>
      </c>
      <c r="B19" s="275" t="s">
        <v>1159</v>
      </c>
      <c r="C19" s="275" t="s">
        <v>1047</v>
      </c>
      <c r="D19" s="275" t="s">
        <v>1049</v>
      </c>
      <c r="E19" s="302" t="s">
        <v>971</v>
      </c>
      <c r="F19" s="303" t="s">
        <v>523</v>
      </c>
      <c r="G19" s="282">
        <v>1537000</v>
      </c>
      <c r="H19" s="442"/>
      <c r="I19" s="282">
        <f t="shared" si="0"/>
        <v>1537000</v>
      </c>
      <c r="J19" s="282">
        <v>1537000</v>
      </c>
      <c r="K19" s="442"/>
      <c r="L19" s="282">
        <f t="shared" si="1"/>
        <v>1537000</v>
      </c>
    </row>
    <row r="20" spans="1:12" ht="42" customHeight="1">
      <c r="A20" s="296" t="s">
        <v>1050</v>
      </c>
      <c r="B20" s="275" t="s">
        <v>1159</v>
      </c>
      <c r="C20" s="275" t="s">
        <v>1047</v>
      </c>
      <c r="D20" s="275" t="s">
        <v>1051</v>
      </c>
      <c r="E20" s="275"/>
      <c r="F20" s="284"/>
      <c r="G20" s="282">
        <f>G21</f>
        <v>1942800</v>
      </c>
      <c r="H20" s="442"/>
      <c r="I20" s="282">
        <f t="shared" si="0"/>
        <v>1942800</v>
      </c>
      <c r="J20" s="282">
        <f>J21</f>
        <v>1942800</v>
      </c>
      <c r="K20" s="442"/>
      <c r="L20" s="282">
        <f t="shared" si="1"/>
        <v>1942800</v>
      </c>
    </row>
    <row r="21" spans="1:12" ht="30.75" customHeight="1">
      <c r="A21" s="290" t="s">
        <v>982</v>
      </c>
      <c r="B21" s="275" t="s">
        <v>1159</v>
      </c>
      <c r="C21" s="275" t="s">
        <v>1047</v>
      </c>
      <c r="D21" s="275" t="s">
        <v>1051</v>
      </c>
      <c r="E21" s="302" t="s">
        <v>983</v>
      </c>
      <c r="F21" s="284"/>
      <c r="G21" s="282">
        <f>G22+G25</f>
        <v>1942800</v>
      </c>
      <c r="H21" s="442"/>
      <c r="I21" s="282">
        <f t="shared" si="0"/>
        <v>1942800</v>
      </c>
      <c r="J21" s="282">
        <f>J22+J25</f>
        <v>1942800</v>
      </c>
      <c r="K21" s="442"/>
      <c r="L21" s="282">
        <f t="shared" si="1"/>
        <v>1942800</v>
      </c>
    </row>
    <row r="22" spans="1:12" ht="18.75" customHeight="1">
      <c r="A22" s="281" t="s">
        <v>984</v>
      </c>
      <c r="B22" s="275" t="s">
        <v>1159</v>
      </c>
      <c r="C22" s="275" t="s">
        <v>1047</v>
      </c>
      <c r="D22" s="275" t="s">
        <v>1051</v>
      </c>
      <c r="E22" s="302" t="s">
        <v>985</v>
      </c>
      <c r="F22" s="284"/>
      <c r="G22" s="282">
        <f>G23</f>
        <v>880000</v>
      </c>
      <c r="H22" s="442"/>
      <c r="I22" s="282">
        <f t="shared" si="0"/>
        <v>880000</v>
      </c>
      <c r="J22" s="282">
        <f>J23</f>
        <v>880000</v>
      </c>
      <c r="K22" s="442"/>
      <c r="L22" s="282">
        <f t="shared" si="1"/>
        <v>880000</v>
      </c>
    </row>
    <row r="23" spans="1:12" ht="26.25">
      <c r="A23" s="296" t="s">
        <v>970</v>
      </c>
      <c r="B23" s="275" t="s">
        <v>1159</v>
      </c>
      <c r="C23" s="275" t="s">
        <v>1047</v>
      </c>
      <c r="D23" s="275" t="s">
        <v>1051</v>
      </c>
      <c r="E23" s="302" t="s">
        <v>986</v>
      </c>
      <c r="F23" s="303"/>
      <c r="G23" s="282">
        <f>G24</f>
        <v>880000</v>
      </c>
      <c r="H23" s="442"/>
      <c r="I23" s="282">
        <f t="shared" si="0"/>
        <v>880000</v>
      </c>
      <c r="J23" s="282">
        <f>J24</f>
        <v>880000</v>
      </c>
      <c r="K23" s="442"/>
      <c r="L23" s="282">
        <f t="shared" si="1"/>
        <v>880000</v>
      </c>
    </row>
    <row r="24" spans="1:12" ht="55.5" customHeight="1">
      <c r="A24" s="290" t="s">
        <v>522</v>
      </c>
      <c r="B24" s="275" t="s">
        <v>1159</v>
      </c>
      <c r="C24" s="275" t="s">
        <v>1047</v>
      </c>
      <c r="D24" s="275" t="s">
        <v>1051</v>
      </c>
      <c r="E24" s="302" t="s">
        <v>986</v>
      </c>
      <c r="F24" s="303" t="s">
        <v>523</v>
      </c>
      <c r="G24" s="282">
        <v>880000</v>
      </c>
      <c r="H24" s="442"/>
      <c r="I24" s="282">
        <f t="shared" si="0"/>
        <v>880000</v>
      </c>
      <c r="J24" s="282">
        <v>880000</v>
      </c>
      <c r="K24" s="442"/>
      <c r="L24" s="282">
        <f t="shared" si="1"/>
        <v>880000</v>
      </c>
    </row>
    <row r="25" spans="1:12" ht="18" customHeight="1">
      <c r="A25" s="281" t="s">
        <v>987</v>
      </c>
      <c r="B25" s="275" t="s">
        <v>1159</v>
      </c>
      <c r="C25" s="275" t="s">
        <v>1047</v>
      </c>
      <c r="D25" s="275" t="s">
        <v>1051</v>
      </c>
      <c r="E25" s="302" t="s">
        <v>988</v>
      </c>
      <c r="F25" s="303"/>
      <c r="G25" s="282">
        <f>G26</f>
        <v>1062800</v>
      </c>
      <c r="H25" s="442"/>
      <c r="I25" s="282">
        <f t="shared" si="0"/>
        <v>1062800</v>
      </c>
      <c r="J25" s="282">
        <f>J26</f>
        <v>1062800</v>
      </c>
      <c r="K25" s="442"/>
      <c r="L25" s="282">
        <f t="shared" si="1"/>
        <v>1062800</v>
      </c>
    </row>
    <row r="26" spans="1:12" ht="27.75" customHeight="1">
      <c r="A26" s="296" t="s">
        <v>970</v>
      </c>
      <c r="B26" s="275" t="s">
        <v>1159</v>
      </c>
      <c r="C26" s="275" t="s">
        <v>1047</v>
      </c>
      <c r="D26" s="275" t="s">
        <v>1051</v>
      </c>
      <c r="E26" s="302" t="s">
        <v>989</v>
      </c>
      <c r="F26" s="303"/>
      <c r="G26" s="282">
        <f>G27+G28</f>
        <v>1062800</v>
      </c>
      <c r="H26" s="442"/>
      <c r="I26" s="282">
        <f t="shared" si="0"/>
        <v>1062800</v>
      </c>
      <c r="J26" s="282">
        <f>J27+J28</f>
        <v>1062800</v>
      </c>
      <c r="K26" s="442"/>
      <c r="L26" s="282">
        <f t="shared" si="1"/>
        <v>1062800</v>
      </c>
    </row>
    <row r="27" spans="1:12" ht="54.75" customHeight="1">
      <c r="A27" s="290" t="s">
        <v>522</v>
      </c>
      <c r="B27" s="275" t="s">
        <v>1159</v>
      </c>
      <c r="C27" s="275" t="s">
        <v>1047</v>
      </c>
      <c r="D27" s="275" t="s">
        <v>1051</v>
      </c>
      <c r="E27" s="302" t="s">
        <v>989</v>
      </c>
      <c r="F27" s="303" t="s">
        <v>523</v>
      </c>
      <c r="G27" s="282">
        <v>1062800</v>
      </c>
      <c r="H27" s="442"/>
      <c r="I27" s="282">
        <f t="shared" si="0"/>
        <v>1062800</v>
      </c>
      <c r="J27" s="282">
        <v>1062800</v>
      </c>
      <c r="K27" s="442"/>
      <c r="L27" s="282">
        <f t="shared" si="1"/>
        <v>1062800</v>
      </c>
    </row>
    <row r="28" spans="1:12" ht="15.75" customHeight="1" hidden="1">
      <c r="A28" s="288" t="s">
        <v>524</v>
      </c>
      <c r="B28" s="275" t="s">
        <v>1159</v>
      </c>
      <c r="C28" s="275" t="s">
        <v>1047</v>
      </c>
      <c r="D28" s="275" t="s">
        <v>1051</v>
      </c>
      <c r="E28" s="302" t="s">
        <v>989</v>
      </c>
      <c r="F28" s="303" t="s">
        <v>525</v>
      </c>
      <c r="G28" s="282"/>
      <c r="H28" s="442"/>
      <c r="I28" s="282">
        <f t="shared" si="0"/>
        <v>0</v>
      </c>
      <c r="J28" s="282"/>
      <c r="K28" s="442"/>
      <c r="L28" s="282">
        <f t="shared" si="1"/>
        <v>0</v>
      </c>
    </row>
    <row r="29" spans="1:12" ht="39">
      <c r="A29" s="296" t="s">
        <v>1052</v>
      </c>
      <c r="B29" s="275" t="s">
        <v>1159</v>
      </c>
      <c r="C29" s="275" t="s">
        <v>1053</v>
      </c>
      <c r="D29" s="275" t="s">
        <v>1054</v>
      </c>
      <c r="E29" s="275"/>
      <c r="F29" s="284"/>
      <c r="G29" s="282">
        <f>G30+G47+G62+G56+G41</f>
        <v>20264214</v>
      </c>
      <c r="H29" s="442"/>
      <c r="I29" s="282">
        <f t="shared" si="0"/>
        <v>20264214</v>
      </c>
      <c r="J29" s="282">
        <f>J30+J47+J62+J56+J41</f>
        <v>20264214</v>
      </c>
      <c r="K29" s="442"/>
      <c r="L29" s="282">
        <f t="shared" si="1"/>
        <v>20264214</v>
      </c>
    </row>
    <row r="30" spans="1:12" ht="33" customHeight="1">
      <c r="A30" s="281" t="s">
        <v>1160</v>
      </c>
      <c r="B30" s="275" t="s">
        <v>1159</v>
      </c>
      <c r="C30" s="275" t="s">
        <v>1053</v>
      </c>
      <c r="D30" s="275" t="s">
        <v>1054</v>
      </c>
      <c r="E30" s="302" t="s">
        <v>556</v>
      </c>
      <c r="F30" s="303"/>
      <c r="G30" s="282">
        <f>G36+G31</f>
        <v>2960000</v>
      </c>
      <c r="H30" s="442"/>
      <c r="I30" s="282">
        <f t="shared" si="0"/>
        <v>2960000</v>
      </c>
      <c r="J30" s="282">
        <f>J36+J31</f>
        <v>2960000</v>
      </c>
      <c r="K30" s="442"/>
      <c r="L30" s="282">
        <f t="shared" si="1"/>
        <v>2960000</v>
      </c>
    </row>
    <row r="31" spans="1:12" ht="67.5" customHeight="1">
      <c r="A31" s="290" t="s">
        <v>1056</v>
      </c>
      <c r="B31" s="275" t="s">
        <v>1159</v>
      </c>
      <c r="C31" s="443" t="s">
        <v>1047</v>
      </c>
      <c r="D31" s="443" t="s">
        <v>1054</v>
      </c>
      <c r="E31" s="444" t="s">
        <v>580</v>
      </c>
      <c r="F31" s="445"/>
      <c r="G31" s="446">
        <f>G33</f>
        <v>888000</v>
      </c>
      <c r="H31" s="442"/>
      <c r="I31" s="282">
        <f t="shared" si="0"/>
        <v>888000</v>
      </c>
      <c r="J31" s="446">
        <f>J33</f>
        <v>888000</v>
      </c>
      <c r="K31" s="442"/>
      <c r="L31" s="282">
        <f t="shared" si="1"/>
        <v>888000</v>
      </c>
    </row>
    <row r="32" spans="1:12" ht="48" customHeight="1">
      <c r="A32" s="304" t="s">
        <v>585</v>
      </c>
      <c r="B32" s="275" t="s">
        <v>1159</v>
      </c>
      <c r="C32" s="275" t="s">
        <v>1047</v>
      </c>
      <c r="D32" s="275" t="s">
        <v>1054</v>
      </c>
      <c r="E32" s="302" t="s">
        <v>586</v>
      </c>
      <c r="F32" s="303"/>
      <c r="G32" s="282">
        <f>G33</f>
        <v>888000</v>
      </c>
      <c r="H32" s="442"/>
      <c r="I32" s="282">
        <f t="shared" si="0"/>
        <v>888000</v>
      </c>
      <c r="J32" s="282">
        <f>J33</f>
        <v>888000</v>
      </c>
      <c r="K32" s="442"/>
      <c r="L32" s="282">
        <f t="shared" si="1"/>
        <v>888000</v>
      </c>
    </row>
    <row r="33" spans="1:12" ht="42" customHeight="1">
      <c r="A33" s="447" t="s">
        <v>587</v>
      </c>
      <c r="B33" s="275" t="s">
        <v>1159</v>
      </c>
      <c r="C33" s="275" t="s">
        <v>1047</v>
      </c>
      <c r="D33" s="275" t="s">
        <v>1054</v>
      </c>
      <c r="E33" s="302" t="s">
        <v>588</v>
      </c>
      <c r="F33" s="303"/>
      <c r="G33" s="282">
        <f>G34+G35</f>
        <v>888000</v>
      </c>
      <c r="H33" s="442"/>
      <c r="I33" s="282">
        <f t="shared" si="0"/>
        <v>888000</v>
      </c>
      <c r="J33" s="282">
        <f>J34+J35</f>
        <v>888000</v>
      </c>
      <c r="K33" s="442"/>
      <c r="L33" s="282">
        <f t="shared" si="1"/>
        <v>888000</v>
      </c>
    </row>
    <row r="34" spans="1:12" ht="54" customHeight="1">
      <c r="A34" s="290" t="s">
        <v>522</v>
      </c>
      <c r="B34" s="275" t="s">
        <v>1159</v>
      </c>
      <c r="C34" s="275" t="s">
        <v>1047</v>
      </c>
      <c r="D34" s="275" t="s">
        <v>1054</v>
      </c>
      <c r="E34" s="302" t="s">
        <v>588</v>
      </c>
      <c r="F34" s="303" t="s">
        <v>523</v>
      </c>
      <c r="G34" s="282">
        <f>864600+11400</f>
        <v>876000</v>
      </c>
      <c r="H34" s="442"/>
      <c r="I34" s="282">
        <f t="shared" si="0"/>
        <v>876000</v>
      </c>
      <c r="J34" s="282">
        <f>864600+11400</f>
        <v>876000</v>
      </c>
      <c r="K34" s="442"/>
      <c r="L34" s="282">
        <f t="shared" si="1"/>
        <v>876000</v>
      </c>
    </row>
    <row r="35" spans="1:12" ht="31.5" customHeight="1">
      <c r="A35" s="290" t="s">
        <v>516</v>
      </c>
      <c r="B35" s="275" t="s">
        <v>1159</v>
      </c>
      <c r="C35" s="275" t="s">
        <v>1047</v>
      </c>
      <c r="D35" s="275" t="s">
        <v>1054</v>
      </c>
      <c r="E35" s="302" t="s">
        <v>588</v>
      </c>
      <c r="F35" s="303" t="s">
        <v>517</v>
      </c>
      <c r="G35" s="282">
        <v>12000</v>
      </c>
      <c r="H35" s="442"/>
      <c r="I35" s="282">
        <f t="shared" si="0"/>
        <v>12000</v>
      </c>
      <c r="J35" s="282">
        <v>12000</v>
      </c>
      <c r="K35" s="442"/>
      <c r="L35" s="282">
        <f t="shared" si="1"/>
        <v>12000</v>
      </c>
    </row>
    <row r="36" spans="1:12" ht="57.75" customHeight="1">
      <c r="A36" s="296" t="s">
        <v>1057</v>
      </c>
      <c r="B36" s="275" t="s">
        <v>1159</v>
      </c>
      <c r="C36" s="443" t="s">
        <v>1047</v>
      </c>
      <c r="D36" s="443" t="s">
        <v>1054</v>
      </c>
      <c r="E36" s="444" t="s">
        <v>596</v>
      </c>
      <c r="F36" s="448"/>
      <c r="G36" s="446">
        <f>G37</f>
        <v>2072000</v>
      </c>
      <c r="H36" s="442"/>
      <c r="I36" s="282">
        <f t="shared" si="0"/>
        <v>2072000</v>
      </c>
      <c r="J36" s="446">
        <f>J37</f>
        <v>2072000</v>
      </c>
      <c r="K36" s="442"/>
      <c r="L36" s="282">
        <f t="shared" si="1"/>
        <v>2072000</v>
      </c>
    </row>
    <row r="37" spans="1:12" ht="42.75" customHeight="1">
      <c r="A37" s="287" t="s">
        <v>605</v>
      </c>
      <c r="B37" s="275" t="s">
        <v>1159</v>
      </c>
      <c r="C37" s="275" t="s">
        <v>1047</v>
      </c>
      <c r="D37" s="275" t="s">
        <v>1054</v>
      </c>
      <c r="E37" s="302" t="s">
        <v>606</v>
      </c>
      <c r="F37" s="284"/>
      <c r="G37" s="282">
        <f>G38</f>
        <v>2072000</v>
      </c>
      <c r="H37" s="442"/>
      <c r="I37" s="282">
        <f t="shared" si="0"/>
        <v>2072000</v>
      </c>
      <c r="J37" s="282">
        <f>J38</f>
        <v>2072000</v>
      </c>
      <c r="K37" s="442"/>
      <c r="L37" s="282">
        <f t="shared" si="1"/>
        <v>2072000</v>
      </c>
    </row>
    <row r="38" spans="1:12" ht="33" customHeight="1">
      <c r="A38" s="296" t="s">
        <v>607</v>
      </c>
      <c r="B38" s="275" t="s">
        <v>1159</v>
      </c>
      <c r="C38" s="275" t="s">
        <v>1047</v>
      </c>
      <c r="D38" s="275" t="s">
        <v>1054</v>
      </c>
      <c r="E38" s="302" t="s">
        <v>608</v>
      </c>
      <c r="F38" s="284"/>
      <c r="G38" s="282">
        <f>G39+G40</f>
        <v>2072000</v>
      </c>
      <c r="H38" s="442"/>
      <c r="I38" s="282">
        <f t="shared" si="0"/>
        <v>2072000</v>
      </c>
      <c r="J38" s="282">
        <f>J39+J40</f>
        <v>2072000</v>
      </c>
      <c r="K38" s="442"/>
      <c r="L38" s="282">
        <f t="shared" si="1"/>
        <v>2072000</v>
      </c>
    </row>
    <row r="39" spans="1:12" ht="54.75" customHeight="1">
      <c r="A39" s="290" t="s">
        <v>522</v>
      </c>
      <c r="B39" s="275" t="s">
        <v>1159</v>
      </c>
      <c r="C39" s="275" t="s">
        <v>1047</v>
      </c>
      <c r="D39" s="275" t="s">
        <v>1054</v>
      </c>
      <c r="E39" s="302" t="s">
        <v>608</v>
      </c>
      <c r="F39" s="303" t="s">
        <v>523</v>
      </c>
      <c r="G39" s="282">
        <f>1524168+460299+300+60633+26600</f>
        <v>2072000</v>
      </c>
      <c r="H39" s="442"/>
      <c r="I39" s="282">
        <f t="shared" si="0"/>
        <v>2072000</v>
      </c>
      <c r="J39" s="282">
        <f>1524168+460299+300+60633+26600</f>
        <v>2072000</v>
      </c>
      <c r="K39" s="442"/>
      <c r="L39" s="282">
        <f t="shared" si="1"/>
        <v>2072000</v>
      </c>
    </row>
    <row r="40" spans="1:12" ht="26.25" customHeight="1" hidden="1">
      <c r="A40" s="290" t="s">
        <v>516</v>
      </c>
      <c r="B40" s="275" t="s">
        <v>1159</v>
      </c>
      <c r="C40" s="275" t="s">
        <v>1047</v>
      </c>
      <c r="D40" s="275" t="s">
        <v>1054</v>
      </c>
      <c r="E40" s="302" t="s">
        <v>608</v>
      </c>
      <c r="F40" s="303" t="s">
        <v>517</v>
      </c>
      <c r="G40" s="282">
        <f>60633-60633</f>
        <v>0</v>
      </c>
      <c r="H40" s="442"/>
      <c r="I40" s="282">
        <f t="shared" si="0"/>
        <v>0</v>
      </c>
      <c r="J40" s="282">
        <f>60633-60633</f>
        <v>0</v>
      </c>
      <c r="K40" s="442"/>
      <c r="L40" s="282">
        <f t="shared" si="1"/>
        <v>0</v>
      </c>
    </row>
    <row r="41" spans="1:12" ht="45.75" customHeight="1">
      <c r="A41" s="274" t="s">
        <v>812</v>
      </c>
      <c r="B41" s="275" t="s">
        <v>1159</v>
      </c>
      <c r="C41" s="275" t="s">
        <v>1047</v>
      </c>
      <c r="D41" s="275" t="s">
        <v>1054</v>
      </c>
      <c r="E41" s="302" t="s">
        <v>813</v>
      </c>
      <c r="F41" s="284"/>
      <c r="G41" s="282">
        <f>G42</f>
        <v>329014</v>
      </c>
      <c r="H41" s="442"/>
      <c r="I41" s="282">
        <f t="shared" si="0"/>
        <v>329014</v>
      </c>
      <c r="J41" s="282">
        <f>J42</f>
        <v>329014</v>
      </c>
      <c r="K41" s="442"/>
      <c r="L41" s="282">
        <f t="shared" si="1"/>
        <v>329014</v>
      </c>
    </row>
    <row r="42" spans="1:12" s="308" customFormat="1" ht="72" customHeight="1">
      <c r="A42" s="287" t="s">
        <v>814</v>
      </c>
      <c r="B42" s="443" t="s">
        <v>1159</v>
      </c>
      <c r="C42" s="443" t="s">
        <v>1047</v>
      </c>
      <c r="D42" s="443" t="s">
        <v>1054</v>
      </c>
      <c r="E42" s="444" t="s">
        <v>815</v>
      </c>
      <c r="F42" s="448"/>
      <c r="G42" s="446">
        <f>G44</f>
        <v>329014</v>
      </c>
      <c r="H42" s="449"/>
      <c r="I42" s="446">
        <f t="shared" si="0"/>
        <v>329014</v>
      </c>
      <c r="J42" s="446">
        <f>J44</f>
        <v>329014</v>
      </c>
      <c r="K42" s="449"/>
      <c r="L42" s="446">
        <f t="shared" si="1"/>
        <v>329014</v>
      </c>
    </row>
    <row r="43" spans="1:12" ht="30.75" customHeight="1">
      <c r="A43" s="288" t="s">
        <v>816</v>
      </c>
      <c r="B43" s="275" t="s">
        <v>1159</v>
      </c>
      <c r="C43" s="275" t="s">
        <v>1047</v>
      </c>
      <c r="D43" s="275" t="s">
        <v>1054</v>
      </c>
      <c r="E43" s="302" t="s">
        <v>817</v>
      </c>
      <c r="F43" s="284"/>
      <c r="G43" s="282">
        <f>G44</f>
        <v>329014</v>
      </c>
      <c r="H43" s="442"/>
      <c r="I43" s="282">
        <f t="shared" si="0"/>
        <v>329014</v>
      </c>
      <c r="J43" s="282">
        <f>J44</f>
        <v>329014</v>
      </c>
      <c r="K43" s="442"/>
      <c r="L43" s="282">
        <f t="shared" si="1"/>
        <v>329014</v>
      </c>
    </row>
    <row r="44" spans="1:12" ht="31.5" customHeight="1">
      <c r="A44" s="447" t="s">
        <v>818</v>
      </c>
      <c r="B44" s="275" t="s">
        <v>1159</v>
      </c>
      <c r="C44" s="275" t="s">
        <v>1047</v>
      </c>
      <c r="D44" s="275" t="s">
        <v>1054</v>
      </c>
      <c r="E44" s="302" t="s">
        <v>819</v>
      </c>
      <c r="F44" s="284"/>
      <c r="G44" s="282">
        <f>G45+G46</f>
        <v>329014</v>
      </c>
      <c r="H44" s="442"/>
      <c r="I44" s="282">
        <f t="shared" si="0"/>
        <v>329014</v>
      </c>
      <c r="J44" s="282">
        <f>J45+J46</f>
        <v>329014</v>
      </c>
      <c r="K44" s="442"/>
      <c r="L44" s="282">
        <f t="shared" si="1"/>
        <v>329014</v>
      </c>
    </row>
    <row r="45" spans="1:12" ht="39">
      <c r="A45" s="290" t="s">
        <v>522</v>
      </c>
      <c r="B45" s="275" t="s">
        <v>1159</v>
      </c>
      <c r="C45" s="275" t="s">
        <v>1047</v>
      </c>
      <c r="D45" s="275" t="s">
        <v>1054</v>
      </c>
      <c r="E45" s="302" t="s">
        <v>819</v>
      </c>
      <c r="F45" s="303" t="s">
        <v>523</v>
      </c>
      <c r="G45" s="282">
        <v>295773</v>
      </c>
      <c r="H45" s="442"/>
      <c r="I45" s="282">
        <f t="shared" si="0"/>
        <v>295773</v>
      </c>
      <c r="J45" s="282">
        <v>295773</v>
      </c>
      <c r="K45" s="442"/>
      <c r="L45" s="282">
        <f t="shared" si="1"/>
        <v>295773</v>
      </c>
    </row>
    <row r="46" spans="1:12" ht="31.5" customHeight="1">
      <c r="A46" s="290" t="s">
        <v>516</v>
      </c>
      <c r="B46" s="275" t="s">
        <v>1159</v>
      </c>
      <c r="C46" s="275" t="s">
        <v>1047</v>
      </c>
      <c r="D46" s="275" t="s">
        <v>1054</v>
      </c>
      <c r="E46" s="302" t="s">
        <v>819</v>
      </c>
      <c r="F46" s="303" t="s">
        <v>517</v>
      </c>
      <c r="G46" s="282">
        <v>33241</v>
      </c>
      <c r="H46" s="442"/>
      <c r="I46" s="282">
        <f t="shared" si="0"/>
        <v>33241</v>
      </c>
      <c r="J46" s="282">
        <v>33241</v>
      </c>
      <c r="K46" s="442"/>
      <c r="L46" s="282">
        <f t="shared" si="1"/>
        <v>33241</v>
      </c>
    </row>
    <row r="47" spans="1:12" ht="54.75" customHeight="1">
      <c r="A47" s="281" t="s">
        <v>852</v>
      </c>
      <c r="B47" s="275" t="s">
        <v>1159</v>
      </c>
      <c r="C47" s="275" t="s">
        <v>1047</v>
      </c>
      <c r="D47" s="275" t="s">
        <v>1054</v>
      </c>
      <c r="E47" s="302" t="s">
        <v>853</v>
      </c>
      <c r="F47" s="303"/>
      <c r="G47" s="282">
        <f>G48</f>
        <v>592000</v>
      </c>
      <c r="H47" s="442"/>
      <c r="I47" s="282">
        <f t="shared" si="0"/>
        <v>592000</v>
      </c>
      <c r="J47" s="282">
        <f>J48</f>
        <v>592000</v>
      </c>
      <c r="K47" s="442"/>
      <c r="L47" s="282">
        <f t="shared" si="1"/>
        <v>592000</v>
      </c>
    </row>
    <row r="48" spans="1:12" s="308" customFormat="1" ht="72.75" customHeight="1">
      <c r="A48" s="281" t="s">
        <v>862</v>
      </c>
      <c r="B48" s="443" t="s">
        <v>1159</v>
      </c>
      <c r="C48" s="443" t="s">
        <v>1047</v>
      </c>
      <c r="D48" s="443" t="s">
        <v>1054</v>
      </c>
      <c r="E48" s="444" t="s">
        <v>863</v>
      </c>
      <c r="F48" s="445"/>
      <c r="G48" s="446">
        <f>G50+G53</f>
        <v>592000</v>
      </c>
      <c r="H48" s="449"/>
      <c r="I48" s="446">
        <f t="shared" si="0"/>
        <v>592000</v>
      </c>
      <c r="J48" s="446">
        <f>J50+J53</f>
        <v>592000</v>
      </c>
      <c r="K48" s="449"/>
      <c r="L48" s="446">
        <f t="shared" si="1"/>
        <v>592000</v>
      </c>
    </row>
    <row r="49" spans="1:12" ht="42" customHeight="1">
      <c r="A49" s="287" t="s">
        <v>864</v>
      </c>
      <c r="B49" s="275" t="s">
        <v>1159</v>
      </c>
      <c r="C49" s="275" t="s">
        <v>1047</v>
      </c>
      <c r="D49" s="275" t="s">
        <v>1054</v>
      </c>
      <c r="E49" s="302" t="s">
        <v>865</v>
      </c>
      <c r="F49" s="303"/>
      <c r="G49" s="282">
        <f>G50+G53</f>
        <v>592000</v>
      </c>
      <c r="H49" s="442"/>
      <c r="I49" s="282">
        <f t="shared" si="0"/>
        <v>592000</v>
      </c>
      <c r="J49" s="282">
        <f>J50+J53</f>
        <v>592000</v>
      </c>
      <c r="K49" s="442"/>
      <c r="L49" s="282">
        <f t="shared" si="1"/>
        <v>592000</v>
      </c>
    </row>
    <row r="50" spans="1:12" ht="44.25" customHeight="1">
      <c r="A50" s="447" t="s">
        <v>866</v>
      </c>
      <c r="B50" s="275" t="s">
        <v>1159</v>
      </c>
      <c r="C50" s="275" t="s">
        <v>1047</v>
      </c>
      <c r="D50" s="275" t="s">
        <v>1054</v>
      </c>
      <c r="E50" s="275" t="s">
        <v>867</v>
      </c>
      <c r="F50" s="284"/>
      <c r="G50" s="282">
        <f>G51+G52</f>
        <v>296000</v>
      </c>
      <c r="H50" s="442"/>
      <c r="I50" s="282">
        <f t="shared" si="0"/>
        <v>296000</v>
      </c>
      <c r="J50" s="282">
        <f>J51+J52</f>
        <v>296000</v>
      </c>
      <c r="K50" s="442"/>
      <c r="L50" s="282">
        <f t="shared" si="1"/>
        <v>296000</v>
      </c>
    </row>
    <row r="51" spans="1:12" ht="57.75" customHeight="1">
      <c r="A51" s="290" t="s">
        <v>522</v>
      </c>
      <c r="B51" s="275" t="s">
        <v>1159</v>
      </c>
      <c r="C51" s="275" t="s">
        <v>1047</v>
      </c>
      <c r="D51" s="275" t="s">
        <v>1054</v>
      </c>
      <c r="E51" s="275" t="s">
        <v>867</v>
      </c>
      <c r="F51" s="303" t="s">
        <v>523</v>
      </c>
      <c r="G51" s="282">
        <f>292200+3800</f>
        <v>296000</v>
      </c>
      <c r="H51" s="442"/>
      <c r="I51" s="282">
        <f t="shared" si="0"/>
        <v>296000</v>
      </c>
      <c r="J51" s="282">
        <f>292200+3800</f>
        <v>296000</v>
      </c>
      <c r="K51" s="442"/>
      <c r="L51" s="282">
        <f t="shared" si="1"/>
        <v>296000</v>
      </c>
    </row>
    <row r="52" spans="1:12" ht="26.25">
      <c r="A52" s="290" t="s">
        <v>516</v>
      </c>
      <c r="B52" s="275" t="s">
        <v>1159</v>
      </c>
      <c r="C52" s="275" t="s">
        <v>1047</v>
      </c>
      <c r="D52" s="275" t="s">
        <v>1054</v>
      </c>
      <c r="E52" s="275" t="s">
        <v>867</v>
      </c>
      <c r="F52" s="303" t="s">
        <v>517</v>
      </c>
      <c r="G52" s="282"/>
      <c r="H52" s="442"/>
      <c r="I52" s="282">
        <f t="shared" si="0"/>
        <v>0</v>
      </c>
      <c r="J52" s="282"/>
      <c r="K52" s="442"/>
      <c r="L52" s="282">
        <f t="shared" si="1"/>
        <v>0</v>
      </c>
    </row>
    <row r="53" spans="1:12" ht="35.25" customHeight="1">
      <c r="A53" s="447" t="s">
        <v>868</v>
      </c>
      <c r="B53" s="275" t="s">
        <v>1159</v>
      </c>
      <c r="C53" s="275" t="s">
        <v>1047</v>
      </c>
      <c r="D53" s="275" t="s">
        <v>1054</v>
      </c>
      <c r="E53" s="275" t="s">
        <v>869</v>
      </c>
      <c r="F53" s="284"/>
      <c r="G53" s="282">
        <f>G54+G55</f>
        <v>296000</v>
      </c>
      <c r="H53" s="442"/>
      <c r="I53" s="282">
        <f t="shared" si="0"/>
        <v>296000</v>
      </c>
      <c r="J53" s="282">
        <f>J54+J55</f>
        <v>296000</v>
      </c>
      <c r="K53" s="442"/>
      <c r="L53" s="282">
        <f t="shared" si="1"/>
        <v>296000</v>
      </c>
    </row>
    <row r="54" spans="1:12" ht="57.75" customHeight="1">
      <c r="A54" s="290" t="s">
        <v>522</v>
      </c>
      <c r="B54" s="275" t="s">
        <v>1159</v>
      </c>
      <c r="C54" s="275" t="s">
        <v>1047</v>
      </c>
      <c r="D54" s="275" t="s">
        <v>1054</v>
      </c>
      <c r="E54" s="275" t="s">
        <v>869</v>
      </c>
      <c r="F54" s="303" t="s">
        <v>523</v>
      </c>
      <c r="G54" s="282">
        <f>193920+58564+39716+3800</f>
        <v>296000</v>
      </c>
      <c r="H54" s="442"/>
      <c r="I54" s="282">
        <f t="shared" si="0"/>
        <v>296000</v>
      </c>
      <c r="J54" s="282">
        <f>193920+58564+39716+3800</f>
        <v>296000</v>
      </c>
      <c r="K54" s="442"/>
      <c r="L54" s="282">
        <f t="shared" si="1"/>
        <v>296000</v>
      </c>
    </row>
    <row r="55" spans="1:12" ht="26.25" customHeight="1" hidden="1">
      <c r="A55" s="290" t="s">
        <v>516</v>
      </c>
      <c r="B55" s="275" t="s">
        <v>1159</v>
      </c>
      <c r="C55" s="275" t="s">
        <v>1047</v>
      </c>
      <c r="D55" s="275" t="s">
        <v>1054</v>
      </c>
      <c r="E55" s="275" t="s">
        <v>869</v>
      </c>
      <c r="F55" s="303" t="s">
        <v>517</v>
      </c>
      <c r="G55" s="282">
        <f>39716-39716</f>
        <v>0</v>
      </c>
      <c r="H55" s="442"/>
      <c r="I55" s="282">
        <f t="shared" si="0"/>
        <v>0</v>
      </c>
      <c r="J55" s="282">
        <f>39716-39716</f>
        <v>0</v>
      </c>
      <c r="K55" s="442"/>
      <c r="L55" s="282">
        <f t="shared" si="1"/>
        <v>0</v>
      </c>
    </row>
    <row r="56" spans="1:12" ht="18" customHeight="1">
      <c r="A56" s="290" t="s">
        <v>972</v>
      </c>
      <c r="B56" s="275" t="s">
        <v>1159</v>
      </c>
      <c r="C56" s="275" t="s">
        <v>1047</v>
      </c>
      <c r="D56" s="275" t="s">
        <v>1054</v>
      </c>
      <c r="E56" s="275" t="s">
        <v>973</v>
      </c>
      <c r="F56" s="284"/>
      <c r="G56" s="282">
        <f>G57</f>
        <v>16057600</v>
      </c>
      <c r="H56" s="442"/>
      <c r="I56" s="282">
        <f t="shared" si="0"/>
        <v>16057600</v>
      </c>
      <c r="J56" s="282">
        <f>J57</f>
        <v>16057600</v>
      </c>
      <c r="K56" s="442"/>
      <c r="L56" s="282">
        <f t="shared" si="1"/>
        <v>16057600</v>
      </c>
    </row>
    <row r="57" spans="1:12" ht="21" customHeight="1">
      <c r="A57" s="296" t="s">
        <v>974</v>
      </c>
      <c r="B57" s="275" t="s">
        <v>1159</v>
      </c>
      <c r="C57" s="275" t="s">
        <v>1047</v>
      </c>
      <c r="D57" s="275" t="s">
        <v>1054</v>
      </c>
      <c r="E57" s="275" t="s">
        <v>975</v>
      </c>
      <c r="F57" s="284"/>
      <c r="G57" s="282">
        <f>G58</f>
        <v>16057600</v>
      </c>
      <c r="H57" s="442"/>
      <c r="I57" s="282">
        <f t="shared" si="0"/>
        <v>16057600</v>
      </c>
      <c r="J57" s="282">
        <f>J58</f>
        <v>16057600</v>
      </c>
      <c r="K57" s="442"/>
      <c r="L57" s="282">
        <f t="shared" si="1"/>
        <v>16057600</v>
      </c>
    </row>
    <row r="58" spans="1:12" ht="32.25" customHeight="1">
      <c r="A58" s="296" t="s">
        <v>970</v>
      </c>
      <c r="B58" s="275" t="s">
        <v>1159</v>
      </c>
      <c r="C58" s="275" t="s">
        <v>1047</v>
      </c>
      <c r="D58" s="275" t="s">
        <v>1054</v>
      </c>
      <c r="E58" s="275" t="s">
        <v>976</v>
      </c>
      <c r="F58" s="284"/>
      <c r="G58" s="282">
        <f>G59+G60+G61</f>
        <v>16057600</v>
      </c>
      <c r="H58" s="442"/>
      <c r="I58" s="282">
        <f t="shared" si="0"/>
        <v>16057600</v>
      </c>
      <c r="J58" s="282">
        <f>J59+J60+J61</f>
        <v>16057600</v>
      </c>
      <c r="K58" s="442"/>
      <c r="L58" s="282">
        <f t="shared" si="1"/>
        <v>16057600</v>
      </c>
    </row>
    <row r="59" spans="1:12" ht="54.75" customHeight="1">
      <c r="A59" s="290" t="s">
        <v>522</v>
      </c>
      <c r="B59" s="275" t="s">
        <v>1159</v>
      </c>
      <c r="C59" s="275" t="s">
        <v>1047</v>
      </c>
      <c r="D59" s="275" t="s">
        <v>1054</v>
      </c>
      <c r="E59" s="275" t="s">
        <v>976</v>
      </c>
      <c r="F59" s="303" t="s">
        <v>523</v>
      </c>
      <c r="G59" s="282">
        <v>15918200</v>
      </c>
      <c r="H59" s="442"/>
      <c r="I59" s="282">
        <f t="shared" si="0"/>
        <v>15918200</v>
      </c>
      <c r="J59" s="282">
        <v>15918200</v>
      </c>
      <c r="K59" s="442"/>
      <c r="L59" s="282">
        <f t="shared" si="1"/>
        <v>15918200</v>
      </c>
    </row>
    <row r="60" spans="1:12" ht="30" customHeight="1">
      <c r="A60" s="290" t="s">
        <v>516</v>
      </c>
      <c r="B60" s="275" t="s">
        <v>1159</v>
      </c>
      <c r="C60" s="275" t="s">
        <v>1047</v>
      </c>
      <c r="D60" s="275" t="s">
        <v>1054</v>
      </c>
      <c r="E60" s="275" t="s">
        <v>976</v>
      </c>
      <c r="F60" s="303" t="s">
        <v>517</v>
      </c>
      <c r="G60" s="334">
        <v>58500</v>
      </c>
      <c r="H60" s="442"/>
      <c r="I60" s="282">
        <f t="shared" si="0"/>
        <v>58500</v>
      </c>
      <c r="J60" s="334">
        <v>58500</v>
      </c>
      <c r="K60" s="442"/>
      <c r="L60" s="282">
        <f t="shared" si="1"/>
        <v>58500</v>
      </c>
    </row>
    <row r="61" spans="1:12" ht="18.75" customHeight="1">
      <c r="A61" s="288" t="s">
        <v>524</v>
      </c>
      <c r="B61" s="275" t="s">
        <v>1159</v>
      </c>
      <c r="C61" s="275" t="s">
        <v>1047</v>
      </c>
      <c r="D61" s="275" t="s">
        <v>1054</v>
      </c>
      <c r="E61" s="275" t="s">
        <v>976</v>
      </c>
      <c r="F61" s="303" t="s">
        <v>525</v>
      </c>
      <c r="G61" s="282">
        <v>80900</v>
      </c>
      <c r="H61" s="442"/>
      <c r="I61" s="282">
        <f t="shared" si="0"/>
        <v>80900</v>
      </c>
      <c r="J61" s="282">
        <v>80900</v>
      </c>
      <c r="K61" s="442"/>
      <c r="L61" s="282">
        <f t="shared" si="1"/>
        <v>80900</v>
      </c>
    </row>
    <row r="62" spans="1:12" ht="13.5">
      <c r="A62" s="281" t="s">
        <v>995</v>
      </c>
      <c r="B62" s="275" t="s">
        <v>1159</v>
      </c>
      <c r="C62" s="275" t="s">
        <v>1047</v>
      </c>
      <c r="D62" s="275" t="s">
        <v>1054</v>
      </c>
      <c r="E62" s="275" t="s">
        <v>996</v>
      </c>
      <c r="F62" s="284"/>
      <c r="G62" s="282">
        <f>G63+G67</f>
        <v>325600</v>
      </c>
      <c r="H62" s="442"/>
      <c r="I62" s="282">
        <f t="shared" si="0"/>
        <v>325600</v>
      </c>
      <c r="J62" s="282">
        <f>J63+J67</f>
        <v>325600</v>
      </c>
      <c r="K62" s="442"/>
      <c r="L62" s="282">
        <f>J62+K62</f>
        <v>325600</v>
      </c>
    </row>
    <row r="63" spans="1:12" ht="17.25" customHeight="1">
      <c r="A63" s="287" t="s">
        <v>997</v>
      </c>
      <c r="B63" s="275" t="s">
        <v>1159</v>
      </c>
      <c r="C63" s="275" t="s">
        <v>1047</v>
      </c>
      <c r="D63" s="275" t="s">
        <v>1054</v>
      </c>
      <c r="E63" s="275" t="s">
        <v>998</v>
      </c>
      <c r="F63" s="284"/>
      <c r="G63" s="282">
        <f>G64</f>
        <v>296000</v>
      </c>
      <c r="H63" s="442"/>
      <c r="I63" s="282">
        <f t="shared" si="0"/>
        <v>296000</v>
      </c>
      <c r="J63" s="282">
        <f>J64</f>
        <v>296000</v>
      </c>
      <c r="K63" s="442"/>
      <c r="L63" s="282">
        <f aca="true" t="shared" si="2" ref="L63:L138">J63+K63</f>
        <v>296000</v>
      </c>
    </row>
    <row r="64" spans="1:12" ht="27.75" customHeight="1">
      <c r="A64" s="296" t="s">
        <v>999</v>
      </c>
      <c r="B64" s="275" t="s">
        <v>1159</v>
      </c>
      <c r="C64" s="275" t="s">
        <v>1047</v>
      </c>
      <c r="D64" s="275" t="s">
        <v>1054</v>
      </c>
      <c r="E64" s="275" t="s">
        <v>1000</v>
      </c>
      <c r="F64" s="284"/>
      <c r="G64" s="282">
        <f>G65+G66</f>
        <v>296000</v>
      </c>
      <c r="H64" s="442"/>
      <c r="I64" s="282">
        <f t="shared" si="0"/>
        <v>296000</v>
      </c>
      <c r="J64" s="282">
        <f>J65+J66</f>
        <v>296000</v>
      </c>
      <c r="K64" s="442"/>
      <c r="L64" s="282">
        <f t="shared" si="2"/>
        <v>296000</v>
      </c>
    </row>
    <row r="65" spans="1:12" ht="54" customHeight="1">
      <c r="A65" s="290" t="s">
        <v>522</v>
      </c>
      <c r="B65" s="275" t="s">
        <v>1159</v>
      </c>
      <c r="C65" s="275" t="s">
        <v>1047</v>
      </c>
      <c r="D65" s="275" t="s">
        <v>1054</v>
      </c>
      <c r="E65" s="275" t="s">
        <v>1000</v>
      </c>
      <c r="F65" s="303" t="s">
        <v>523</v>
      </c>
      <c r="G65" s="282">
        <f>208320+62913+20967+3800</f>
        <v>296000</v>
      </c>
      <c r="H65" s="442"/>
      <c r="I65" s="282">
        <f t="shared" si="0"/>
        <v>296000</v>
      </c>
      <c r="J65" s="282">
        <f>208320+62913+20967+3800</f>
        <v>296000</v>
      </c>
      <c r="K65" s="442"/>
      <c r="L65" s="282">
        <f t="shared" si="2"/>
        <v>296000</v>
      </c>
    </row>
    <row r="66" spans="1:12" ht="15" customHeight="1" hidden="1">
      <c r="A66" s="290" t="s">
        <v>554</v>
      </c>
      <c r="B66" s="275" t="s">
        <v>1159</v>
      </c>
      <c r="C66" s="275" t="s">
        <v>1047</v>
      </c>
      <c r="D66" s="275" t="s">
        <v>1054</v>
      </c>
      <c r="E66" s="275" t="s">
        <v>1000</v>
      </c>
      <c r="F66" s="303" t="s">
        <v>517</v>
      </c>
      <c r="G66" s="282">
        <f>20967-20967</f>
        <v>0</v>
      </c>
      <c r="H66" s="442"/>
      <c r="I66" s="282">
        <f t="shared" si="0"/>
        <v>0</v>
      </c>
      <c r="J66" s="282">
        <f>20967-20967</f>
        <v>0</v>
      </c>
      <c r="K66" s="442"/>
      <c r="L66" s="282">
        <f t="shared" si="2"/>
        <v>0</v>
      </c>
    </row>
    <row r="67" spans="1:12" ht="13.5">
      <c r="A67" s="281" t="s">
        <v>1001</v>
      </c>
      <c r="B67" s="275" t="s">
        <v>1159</v>
      </c>
      <c r="C67" s="275" t="s">
        <v>1047</v>
      </c>
      <c r="D67" s="275" t="s">
        <v>1054</v>
      </c>
      <c r="E67" s="275" t="s">
        <v>1002</v>
      </c>
      <c r="F67" s="284"/>
      <c r="G67" s="282">
        <f>G68</f>
        <v>29600</v>
      </c>
      <c r="H67" s="442"/>
      <c r="I67" s="282">
        <f t="shared" si="0"/>
        <v>29600</v>
      </c>
      <c r="J67" s="282">
        <f>J68</f>
        <v>29600</v>
      </c>
      <c r="K67" s="442"/>
      <c r="L67" s="282">
        <f t="shared" si="2"/>
        <v>29600</v>
      </c>
    </row>
    <row r="68" spans="1:12" ht="39">
      <c r="A68" s="337" t="s">
        <v>1005</v>
      </c>
      <c r="B68" s="275" t="s">
        <v>1159</v>
      </c>
      <c r="C68" s="275" t="s">
        <v>1047</v>
      </c>
      <c r="D68" s="275" t="s">
        <v>1054</v>
      </c>
      <c r="E68" s="275" t="s">
        <v>1006</v>
      </c>
      <c r="F68" s="284"/>
      <c r="G68" s="282">
        <f>G69</f>
        <v>29600</v>
      </c>
      <c r="H68" s="442"/>
      <c r="I68" s="282">
        <f t="shared" si="0"/>
        <v>29600</v>
      </c>
      <c r="J68" s="282">
        <f>J69</f>
        <v>29600</v>
      </c>
      <c r="K68" s="442"/>
      <c r="L68" s="282">
        <f t="shared" si="2"/>
        <v>29600</v>
      </c>
    </row>
    <row r="69" spans="1:12" ht="49.5" customHeight="1">
      <c r="A69" s="290" t="s">
        <v>522</v>
      </c>
      <c r="B69" s="275" t="s">
        <v>1159</v>
      </c>
      <c r="C69" s="275" t="s">
        <v>1047</v>
      </c>
      <c r="D69" s="275" t="s">
        <v>1054</v>
      </c>
      <c r="E69" s="275" t="s">
        <v>1006</v>
      </c>
      <c r="F69" s="303" t="s">
        <v>523</v>
      </c>
      <c r="G69" s="282">
        <f>22442+6778+380</f>
        <v>29600</v>
      </c>
      <c r="H69" s="442"/>
      <c r="I69" s="282">
        <f t="shared" si="0"/>
        <v>29600</v>
      </c>
      <c r="J69" s="282">
        <f>22442+6778+380</f>
        <v>29600</v>
      </c>
      <c r="K69" s="442"/>
      <c r="L69" s="282">
        <f t="shared" si="2"/>
        <v>29600</v>
      </c>
    </row>
    <row r="70" spans="1:12" ht="15" customHeight="1" hidden="1">
      <c r="A70" s="337" t="s">
        <v>1058</v>
      </c>
      <c r="B70" s="275" t="s">
        <v>1159</v>
      </c>
      <c r="C70" s="275" t="s">
        <v>1047</v>
      </c>
      <c r="D70" s="275" t="s">
        <v>1059</v>
      </c>
      <c r="E70" s="275"/>
      <c r="F70" s="303"/>
      <c r="G70" s="282">
        <f>G71</f>
        <v>0</v>
      </c>
      <c r="H70" s="442"/>
      <c r="I70" s="282">
        <f t="shared" si="0"/>
        <v>0</v>
      </c>
      <c r="J70" s="282">
        <f>J71</f>
        <v>0</v>
      </c>
      <c r="K70" s="442"/>
      <c r="L70" s="282">
        <f t="shared" si="2"/>
        <v>0</v>
      </c>
    </row>
    <row r="71" spans="1:12" ht="15" customHeight="1" hidden="1">
      <c r="A71" s="281" t="s">
        <v>995</v>
      </c>
      <c r="B71" s="275" t="s">
        <v>1159</v>
      </c>
      <c r="C71" s="275" t="s">
        <v>1047</v>
      </c>
      <c r="D71" s="275" t="s">
        <v>1059</v>
      </c>
      <c r="E71" s="275" t="s">
        <v>996</v>
      </c>
      <c r="F71" s="303"/>
      <c r="G71" s="282">
        <f>G72</f>
        <v>0</v>
      </c>
      <c r="H71" s="442"/>
      <c r="I71" s="282">
        <f t="shared" si="0"/>
        <v>0</v>
      </c>
      <c r="J71" s="282">
        <f>J72</f>
        <v>0</v>
      </c>
      <c r="K71" s="442"/>
      <c r="L71" s="282">
        <f t="shared" si="2"/>
        <v>0</v>
      </c>
    </row>
    <row r="72" spans="1:12" ht="15" customHeight="1" hidden="1">
      <c r="A72" s="281" t="s">
        <v>1001</v>
      </c>
      <c r="B72" s="275" t="s">
        <v>1159</v>
      </c>
      <c r="C72" s="275" t="s">
        <v>1047</v>
      </c>
      <c r="D72" s="275" t="s">
        <v>1059</v>
      </c>
      <c r="E72" s="275" t="s">
        <v>1002</v>
      </c>
      <c r="F72" s="303"/>
      <c r="G72" s="282">
        <f>G73</f>
        <v>0</v>
      </c>
      <c r="H72" s="442"/>
      <c r="I72" s="282">
        <f t="shared" si="0"/>
        <v>0</v>
      </c>
      <c r="J72" s="282">
        <f>J73</f>
        <v>0</v>
      </c>
      <c r="K72" s="442"/>
      <c r="L72" s="282">
        <f t="shared" si="2"/>
        <v>0</v>
      </c>
    </row>
    <row r="73" spans="1:12" ht="39" customHeight="1" hidden="1">
      <c r="A73" s="447" t="s">
        <v>1007</v>
      </c>
      <c r="B73" s="275" t="s">
        <v>1159</v>
      </c>
      <c r="C73" s="275" t="s">
        <v>1047</v>
      </c>
      <c r="D73" s="275" t="s">
        <v>1059</v>
      </c>
      <c r="E73" s="275" t="s">
        <v>1008</v>
      </c>
      <c r="F73" s="303"/>
      <c r="G73" s="282">
        <f>G74</f>
        <v>0</v>
      </c>
      <c r="H73" s="442"/>
      <c r="I73" s="282">
        <f t="shared" si="0"/>
        <v>0</v>
      </c>
      <c r="J73" s="282">
        <f>J74</f>
        <v>0</v>
      </c>
      <c r="K73" s="442"/>
      <c r="L73" s="282">
        <f t="shared" si="2"/>
        <v>0</v>
      </c>
    </row>
    <row r="74" spans="1:12" ht="14.25" customHeight="1" hidden="1">
      <c r="A74" s="290" t="s">
        <v>554</v>
      </c>
      <c r="B74" s="275" t="s">
        <v>1159</v>
      </c>
      <c r="C74" s="275" t="s">
        <v>1047</v>
      </c>
      <c r="D74" s="275" t="s">
        <v>1059</v>
      </c>
      <c r="E74" s="275" t="s">
        <v>1008</v>
      </c>
      <c r="F74" s="303" t="s">
        <v>517</v>
      </c>
      <c r="G74" s="282"/>
      <c r="H74" s="442"/>
      <c r="I74" s="282">
        <f t="shared" si="0"/>
        <v>0</v>
      </c>
      <c r="J74" s="282"/>
      <c r="K74" s="442"/>
      <c r="L74" s="282">
        <f t="shared" si="2"/>
        <v>0</v>
      </c>
    </row>
    <row r="75" spans="1:12" ht="26.25" customHeight="1" hidden="1">
      <c r="A75" s="281" t="s">
        <v>1060</v>
      </c>
      <c r="B75" s="275" t="s">
        <v>1159</v>
      </c>
      <c r="C75" s="275" t="s">
        <v>1047</v>
      </c>
      <c r="D75" s="275" t="s">
        <v>1061</v>
      </c>
      <c r="E75" s="275"/>
      <c r="F75" s="284"/>
      <c r="G75" s="282">
        <f>G76</f>
        <v>559000</v>
      </c>
      <c r="H75" s="442"/>
      <c r="I75" s="282">
        <f aca="true" t="shared" si="3" ref="I75:I138">G75+H75</f>
        <v>559000</v>
      </c>
      <c r="J75" s="282">
        <f>J76</f>
        <v>559000</v>
      </c>
      <c r="K75" s="442"/>
      <c r="L75" s="282">
        <f t="shared" si="2"/>
        <v>559000</v>
      </c>
    </row>
    <row r="76" spans="1:12" ht="33.75" customHeight="1">
      <c r="A76" s="290" t="s">
        <v>977</v>
      </c>
      <c r="B76" s="275" t="s">
        <v>1159</v>
      </c>
      <c r="C76" s="275" t="s">
        <v>1047</v>
      </c>
      <c r="D76" s="275" t="s">
        <v>1061</v>
      </c>
      <c r="E76" s="298" t="s">
        <v>978</v>
      </c>
      <c r="F76" s="303"/>
      <c r="G76" s="282">
        <f>G77</f>
        <v>559000</v>
      </c>
      <c r="H76" s="442"/>
      <c r="I76" s="282">
        <f t="shared" si="3"/>
        <v>559000</v>
      </c>
      <c r="J76" s="282">
        <f>J77</f>
        <v>559000</v>
      </c>
      <c r="K76" s="442"/>
      <c r="L76" s="282">
        <f t="shared" si="2"/>
        <v>559000</v>
      </c>
    </row>
    <row r="77" spans="1:12" ht="13.5">
      <c r="A77" s="290" t="s">
        <v>979</v>
      </c>
      <c r="B77" s="275" t="s">
        <v>1159</v>
      </c>
      <c r="C77" s="275" t="s">
        <v>1047</v>
      </c>
      <c r="D77" s="275" t="s">
        <v>1061</v>
      </c>
      <c r="E77" s="298" t="s">
        <v>980</v>
      </c>
      <c r="F77" s="303"/>
      <c r="G77" s="282">
        <f>G78</f>
        <v>559000</v>
      </c>
      <c r="H77" s="442"/>
      <c r="I77" s="282">
        <f t="shared" si="3"/>
        <v>559000</v>
      </c>
      <c r="J77" s="282">
        <f>J78</f>
        <v>559000</v>
      </c>
      <c r="K77" s="442"/>
      <c r="L77" s="282">
        <f t="shared" si="2"/>
        <v>559000</v>
      </c>
    </row>
    <row r="78" spans="1:12" ht="26.25">
      <c r="A78" s="296" t="s">
        <v>970</v>
      </c>
      <c r="B78" s="275" t="s">
        <v>1159</v>
      </c>
      <c r="C78" s="275" t="s">
        <v>1047</v>
      </c>
      <c r="D78" s="275" t="s">
        <v>1061</v>
      </c>
      <c r="E78" s="298" t="s">
        <v>981</v>
      </c>
      <c r="F78" s="284"/>
      <c r="G78" s="282">
        <f>G79+G80+G81</f>
        <v>559000</v>
      </c>
      <c r="H78" s="442"/>
      <c r="I78" s="282">
        <f t="shared" si="3"/>
        <v>559000</v>
      </c>
      <c r="J78" s="282">
        <f>J79+J80+J81</f>
        <v>559000</v>
      </c>
      <c r="K78" s="442"/>
      <c r="L78" s="282">
        <f t="shared" si="2"/>
        <v>559000</v>
      </c>
    </row>
    <row r="79" spans="1:12" ht="60.75" customHeight="1">
      <c r="A79" s="290" t="s">
        <v>522</v>
      </c>
      <c r="B79" s="275" t="s">
        <v>1159</v>
      </c>
      <c r="C79" s="275" t="s">
        <v>1047</v>
      </c>
      <c r="D79" s="275" t="s">
        <v>1061</v>
      </c>
      <c r="E79" s="298" t="s">
        <v>981</v>
      </c>
      <c r="F79" s="303" t="s">
        <v>523</v>
      </c>
      <c r="G79" s="282">
        <v>559000</v>
      </c>
      <c r="H79" s="442"/>
      <c r="I79" s="282">
        <f t="shared" si="3"/>
        <v>559000</v>
      </c>
      <c r="J79" s="282">
        <v>559000</v>
      </c>
      <c r="K79" s="442"/>
      <c r="L79" s="282">
        <f t="shared" si="2"/>
        <v>559000</v>
      </c>
    </row>
    <row r="80" spans="1:12" ht="14.25" customHeight="1">
      <c r="A80" s="290" t="s">
        <v>554</v>
      </c>
      <c r="B80" s="275" t="s">
        <v>1159</v>
      </c>
      <c r="C80" s="275" t="s">
        <v>1047</v>
      </c>
      <c r="D80" s="275" t="s">
        <v>1061</v>
      </c>
      <c r="E80" s="298" t="s">
        <v>981</v>
      </c>
      <c r="F80" s="303" t="s">
        <v>517</v>
      </c>
      <c r="G80" s="282"/>
      <c r="H80" s="442"/>
      <c r="I80" s="282">
        <f t="shared" si="3"/>
        <v>0</v>
      </c>
      <c r="J80" s="282"/>
      <c r="K80" s="442"/>
      <c r="L80" s="282">
        <f t="shared" si="2"/>
        <v>0</v>
      </c>
    </row>
    <row r="81" spans="1:12" ht="15" customHeight="1" hidden="1">
      <c r="A81" s="288" t="s">
        <v>524</v>
      </c>
      <c r="B81" s="275" t="s">
        <v>1159</v>
      </c>
      <c r="C81" s="275" t="s">
        <v>1047</v>
      </c>
      <c r="D81" s="275" t="s">
        <v>1061</v>
      </c>
      <c r="E81" s="298" t="s">
        <v>981</v>
      </c>
      <c r="F81" s="303" t="s">
        <v>525</v>
      </c>
      <c r="G81" s="282"/>
      <c r="H81" s="442"/>
      <c r="I81" s="282">
        <f t="shared" si="3"/>
        <v>0</v>
      </c>
      <c r="J81" s="282"/>
      <c r="K81" s="442"/>
      <c r="L81" s="282">
        <f t="shared" si="2"/>
        <v>0</v>
      </c>
    </row>
    <row r="82" spans="1:12" ht="15" customHeight="1" hidden="1">
      <c r="A82" s="450" t="s">
        <v>1062</v>
      </c>
      <c r="B82" s="275" t="s">
        <v>1159</v>
      </c>
      <c r="C82" s="275" t="s">
        <v>1047</v>
      </c>
      <c r="D82" s="275" t="s">
        <v>1063</v>
      </c>
      <c r="E82" s="298"/>
      <c r="F82" s="303"/>
      <c r="G82" s="282">
        <f>G83</f>
        <v>0</v>
      </c>
      <c r="H82" s="442"/>
      <c r="I82" s="282">
        <f t="shared" si="3"/>
        <v>0</v>
      </c>
      <c r="J82" s="282">
        <f>J83</f>
        <v>0</v>
      </c>
      <c r="K82" s="442"/>
      <c r="L82" s="282">
        <f t="shared" si="2"/>
        <v>0</v>
      </c>
    </row>
    <row r="83" spans="1:12" ht="15" customHeight="1" hidden="1">
      <c r="A83" s="281" t="s">
        <v>995</v>
      </c>
      <c r="B83" s="275" t="s">
        <v>1159</v>
      </c>
      <c r="C83" s="275" t="s">
        <v>1047</v>
      </c>
      <c r="D83" s="275" t="s">
        <v>1063</v>
      </c>
      <c r="E83" s="298" t="s">
        <v>996</v>
      </c>
      <c r="F83" s="303"/>
      <c r="G83" s="282">
        <f>G84</f>
        <v>0</v>
      </c>
      <c r="H83" s="442"/>
      <c r="I83" s="282">
        <f t="shared" si="3"/>
        <v>0</v>
      </c>
      <c r="J83" s="282">
        <f>J84</f>
        <v>0</v>
      </c>
      <c r="K83" s="442"/>
      <c r="L83" s="282">
        <f t="shared" si="2"/>
        <v>0</v>
      </c>
    </row>
    <row r="84" spans="1:12" ht="15" customHeight="1" hidden="1">
      <c r="A84" s="288" t="s">
        <v>1017</v>
      </c>
      <c r="B84" s="275" t="s">
        <v>1159</v>
      </c>
      <c r="C84" s="275" t="s">
        <v>1047</v>
      </c>
      <c r="D84" s="275" t="s">
        <v>1063</v>
      </c>
      <c r="E84" s="298" t="s">
        <v>1018</v>
      </c>
      <c r="F84" s="303"/>
      <c r="G84" s="282">
        <f>G85</f>
        <v>0</v>
      </c>
      <c r="H84" s="442"/>
      <c r="I84" s="282">
        <f t="shared" si="3"/>
        <v>0</v>
      </c>
      <c r="J84" s="282">
        <f>J85</f>
        <v>0</v>
      </c>
      <c r="K84" s="442"/>
      <c r="L84" s="282">
        <f t="shared" si="2"/>
        <v>0</v>
      </c>
    </row>
    <row r="85" spans="1:12" ht="15" customHeight="1" hidden="1">
      <c r="A85" s="288" t="s">
        <v>1019</v>
      </c>
      <c r="B85" s="275" t="s">
        <v>1159</v>
      </c>
      <c r="C85" s="275" t="s">
        <v>1047</v>
      </c>
      <c r="D85" s="275" t="s">
        <v>1063</v>
      </c>
      <c r="E85" s="298" t="s">
        <v>1064</v>
      </c>
      <c r="F85" s="303"/>
      <c r="G85" s="282">
        <f>G86</f>
        <v>0</v>
      </c>
      <c r="H85" s="442"/>
      <c r="I85" s="282">
        <f t="shared" si="3"/>
        <v>0</v>
      </c>
      <c r="J85" s="282">
        <f>J86</f>
        <v>0</v>
      </c>
      <c r="K85" s="442"/>
      <c r="L85" s="282">
        <f t="shared" si="2"/>
        <v>0</v>
      </c>
    </row>
    <row r="86" spans="1:12" ht="15" customHeight="1" hidden="1">
      <c r="A86" s="288" t="s">
        <v>524</v>
      </c>
      <c r="B86" s="275" t="s">
        <v>1159</v>
      </c>
      <c r="C86" s="275" t="s">
        <v>1047</v>
      </c>
      <c r="D86" s="275" t="s">
        <v>1063</v>
      </c>
      <c r="E86" s="298" t="s">
        <v>1064</v>
      </c>
      <c r="F86" s="303" t="s">
        <v>525</v>
      </c>
      <c r="G86" s="282"/>
      <c r="H86" s="442"/>
      <c r="I86" s="282">
        <f t="shared" si="3"/>
        <v>0</v>
      </c>
      <c r="J86" s="282"/>
      <c r="K86" s="442"/>
      <c r="L86" s="282">
        <f t="shared" si="2"/>
        <v>0</v>
      </c>
    </row>
    <row r="87" spans="1:12" ht="13.5">
      <c r="A87" s="281" t="s">
        <v>1024</v>
      </c>
      <c r="B87" s="275" t="s">
        <v>1159</v>
      </c>
      <c r="C87" s="275" t="s">
        <v>1047</v>
      </c>
      <c r="D87" s="275" t="s">
        <v>1065</v>
      </c>
      <c r="E87" s="275"/>
      <c r="F87" s="284"/>
      <c r="G87" s="282">
        <f>G89</f>
        <v>50000</v>
      </c>
      <c r="H87" s="442"/>
      <c r="I87" s="282">
        <f t="shared" si="3"/>
        <v>50000</v>
      </c>
      <c r="J87" s="282">
        <f>J89</f>
        <v>50000</v>
      </c>
      <c r="K87" s="442"/>
      <c r="L87" s="282">
        <f t="shared" si="2"/>
        <v>50000</v>
      </c>
    </row>
    <row r="88" spans="1:12" ht="13.5">
      <c r="A88" s="290" t="s">
        <v>1021</v>
      </c>
      <c r="B88" s="275" t="s">
        <v>1159</v>
      </c>
      <c r="C88" s="275" t="s">
        <v>1047</v>
      </c>
      <c r="D88" s="275" t="s">
        <v>1065</v>
      </c>
      <c r="E88" s="302" t="s">
        <v>1022</v>
      </c>
      <c r="F88" s="338" t="s">
        <v>1023</v>
      </c>
      <c r="G88" s="282">
        <f>G89</f>
        <v>50000</v>
      </c>
      <c r="H88" s="442"/>
      <c r="I88" s="282">
        <f t="shared" si="3"/>
        <v>50000</v>
      </c>
      <c r="J88" s="282">
        <f>J89</f>
        <v>50000</v>
      </c>
      <c r="K88" s="442"/>
      <c r="L88" s="282">
        <f t="shared" si="2"/>
        <v>50000</v>
      </c>
    </row>
    <row r="89" spans="1:12" ht="13.5">
      <c r="A89" s="290" t="s">
        <v>1024</v>
      </c>
      <c r="B89" s="275" t="s">
        <v>1159</v>
      </c>
      <c r="C89" s="275" t="s">
        <v>1047</v>
      </c>
      <c r="D89" s="275" t="s">
        <v>1065</v>
      </c>
      <c r="E89" s="302" t="s">
        <v>1025</v>
      </c>
      <c r="F89" s="338" t="s">
        <v>1023</v>
      </c>
      <c r="G89" s="282">
        <f>G90</f>
        <v>50000</v>
      </c>
      <c r="H89" s="442"/>
      <c r="I89" s="282">
        <f t="shared" si="3"/>
        <v>50000</v>
      </c>
      <c r="J89" s="282">
        <f>J90</f>
        <v>50000</v>
      </c>
      <c r="K89" s="442"/>
      <c r="L89" s="282">
        <f t="shared" si="2"/>
        <v>50000</v>
      </c>
    </row>
    <row r="90" spans="1:12" ht="13.5">
      <c r="A90" s="296" t="s">
        <v>1026</v>
      </c>
      <c r="B90" s="275" t="s">
        <v>1159</v>
      </c>
      <c r="C90" s="275" t="s">
        <v>1047</v>
      </c>
      <c r="D90" s="275" t="s">
        <v>1065</v>
      </c>
      <c r="E90" s="302" t="s">
        <v>1027</v>
      </c>
      <c r="F90" s="338" t="s">
        <v>1023</v>
      </c>
      <c r="G90" s="282">
        <f>G91</f>
        <v>50000</v>
      </c>
      <c r="H90" s="442"/>
      <c r="I90" s="282">
        <f t="shared" si="3"/>
        <v>50000</v>
      </c>
      <c r="J90" s="282">
        <f>J91</f>
        <v>50000</v>
      </c>
      <c r="K90" s="442"/>
      <c r="L90" s="282">
        <f t="shared" si="2"/>
        <v>50000</v>
      </c>
    </row>
    <row r="91" spans="1:12" ht="13.5">
      <c r="A91" s="290" t="s">
        <v>524</v>
      </c>
      <c r="B91" s="275" t="s">
        <v>1159</v>
      </c>
      <c r="C91" s="275" t="s">
        <v>1047</v>
      </c>
      <c r="D91" s="275" t="s">
        <v>1065</v>
      </c>
      <c r="E91" s="302" t="s">
        <v>1027</v>
      </c>
      <c r="F91" s="338" t="s">
        <v>525</v>
      </c>
      <c r="G91" s="282">
        <f>50000</f>
        <v>50000</v>
      </c>
      <c r="H91" s="442"/>
      <c r="I91" s="282">
        <f t="shared" si="3"/>
        <v>50000</v>
      </c>
      <c r="J91" s="282">
        <f>50000</f>
        <v>50000</v>
      </c>
      <c r="K91" s="442"/>
      <c r="L91" s="282">
        <f t="shared" si="2"/>
        <v>50000</v>
      </c>
    </row>
    <row r="92" spans="1:12" ht="13.5">
      <c r="A92" s="281" t="s">
        <v>1066</v>
      </c>
      <c r="B92" s="275" t="s">
        <v>1159</v>
      </c>
      <c r="C92" s="275" t="s">
        <v>1047</v>
      </c>
      <c r="D92" s="275" t="s">
        <v>1067</v>
      </c>
      <c r="E92" s="275"/>
      <c r="F92" s="284"/>
      <c r="G92" s="282">
        <f>G93+G114+G145+G151+G156+G166+G124+G136+G129+G119</f>
        <v>11581550.78</v>
      </c>
      <c r="H92" s="442"/>
      <c r="I92" s="282">
        <f t="shared" si="3"/>
        <v>11581550.78</v>
      </c>
      <c r="J92" s="282">
        <f>J93+J114+J145+J151+J156+J166+J124+J136+J129+J119</f>
        <v>10735746</v>
      </c>
      <c r="K92" s="442"/>
      <c r="L92" s="282">
        <f t="shared" si="2"/>
        <v>10735746</v>
      </c>
    </row>
    <row r="93" spans="1:12" ht="42" customHeight="1">
      <c r="A93" s="281" t="s">
        <v>1068</v>
      </c>
      <c r="B93" s="275" t="s">
        <v>1159</v>
      </c>
      <c r="C93" s="275" t="s">
        <v>1047</v>
      </c>
      <c r="D93" s="275" t="s">
        <v>1067</v>
      </c>
      <c r="E93" s="275" t="s">
        <v>556</v>
      </c>
      <c r="F93" s="284"/>
      <c r="G93" s="282">
        <f>G105+G98+G94</f>
        <v>166300</v>
      </c>
      <c r="H93" s="442"/>
      <c r="I93" s="282">
        <f t="shared" si="3"/>
        <v>166300</v>
      </c>
      <c r="J93" s="282">
        <f>J105+J98+J94</f>
        <v>166300</v>
      </c>
      <c r="K93" s="442"/>
      <c r="L93" s="282">
        <f t="shared" si="2"/>
        <v>166300</v>
      </c>
    </row>
    <row r="94" spans="1:12" ht="57" customHeight="1">
      <c r="A94" s="300" t="s">
        <v>1069</v>
      </c>
      <c r="B94" s="275" t="s">
        <v>1159</v>
      </c>
      <c r="C94" s="275" t="s">
        <v>1047</v>
      </c>
      <c r="D94" s="275" t="s">
        <v>1067</v>
      </c>
      <c r="E94" s="275" t="s">
        <v>558</v>
      </c>
      <c r="F94" s="284"/>
      <c r="G94" s="282">
        <f>G95</f>
        <v>14000</v>
      </c>
      <c r="H94" s="442"/>
      <c r="I94" s="282">
        <f t="shared" si="3"/>
        <v>14000</v>
      </c>
      <c r="J94" s="282">
        <f>J95</f>
        <v>14000</v>
      </c>
      <c r="K94" s="442"/>
      <c r="L94" s="282">
        <f t="shared" si="2"/>
        <v>14000</v>
      </c>
    </row>
    <row r="95" spans="1:12" ht="32.25" customHeight="1">
      <c r="A95" s="300" t="s">
        <v>571</v>
      </c>
      <c r="B95" s="275" t="s">
        <v>1159</v>
      </c>
      <c r="C95" s="275" t="s">
        <v>1047</v>
      </c>
      <c r="D95" s="275" t="s">
        <v>1067</v>
      </c>
      <c r="E95" s="275" t="s">
        <v>572</v>
      </c>
      <c r="F95" s="284"/>
      <c r="G95" s="282">
        <f>G96</f>
        <v>14000</v>
      </c>
      <c r="H95" s="442"/>
      <c r="I95" s="282">
        <f t="shared" si="3"/>
        <v>14000</v>
      </c>
      <c r="J95" s="282">
        <f>J96</f>
        <v>14000</v>
      </c>
      <c r="K95" s="442"/>
      <c r="L95" s="282">
        <f t="shared" si="2"/>
        <v>14000</v>
      </c>
    </row>
    <row r="96" spans="1:12" ht="15.75" customHeight="1">
      <c r="A96" s="290" t="s">
        <v>573</v>
      </c>
      <c r="B96" s="275" t="s">
        <v>1159</v>
      </c>
      <c r="C96" s="275" t="s">
        <v>1047</v>
      </c>
      <c r="D96" s="275" t="s">
        <v>1067</v>
      </c>
      <c r="E96" s="289" t="s">
        <v>574</v>
      </c>
      <c r="F96" s="284"/>
      <c r="G96" s="282">
        <f>G97</f>
        <v>14000</v>
      </c>
      <c r="H96" s="442"/>
      <c r="I96" s="282">
        <f t="shared" si="3"/>
        <v>14000</v>
      </c>
      <c r="J96" s="282">
        <f>J97</f>
        <v>14000</v>
      </c>
      <c r="K96" s="442"/>
      <c r="L96" s="282">
        <f t="shared" si="2"/>
        <v>14000</v>
      </c>
    </row>
    <row r="97" spans="1:12" ht="28.5" customHeight="1">
      <c r="A97" s="290" t="s">
        <v>516</v>
      </c>
      <c r="B97" s="275" t="s">
        <v>1159</v>
      </c>
      <c r="C97" s="275" t="s">
        <v>1047</v>
      </c>
      <c r="D97" s="275" t="s">
        <v>1067</v>
      </c>
      <c r="E97" s="289" t="s">
        <v>574</v>
      </c>
      <c r="F97" s="284" t="s">
        <v>517</v>
      </c>
      <c r="G97" s="282">
        <v>14000</v>
      </c>
      <c r="H97" s="442"/>
      <c r="I97" s="282">
        <f t="shared" si="3"/>
        <v>14000</v>
      </c>
      <c r="J97" s="282">
        <v>14000</v>
      </c>
      <c r="K97" s="442"/>
      <c r="L97" s="282">
        <f t="shared" si="2"/>
        <v>14000</v>
      </c>
    </row>
    <row r="98" spans="1:12" ht="65.25" customHeight="1">
      <c r="A98" s="290" t="s">
        <v>1056</v>
      </c>
      <c r="B98" s="275" t="s">
        <v>1159</v>
      </c>
      <c r="C98" s="443" t="s">
        <v>1047</v>
      </c>
      <c r="D98" s="443" t="s">
        <v>1067</v>
      </c>
      <c r="E98" s="443" t="s">
        <v>580</v>
      </c>
      <c r="F98" s="448"/>
      <c r="G98" s="446">
        <f>G99+G102</f>
        <v>15000</v>
      </c>
      <c r="H98" s="442"/>
      <c r="I98" s="282">
        <f t="shared" si="3"/>
        <v>15000</v>
      </c>
      <c r="J98" s="446">
        <f>J99+J102</f>
        <v>15000</v>
      </c>
      <c r="K98" s="442"/>
      <c r="L98" s="282">
        <f t="shared" si="2"/>
        <v>15000</v>
      </c>
    </row>
    <row r="99" spans="1:12" ht="38.25" customHeight="1" hidden="1">
      <c r="A99" s="304" t="s">
        <v>585</v>
      </c>
      <c r="B99" s="275" t="s">
        <v>1159</v>
      </c>
      <c r="C99" s="275" t="s">
        <v>1047</v>
      </c>
      <c r="D99" s="275" t="s">
        <v>1067</v>
      </c>
      <c r="E99" s="275" t="s">
        <v>586</v>
      </c>
      <c r="F99" s="284"/>
      <c r="G99" s="282">
        <f>G101</f>
        <v>0</v>
      </c>
      <c r="H99" s="442"/>
      <c r="I99" s="282">
        <f t="shared" si="3"/>
        <v>0</v>
      </c>
      <c r="J99" s="282">
        <f>J101</f>
        <v>0</v>
      </c>
      <c r="K99" s="442"/>
      <c r="L99" s="282">
        <f t="shared" si="2"/>
        <v>0</v>
      </c>
    </row>
    <row r="100" spans="1:12" ht="76.5" customHeight="1" hidden="1">
      <c r="A100" s="318" t="s">
        <v>1070</v>
      </c>
      <c r="B100" s="275" t="s">
        <v>1159</v>
      </c>
      <c r="C100" s="275" t="s">
        <v>1047</v>
      </c>
      <c r="D100" s="275" t="s">
        <v>1067</v>
      </c>
      <c r="E100" s="384" t="s">
        <v>1071</v>
      </c>
      <c r="F100" s="284"/>
      <c r="G100" s="282">
        <f>G101</f>
        <v>0</v>
      </c>
      <c r="H100" s="442"/>
      <c r="I100" s="282">
        <f t="shared" si="3"/>
        <v>0</v>
      </c>
      <c r="J100" s="282">
        <f>J101</f>
        <v>0</v>
      </c>
      <c r="K100" s="442"/>
      <c r="L100" s="282">
        <f t="shared" si="2"/>
        <v>0</v>
      </c>
    </row>
    <row r="101" spans="1:12" ht="26.25" customHeight="1" hidden="1">
      <c r="A101" s="290" t="s">
        <v>516</v>
      </c>
      <c r="B101" s="275" t="s">
        <v>1159</v>
      </c>
      <c r="C101" s="275" t="s">
        <v>1047</v>
      </c>
      <c r="D101" s="275" t="s">
        <v>1067</v>
      </c>
      <c r="E101" s="384" t="s">
        <v>1071</v>
      </c>
      <c r="F101" s="284" t="s">
        <v>517</v>
      </c>
      <c r="G101" s="282"/>
      <c r="H101" s="442"/>
      <c r="I101" s="282">
        <f t="shared" si="3"/>
        <v>0</v>
      </c>
      <c r="J101" s="282"/>
      <c r="K101" s="442"/>
      <c r="L101" s="282">
        <f t="shared" si="2"/>
        <v>0</v>
      </c>
    </row>
    <row r="102" spans="1:12" ht="28.5" customHeight="1">
      <c r="A102" s="318" t="s">
        <v>591</v>
      </c>
      <c r="B102" s="275" t="s">
        <v>1159</v>
      </c>
      <c r="C102" s="275" t="s">
        <v>1047</v>
      </c>
      <c r="D102" s="275" t="s">
        <v>1067</v>
      </c>
      <c r="E102" s="275" t="s">
        <v>592</v>
      </c>
      <c r="F102" s="284"/>
      <c r="G102" s="282">
        <f>G103</f>
        <v>15000</v>
      </c>
      <c r="H102" s="442"/>
      <c r="I102" s="282">
        <f t="shared" si="3"/>
        <v>15000</v>
      </c>
      <c r="J102" s="282">
        <f>J103</f>
        <v>15000</v>
      </c>
      <c r="K102" s="442"/>
      <c r="L102" s="282">
        <f t="shared" si="2"/>
        <v>15000</v>
      </c>
    </row>
    <row r="103" spans="1:12" ht="33.75" customHeight="1">
      <c r="A103" s="300" t="s">
        <v>593</v>
      </c>
      <c r="B103" s="275" t="s">
        <v>1159</v>
      </c>
      <c r="C103" s="275" t="s">
        <v>1047</v>
      </c>
      <c r="D103" s="275" t="s">
        <v>1067</v>
      </c>
      <c r="E103" s="289" t="s">
        <v>594</v>
      </c>
      <c r="F103" s="284"/>
      <c r="G103" s="282">
        <f>G104</f>
        <v>15000</v>
      </c>
      <c r="H103" s="442"/>
      <c r="I103" s="282">
        <f t="shared" si="3"/>
        <v>15000</v>
      </c>
      <c r="J103" s="282">
        <f>J104</f>
        <v>15000</v>
      </c>
      <c r="K103" s="442"/>
      <c r="L103" s="282">
        <f t="shared" si="2"/>
        <v>15000</v>
      </c>
    </row>
    <row r="104" spans="1:12" ht="27" customHeight="1">
      <c r="A104" s="290" t="s">
        <v>516</v>
      </c>
      <c r="B104" s="275" t="s">
        <v>1159</v>
      </c>
      <c r="C104" s="275" t="s">
        <v>1047</v>
      </c>
      <c r="D104" s="275" t="s">
        <v>1067</v>
      </c>
      <c r="E104" s="289" t="s">
        <v>594</v>
      </c>
      <c r="F104" s="284" t="s">
        <v>517</v>
      </c>
      <c r="G104" s="282">
        <v>15000</v>
      </c>
      <c r="H104" s="442"/>
      <c r="I104" s="282">
        <f t="shared" si="3"/>
        <v>15000</v>
      </c>
      <c r="J104" s="282">
        <v>15000</v>
      </c>
      <c r="K104" s="442"/>
      <c r="L104" s="282">
        <f t="shared" si="2"/>
        <v>15000</v>
      </c>
    </row>
    <row r="105" spans="1:12" ht="57.75" customHeight="1">
      <c r="A105" s="296" t="s">
        <v>595</v>
      </c>
      <c r="B105" s="275" t="s">
        <v>1159</v>
      </c>
      <c r="C105" s="443" t="s">
        <v>1047</v>
      </c>
      <c r="D105" s="443" t="s">
        <v>1067</v>
      </c>
      <c r="E105" s="443" t="s">
        <v>596</v>
      </c>
      <c r="F105" s="448"/>
      <c r="G105" s="446">
        <f>G106+G111</f>
        <v>137300</v>
      </c>
      <c r="H105" s="442"/>
      <c r="I105" s="282">
        <f t="shared" si="3"/>
        <v>137300</v>
      </c>
      <c r="J105" s="446">
        <f>J106+J111</f>
        <v>137300</v>
      </c>
      <c r="K105" s="442"/>
      <c r="L105" s="282">
        <f t="shared" si="2"/>
        <v>137300</v>
      </c>
    </row>
    <row r="106" spans="1:12" ht="30" customHeight="1">
      <c r="A106" s="296" t="s">
        <v>597</v>
      </c>
      <c r="B106" s="275" t="s">
        <v>1159</v>
      </c>
      <c r="C106" s="275" t="s">
        <v>1047</v>
      </c>
      <c r="D106" s="275" t="s">
        <v>1067</v>
      </c>
      <c r="E106" s="275" t="s">
        <v>598</v>
      </c>
      <c r="F106" s="284"/>
      <c r="G106" s="282">
        <f>G107+G109</f>
        <v>127300</v>
      </c>
      <c r="H106" s="442"/>
      <c r="I106" s="282">
        <f t="shared" si="3"/>
        <v>127300</v>
      </c>
      <c r="J106" s="282">
        <f>J107+J109</f>
        <v>127300</v>
      </c>
      <c r="K106" s="442"/>
      <c r="L106" s="282">
        <f t="shared" si="2"/>
        <v>127300</v>
      </c>
    </row>
    <row r="107" spans="1:12" ht="34.5" customHeight="1">
      <c r="A107" s="296" t="s">
        <v>599</v>
      </c>
      <c r="B107" s="275" t="s">
        <v>1159</v>
      </c>
      <c r="C107" s="275" t="s">
        <v>1047</v>
      </c>
      <c r="D107" s="275" t="s">
        <v>1067</v>
      </c>
      <c r="E107" s="275" t="s">
        <v>600</v>
      </c>
      <c r="F107" s="284"/>
      <c r="G107" s="282">
        <f>G108</f>
        <v>124300</v>
      </c>
      <c r="H107" s="442"/>
      <c r="I107" s="282">
        <f t="shared" si="3"/>
        <v>124300</v>
      </c>
      <c r="J107" s="282">
        <f>J108</f>
        <v>124300</v>
      </c>
      <c r="K107" s="442"/>
      <c r="L107" s="282">
        <f t="shared" si="2"/>
        <v>124300</v>
      </c>
    </row>
    <row r="108" spans="1:12" ht="26.25">
      <c r="A108" s="290" t="s">
        <v>601</v>
      </c>
      <c r="B108" s="275" t="s">
        <v>1159</v>
      </c>
      <c r="C108" s="275" t="s">
        <v>1047</v>
      </c>
      <c r="D108" s="275" t="s">
        <v>1067</v>
      </c>
      <c r="E108" s="275" t="s">
        <v>600</v>
      </c>
      <c r="F108" s="303" t="s">
        <v>602</v>
      </c>
      <c r="G108" s="282">
        <f>122900+1400</f>
        <v>124300</v>
      </c>
      <c r="H108" s="442"/>
      <c r="I108" s="282">
        <f t="shared" si="3"/>
        <v>124300</v>
      </c>
      <c r="J108" s="282">
        <f>122900+1400</f>
        <v>124300</v>
      </c>
      <c r="K108" s="442"/>
      <c r="L108" s="282">
        <f t="shared" si="2"/>
        <v>124300</v>
      </c>
    </row>
    <row r="109" spans="1:12" ht="18.75" customHeight="1">
      <c r="A109" s="296" t="s">
        <v>603</v>
      </c>
      <c r="B109" s="275" t="s">
        <v>1159</v>
      </c>
      <c r="C109" s="275" t="s">
        <v>1047</v>
      </c>
      <c r="D109" s="275" t="s">
        <v>1067</v>
      </c>
      <c r="E109" s="275" t="s">
        <v>604</v>
      </c>
      <c r="F109" s="303"/>
      <c r="G109" s="282">
        <f>G110</f>
        <v>3000</v>
      </c>
      <c r="H109" s="442"/>
      <c r="I109" s="282">
        <f t="shared" si="3"/>
        <v>3000</v>
      </c>
      <c r="J109" s="282">
        <f>J110</f>
        <v>3000</v>
      </c>
      <c r="K109" s="442"/>
      <c r="L109" s="282">
        <f t="shared" si="2"/>
        <v>3000</v>
      </c>
    </row>
    <row r="110" spans="1:12" ht="26.25">
      <c r="A110" s="290" t="s">
        <v>601</v>
      </c>
      <c r="B110" s="275" t="s">
        <v>1159</v>
      </c>
      <c r="C110" s="275" t="s">
        <v>1047</v>
      </c>
      <c r="D110" s="275" t="s">
        <v>1067</v>
      </c>
      <c r="E110" s="275" t="s">
        <v>604</v>
      </c>
      <c r="F110" s="303" t="s">
        <v>602</v>
      </c>
      <c r="G110" s="282">
        <v>3000</v>
      </c>
      <c r="H110" s="442"/>
      <c r="I110" s="282">
        <f t="shared" si="3"/>
        <v>3000</v>
      </c>
      <c r="J110" s="282">
        <v>3000</v>
      </c>
      <c r="K110" s="442"/>
      <c r="L110" s="282">
        <f t="shared" si="2"/>
        <v>3000</v>
      </c>
    </row>
    <row r="111" spans="1:12" ht="26.25">
      <c r="A111" s="287" t="s">
        <v>605</v>
      </c>
      <c r="B111" s="275" t="s">
        <v>1159</v>
      </c>
      <c r="C111" s="275" t="s">
        <v>1047</v>
      </c>
      <c r="D111" s="275" t="s">
        <v>1067</v>
      </c>
      <c r="E111" s="275" t="s">
        <v>606</v>
      </c>
      <c r="F111" s="303"/>
      <c r="G111" s="282">
        <f>G112</f>
        <v>10000</v>
      </c>
      <c r="H111" s="442"/>
      <c r="I111" s="282">
        <f t="shared" si="3"/>
        <v>10000</v>
      </c>
      <c r="J111" s="282">
        <f>J112</f>
        <v>10000</v>
      </c>
      <c r="K111" s="442"/>
      <c r="L111" s="282">
        <f t="shared" si="2"/>
        <v>10000</v>
      </c>
    </row>
    <row r="112" spans="1:12" ht="34.5" customHeight="1">
      <c r="A112" s="318" t="s">
        <v>609</v>
      </c>
      <c r="B112" s="275" t="s">
        <v>1159</v>
      </c>
      <c r="C112" s="275" t="s">
        <v>1047</v>
      </c>
      <c r="D112" s="275" t="s">
        <v>1067</v>
      </c>
      <c r="E112" s="275" t="s">
        <v>610</v>
      </c>
      <c r="F112" s="303"/>
      <c r="G112" s="282">
        <f>G113</f>
        <v>10000</v>
      </c>
      <c r="H112" s="442"/>
      <c r="I112" s="282">
        <f t="shared" si="3"/>
        <v>10000</v>
      </c>
      <c r="J112" s="282">
        <f>J113</f>
        <v>10000</v>
      </c>
      <c r="K112" s="442"/>
      <c r="L112" s="282">
        <f t="shared" si="2"/>
        <v>10000</v>
      </c>
    </row>
    <row r="113" spans="1:12" ht="26.25">
      <c r="A113" s="290" t="s">
        <v>516</v>
      </c>
      <c r="B113" s="275" t="s">
        <v>1159</v>
      </c>
      <c r="C113" s="275" t="s">
        <v>1047</v>
      </c>
      <c r="D113" s="275" t="s">
        <v>1067</v>
      </c>
      <c r="E113" s="275" t="s">
        <v>610</v>
      </c>
      <c r="F113" s="303" t="s">
        <v>517</v>
      </c>
      <c r="G113" s="282">
        <v>10000</v>
      </c>
      <c r="H113" s="442"/>
      <c r="I113" s="282">
        <f t="shared" si="3"/>
        <v>10000</v>
      </c>
      <c r="J113" s="282">
        <v>10000</v>
      </c>
      <c r="K113" s="442"/>
      <c r="L113" s="282">
        <f t="shared" si="2"/>
        <v>10000</v>
      </c>
    </row>
    <row r="114" spans="1:12" ht="39">
      <c r="A114" s="311" t="s">
        <v>1072</v>
      </c>
      <c r="B114" s="275" t="s">
        <v>1159</v>
      </c>
      <c r="C114" s="275" t="s">
        <v>1047</v>
      </c>
      <c r="D114" s="275" t="s">
        <v>1067</v>
      </c>
      <c r="E114" s="275" t="s">
        <v>805</v>
      </c>
      <c r="F114" s="303"/>
      <c r="G114" s="282">
        <f>G115</f>
        <v>657100</v>
      </c>
      <c r="H114" s="442"/>
      <c r="I114" s="282">
        <f t="shared" si="3"/>
        <v>657100</v>
      </c>
      <c r="J114" s="282">
        <f>J115</f>
        <v>657100</v>
      </c>
      <c r="K114" s="442"/>
      <c r="L114" s="282">
        <f t="shared" si="2"/>
        <v>657100</v>
      </c>
    </row>
    <row r="115" spans="1:12" ht="59.25" customHeight="1">
      <c r="A115" s="451" t="s">
        <v>806</v>
      </c>
      <c r="B115" s="275" t="s">
        <v>1159</v>
      </c>
      <c r="C115" s="443" t="s">
        <v>1047</v>
      </c>
      <c r="D115" s="443" t="s">
        <v>1067</v>
      </c>
      <c r="E115" s="443" t="s">
        <v>807</v>
      </c>
      <c r="F115" s="445"/>
      <c r="G115" s="446">
        <f>G116</f>
        <v>657100</v>
      </c>
      <c r="H115" s="442"/>
      <c r="I115" s="282">
        <f t="shared" si="3"/>
        <v>657100</v>
      </c>
      <c r="J115" s="446">
        <f>J116</f>
        <v>657100</v>
      </c>
      <c r="K115" s="442"/>
      <c r="L115" s="282">
        <f t="shared" si="2"/>
        <v>657100</v>
      </c>
    </row>
    <row r="116" spans="1:12" ht="28.5" customHeight="1">
      <c r="A116" s="451" t="s">
        <v>808</v>
      </c>
      <c r="B116" s="275" t="s">
        <v>1159</v>
      </c>
      <c r="C116" s="275" t="s">
        <v>1047</v>
      </c>
      <c r="D116" s="275" t="s">
        <v>1067</v>
      </c>
      <c r="E116" s="275" t="s">
        <v>809</v>
      </c>
      <c r="F116" s="303"/>
      <c r="G116" s="282">
        <f>G117</f>
        <v>657100</v>
      </c>
      <c r="H116" s="442"/>
      <c r="I116" s="282">
        <f t="shared" si="3"/>
        <v>657100</v>
      </c>
      <c r="J116" s="282">
        <f>J117</f>
        <v>657100</v>
      </c>
      <c r="K116" s="442"/>
      <c r="L116" s="282">
        <f t="shared" si="2"/>
        <v>657100</v>
      </c>
    </row>
    <row r="117" spans="1:12" ht="13.5">
      <c r="A117" s="451" t="s">
        <v>810</v>
      </c>
      <c r="B117" s="275" t="s">
        <v>1159</v>
      </c>
      <c r="C117" s="275" t="s">
        <v>1047</v>
      </c>
      <c r="D117" s="275" t="s">
        <v>1067</v>
      </c>
      <c r="E117" s="275" t="s">
        <v>811</v>
      </c>
      <c r="F117" s="303"/>
      <c r="G117" s="282">
        <f>G118</f>
        <v>657100</v>
      </c>
      <c r="H117" s="442"/>
      <c r="I117" s="282">
        <f t="shared" si="3"/>
        <v>657100</v>
      </c>
      <c r="J117" s="282">
        <f>J118</f>
        <v>657100</v>
      </c>
      <c r="K117" s="442"/>
      <c r="L117" s="282">
        <f t="shared" si="2"/>
        <v>657100</v>
      </c>
    </row>
    <row r="118" spans="1:12" ht="30" customHeight="1">
      <c r="A118" s="290" t="s">
        <v>516</v>
      </c>
      <c r="B118" s="275" t="s">
        <v>1159</v>
      </c>
      <c r="C118" s="275" t="s">
        <v>1047</v>
      </c>
      <c r="D118" s="275" t="s">
        <v>1067</v>
      </c>
      <c r="E118" s="275" t="s">
        <v>811</v>
      </c>
      <c r="F118" s="284" t="s">
        <v>517</v>
      </c>
      <c r="G118" s="282">
        <v>657100</v>
      </c>
      <c r="H118" s="442"/>
      <c r="I118" s="282">
        <f t="shared" si="3"/>
        <v>657100</v>
      </c>
      <c r="J118" s="282">
        <v>657100</v>
      </c>
      <c r="K118" s="442"/>
      <c r="L118" s="282">
        <f t="shared" si="2"/>
        <v>657100</v>
      </c>
    </row>
    <row r="119" spans="1:12" ht="38.25" customHeight="1" hidden="1">
      <c r="A119" s="274" t="s">
        <v>812</v>
      </c>
      <c r="B119" s="275" t="s">
        <v>1159</v>
      </c>
      <c r="C119" s="275" t="s">
        <v>1047</v>
      </c>
      <c r="D119" s="275" t="s">
        <v>1067</v>
      </c>
      <c r="E119" s="302" t="s">
        <v>813</v>
      </c>
      <c r="F119" s="284"/>
      <c r="G119" s="282">
        <f>G120</f>
        <v>0</v>
      </c>
      <c r="H119" s="442"/>
      <c r="I119" s="282">
        <f t="shared" si="3"/>
        <v>0</v>
      </c>
      <c r="J119" s="282">
        <f>J120</f>
        <v>0</v>
      </c>
      <c r="K119" s="442"/>
      <c r="L119" s="282">
        <f t="shared" si="2"/>
        <v>0</v>
      </c>
    </row>
    <row r="120" spans="1:12" ht="89.25" customHeight="1" hidden="1">
      <c r="A120" s="287" t="s">
        <v>814</v>
      </c>
      <c r="B120" s="275" t="s">
        <v>1159</v>
      </c>
      <c r="C120" s="275" t="s">
        <v>1047</v>
      </c>
      <c r="D120" s="275" t="s">
        <v>1067</v>
      </c>
      <c r="E120" s="444" t="s">
        <v>815</v>
      </c>
      <c r="F120" s="448"/>
      <c r="G120" s="446">
        <f>G121</f>
        <v>0</v>
      </c>
      <c r="H120" s="442"/>
      <c r="I120" s="282">
        <f t="shared" si="3"/>
        <v>0</v>
      </c>
      <c r="J120" s="446">
        <f>J121</f>
        <v>0</v>
      </c>
      <c r="K120" s="442"/>
      <c r="L120" s="282">
        <f t="shared" si="2"/>
        <v>0</v>
      </c>
    </row>
    <row r="121" spans="1:12" ht="30" customHeight="1" hidden="1">
      <c r="A121" s="288" t="s">
        <v>816</v>
      </c>
      <c r="B121" s="275" t="s">
        <v>1159</v>
      </c>
      <c r="C121" s="275" t="s">
        <v>1047</v>
      </c>
      <c r="D121" s="275" t="s">
        <v>1067</v>
      </c>
      <c r="E121" s="302" t="s">
        <v>817</v>
      </c>
      <c r="F121" s="284"/>
      <c r="G121" s="282">
        <f>G122</f>
        <v>0</v>
      </c>
      <c r="H121" s="442"/>
      <c r="I121" s="282">
        <f t="shared" si="3"/>
        <v>0</v>
      </c>
      <c r="J121" s="282">
        <f>J122</f>
        <v>0</v>
      </c>
      <c r="K121" s="442"/>
      <c r="L121" s="282">
        <f t="shared" si="2"/>
        <v>0</v>
      </c>
    </row>
    <row r="122" spans="1:12" ht="30" customHeight="1" hidden="1">
      <c r="A122" s="290" t="s">
        <v>820</v>
      </c>
      <c r="B122" s="275" t="s">
        <v>1159</v>
      </c>
      <c r="C122" s="275" t="s">
        <v>1047</v>
      </c>
      <c r="D122" s="275" t="s">
        <v>1067</v>
      </c>
      <c r="E122" s="302" t="s">
        <v>821</v>
      </c>
      <c r="F122" s="284"/>
      <c r="G122" s="282">
        <f>G123</f>
        <v>0</v>
      </c>
      <c r="H122" s="442"/>
      <c r="I122" s="282">
        <f t="shared" si="3"/>
        <v>0</v>
      </c>
      <c r="J122" s="282">
        <f>J123</f>
        <v>0</v>
      </c>
      <c r="K122" s="442"/>
      <c r="L122" s="282">
        <f t="shared" si="2"/>
        <v>0</v>
      </c>
    </row>
    <row r="123" spans="1:12" ht="29.25" customHeight="1" hidden="1">
      <c r="A123" s="290" t="s">
        <v>516</v>
      </c>
      <c r="B123" s="275" t="s">
        <v>1159</v>
      </c>
      <c r="C123" s="275" t="s">
        <v>1047</v>
      </c>
      <c r="D123" s="275" t="s">
        <v>1067</v>
      </c>
      <c r="E123" s="302" t="s">
        <v>821</v>
      </c>
      <c r="F123" s="303" t="s">
        <v>517</v>
      </c>
      <c r="G123" s="282"/>
      <c r="H123" s="442"/>
      <c r="I123" s="282">
        <f t="shared" si="3"/>
        <v>0</v>
      </c>
      <c r="J123" s="282"/>
      <c r="K123" s="442"/>
      <c r="L123" s="282">
        <f t="shared" si="2"/>
        <v>0</v>
      </c>
    </row>
    <row r="124" spans="1:12" ht="51" customHeight="1" hidden="1">
      <c r="A124" s="311" t="s">
        <v>822</v>
      </c>
      <c r="B124" s="275" t="s">
        <v>1159</v>
      </c>
      <c r="C124" s="275" t="s">
        <v>1047</v>
      </c>
      <c r="D124" s="275" t="s">
        <v>1067</v>
      </c>
      <c r="E124" s="275" t="s">
        <v>823</v>
      </c>
      <c r="F124" s="284"/>
      <c r="G124" s="282">
        <f>G125</f>
        <v>0</v>
      </c>
      <c r="H124" s="442"/>
      <c r="I124" s="282">
        <f t="shared" si="3"/>
        <v>0</v>
      </c>
      <c r="J124" s="282">
        <f>J125</f>
        <v>0</v>
      </c>
      <c r="K124" s="442"/>
      <c r="L124" s="282">
        <f t="shared" si="2"/>
        <v>0</v>
      </c>
    </row>
    <row r="125" spans="1:12" ht="66" customHeight="1" hidden="1">
      <c r="A125" s="451" t="s">
        <v>843</v>
      </c>
      <c r="B125" s="275" t="s">
        <v>1159</v>
      </c>
      <c r="C125" s="275" t="s">
        <v>1047</v>
      </c>
      <c r="D125" s="275" t="s">
        <v>1067</v>
      </c>
      <c r="E125" s="275" t="s">
        <v>844</v>
      </c>
      <c r="F125" s="284"/>
      <c r="G125" s="282">
        <f>G126</f>
        <v>0</v>
      </c>
      <c r="H125" s="442"/>
      <c r="I125" s="282">
        <f t="shared" si="3"/>
        <v>0</v>
      </c>
      <c r="J125" s="282">
        <f>J126</f>
        <v>0</v>
      </c>
      <c r="K125" s="442"/>
      <c r="L125" s="282">
        <f t="shared" si="2"/>
        <v>0</v>
      </c>
    </row>
    <row r="126" spans="1:12" ht="25.5" customHeight="1" hidden="1">
      <c r="A126" s="452" t="s">
        <v>845</v>
      </c>
      <c r="B126" s="275" t="s">
        <v>1159</v>
      </c>
      <c r="C126" s="275" t="s">
        <v>1047</v>
      </c>
      <c r="D126" s="275" t="s">
        <v>1067</v>
      </c>
      <c r="E126" s="275" t="s">
        <v>846</v>
      </c>
      <c r="F126" s="284"/>
      <c r="G126" s="282">
        <f>G127</f>
        <v>0</v>
      </c>
      <c r="H126" s="442"/>
      <c r="I126" s="282">
        <f t="shared" si="3"/>
        <v>0</v>
      </c>
      <c r="J126" s="282">
        <f>J127</f>
        <v>0</v>
      </c>
      <c r="K126" s="442"/>
      <c r="L126" s="282">
        <f t="shared" si="2"/>
        <v>0</v>
      </c>
    </row>
    <row r="127" spans="1:12" ht="25.5" customHeight="1" hidden="1">
      <c r="A127" s="288" t="s">
        <v>847</v>
      </c>
      <c r="B127" s="275" t="s">
        <v>1159</v>
      </c>
      <c r="C127" s="275" t="s">
        <v>1047</v>
      </c>
      <c r="D127" s="275" t="s">
        <v>1067</v>
      </c>
      <c r="E127" s="275" t="s">
        <v>848</v>
      </c>
      <c r="F127" s="284"/>
      <c r="G127" s="282">
        <f>G128</f>
        <v>0</v>
      </c>
      <c r="H127" s="442"/>
      <c r="I127" s="282">
        <f t="shared" si="3"/>
        <v>0</v>
      </c>
      <c r="J127" s="282">
        <f>J128</f>
        <v>0</v>
      </c>
      <c r="K127" s="442"/>
      <c r="L127" s="282">
        <f t="shared" si="2"/>
        <v>0</v>
      </c>
    </row>
    <row r="128" spans="1:12" ht="26.25" customHeight="1" hidden="1">
      <c r="A128" s="290" t="s">
        <v>516</v>
      </c>
      <c r="B128" s="275" t="s">
        <v>1159</v>
      </c>
      <c r="C128" s="275" t="s">
        <v>1047</v>
      </c>
      <c r="D128" s="275" t="s">
        <v>1067</v>
      </c>
      <c r="E128" s="275" t="s">
        <v>848</v>
      </c>
      <c r="F128" s="284" t="s">
        <v>517</v>
      </c>
      <c r="G128" s="282"/>
      <c r="H128" s="442"/>
      <c r="I128" s="282">
        <f t="shared" si="3"/>
        <v>0</v>
      </c>
      <c r="J128" s="282"/>
      <c r="K128" s="442"/>
      <c r="L128" s="282">
        <f t="shared" si="2"/>
        <v>0</v>
      </c>
    </row>
    <row r="129" spans="1:12" ht="42" customHeight="1">
      <c r="A129" s="281" t="s">
        <v>852</v>
      </c>
      <c r="B129" s="275" t="s">
        <v>1159</v>
      </c>
      <c r="C129" s="275" t="s">
        <v>1047</v>
      </c>
      <c r="D129" s="275" t="s">
        <v>1067</v>
      </c>
      <c r="E129" s="302" t="s">
        <v>853</v>
      </c>
      <c r="F129" s="284"/>
      <c r="G129" s="282">
        <f>G130</f>
        <v>70000</v>
      </c>
      <c r="H129" s="442"/>
      <c r="I129" s="282">
        <f t="shared" si="3"/>
        <v>70000</v>
      </c>
      <c r="J129" s="282">
        <f>J130</f>
        <v>70000</v>
      </c>
      <c r="K129" s="442"/>
      <c r="L129" s="282">
        <f t="shared" si="2"/>
        <v>70000</v>
      </c>
    </row>
    <row r="130" spans="1:12" ht="66">
      <c r="A130" s="328" t="s">
        <v>854</v>
      </c>
      <c r="B130" s="275" t="s">
        <v>1159</v>
      </c>
      <c r="C130" s="275" t="s">
        <v>1047</v>
      </c>
      <c r="D130" s="275" t="s">
        <v>1067</v>
      </c>
      <c r="E130" s="302" t="s">
        <v>855</v>
      </c>
      <c r="F130" s="284"/>
      <c r="G130" s="282">
        <f>G131</f>
        <v>70000</v>
      </c>
      <c r="H130" s="442"/>
      <c r="I130" s="282">
        <f t="shared" si="3"/>
        <v>70000</v>
      </c>
      <c r="J130" s="282">
        <f>J131</f>
        <v>70000</v>
      </c>
      <c r="K130" s="442"/>
      <c r="L130" s="282">
        <f t="shared" si="2"/>
        <v>70000</v>
      </c>
    </row>
    <row r="131" spans="1:12" ht="39">
      <c r="A131" s="287" t="s">
        <v>856</v>
      </c>
      <c r="B131" s="275" t="s">
        <v>1159</v>
      </c>
      <c r="C131" s="275" t="s">
        <v>1047</v>
      </c>
      <c r="D131" s="275" t="s">
        <v>1067</v>
      </c>
      <c r="E131" s="298" t="s">
        <v>857</v>
      </c>
      <c r="F131" s="284"/>
      <c r="G131" s="282">
        <f>G132+G134</f>
        <v>70000</v>
      </c>
      <c r="H131" s="442"/>
      <c r="I131" s="282">
        <f t="shared" si="3"/>
        <v>70000</v>
      </c>
      <c r="J131" s="282">
        <f>J132+J134</f>
        <v>70000</v>
      </c>
      <c r="K131" s="442"/>
      <c r="L131" s="282">
        <f t="shared" si="2"/>
        <v>70000</v>
      </c>
    </row>
    <row r="132" spans="1:12" ht="26.25">
      <c r="A132" s="290" t="s">
        <v>858</v>
      </c>
      <c r="B132" s="275" t="s">
        <v>1159</v>
      </c>
      <c r="C132" s="275" t="s">
        <v>1047</v>
      </c>
      <c r="D132" s="275" t="s">
        <v>1067</v>
      </c>
      <c r="E132" s="298" t="s">
        <v>859</v>
      </c>
      <c r="F132" s="284"/>
      <c r="G132" s="282">
        <f>G133</f>
        <v>30000</v>
      </c>
      <c r="H132" s="442"/>
      <c r="I132" s="282">
        <f t="shared" si="3"/>
        <v>30000</v>
      </c>
      <c r="J132" s="282">
        <f>J133</f>
        <v>30000</v>
      </c>
      <c r="K132" s="442"/>
      <c r="L132" s="282">
        <f t="shared" si="2"/>
        <v>30000</v>
      </c>
    </row>
    <row r="133" spans="1:12" ht="26.25">
      <c r="A133" s="290" t="s">
        <v>516</v>
      </c>
      <c r="B133" s="275" t="s">
        <v>1159</v>
      </c>
      <c r="C133" s="275" t="s">
        <v>1047</v>
      </c>
      <c r="D133" s="275" t="s">
        <v>1067</v>
      </c>
      <c r="E133" s="298" t="s">
        <v>859</v>
      </c>
      <c r="F133" s="284" t="s">
        <v>517</v>
      </c>
      <c r="G133" s="282">
        <v>30000</v>
      </c>
      <c r="H133" s="442"/>
      <c r="I133" s="282">
        <f t="shared" si="3"/>
        <v>30000</v>
      </c>
      <c r="J133" s="282">
        <v>30000</v>
      </c>
      <c r="K133" s="442"/>
      <c r="L133" s="282">
        <f t="shared" si="2"/>
        <v>30000</v>
      </c>
    </row>
    <row r="134" spans="1:12" ht="26.25">
      <c r="A134" s="290" t="s">
        <v>860</v>
      </c>
      <c r="B134" s="275" t="s">
        <v>1159</v>
      </c>
      <c r="C134" s="275" t="s">
        <v>1047</v>
      </c>
      <c r="D134" s="275" t="s">
        <v>1067</v>
      </c>
      <c r="E134" s="298" t="s">
        <v>861</v>
      </c>
      <c r="F134" s="284"/>
      <c r="G134" s="282">
        <f>G135</f>
        <v>40000</v>
      </c>
      <c r="H134" s="442"/>
      <c r="I134" s="282">
        <f t="shared" si="3"/>
        <v>40000</v>
      </c>
      <c r="J134" s="282">
        <f>J135</f>
        <v>40000</v>
      </c>
      <c r="K134" s="442"/>
      <c r="L134" s="282">
        <f t="shared" si="2"/>
        <v>40000</v>
      </c>
    </row>
    <row r="135" spans="1:12" ht="26.25">
      <c r="A135" s="290" t="s">
        <v>516</v>
      </c>
      <c r="B135" s="275" t="s">
        <v>1159</v>
      </c>
      <c r="C135" s="275" t="s">
        <v>1047</v>
      </c>
      <c r="D135" s="275" t="s">
        <v>1067</v>
      </c>
      <c r="E135" s="298" t="s">
        <v>861</v>
      </c>
      <c r="F135" s="284" t="s">
        <v>517</v>
      </c>
      <c r="G135" s="282">
        <f>40000</f>
        <v>40000</v>
      </c>
      <c r="H135" s="442"/>
      <c r="I135" s="282">
        <f t="shared" si="3"/>
        <v>40000</v>
      </c>
      <c r="J135" s="282">
        <f>40000</f>
        <v>40000</v>
      </c>
      <c r="K135" s="442"/>
      <c r="L135" s="282">
        <f t="shared" si="2"/>
        <v>40000</v>
      </c>
    </row>
    <row r="136" spans="1:12" ht="42.75" customHeight="1">
      <c r="A136" s="297" t="s">
        <v>945</v>
      </c>
      <c r="B136" s="275" t="s">
        <v>1159</v>
      </c>
      <c r="C136" s="275" t="s">
        <v>1047</v>
      </c>
      <c r="D136" s="275" t="s">
        <v>1067</v>
      </c>
      <c r="E136" s="289" t="s">
        <v>946</v>
      </c>
      <c r="F136" s="284"/>
      <c r="G136" s="282">
        <f>G137+G141</f>
        <v>196500</v>
      </c>
      <c r="H136" s="442"/>
      <c r="I136" s="282">
        <f t="shared" si="3"/>
        <v>196500</v>
      </c>
      <c r="J136" s="282">
        <f>J137+J141</f>
        <v>196500</v>
      </c>
      <c r="K136" s="442"/>
      <c r="L136" s="282">
        <f t="shared" si="2"/>
        <v>196500</v>
      </c>
    </row>
    <row r="137" spans="1:12" ht="45" customHeight="1">
      <c r="A137" s="318" t="s">
        <v>947</v>
      </c>
      <c r="B137" s="275" t="s">
        <v>1159</v>
      </c>
      <c r="C137" s="275" t="s">
        <v>1047</v>
      </c>
      <c r="D137" s="275" t="s">
        <v>1067</v>
      </c>
      <c r="E137" s="289" t="s">
        <v>948</v>
      </c>
      <c r="F137" s="284"/>
      <c r="G137" s="282">
        <f>G138</f>
        <v>0</v>
      </c>
      <c r="H137" s="442"/>
      <c r="I137" s="282">
        <f t="shared" si="3"/>
        <v>0</v>
      </c>
      <c r="J137" s="282">
        <f>J138</f>
        <v>0</v>
      </c>
      <c r="K137" s="442"/>
      <c r="L137" s="282">
        <f t="shared" si="2"/>
        <v>0</v>
      </c>
    </row>
    <row r="138" spans="1:12" ht="26.25">
      <c r="A138" s="318" t="s">
        <v>949</v>
      </c>
      <c r="B138" s="275" t="s">
        <v>1159</v>
      </c>
      <c r="C138" s="275" t="s">
        <v>1047</v>
      </c>
      <c r="D138" s="275" t="s">
        <v>1067</v>
      </c>
      <c r="E138" s="289" t="s">
        <v>950</v>
      </c>
      <c r="F138" s="284"/>
      <c r="G138" s="282">
        <f>G139</f>
        <v>0</v>
      </c>
      <c r="H138" s="442"/>
      <c r="I138" s="282">
        <f t="shared" si="3"/>
        <v>0</v>
      </c>
      <c r="J138" s="282">
        <f>J139</f>
        <v>0</v>
      </c>
      <c r="K138" s="442"/>
      <c r="L138" s="282">
        <f t="shared" si="2"/>
        <v>0</v>
      </c>
    </row>
    <row r="139" spans="1:12" ht="33.75" customHeight="1">
      <c r="A139" s="290" t="s">
        <v>951</v>
      </c>
      <c r="B139" s="275" t="s">
        <v>1159</v>
      </c>
      <c r="C139" s="275" t="s">
        <v>1047</v>
      </c>
      <c r="D139" s="275" t="s">
        <v>1067</v>
      </c>
      <c r="E139" s="289" t="s">
        <v>952</v>
      </c>
      <c r="F139" s="284"/>
      <c r="G139" s="282">
        <f>G140</f>
        <v>0</v>
      </c>
      <c r="H139" s="442"/>
      <c r="I139" s="282">
        <f aca="true" t="shared" si="4" ref="I139:I204">G139+H139</f>
        <v>0</v>
      </c>
      <c r="J139" s="282">
        <f>J140</f>
        <v>0</v>
      </c>
      <c r="K139" s="442"/>
      <c r="L139" s="282">
        <f aca="true" t="shared" si="5" ref="L139:L223">J139+K139</f>
        <v>0</v>
      </c>
    </row>
    <row r="140" spans="1:12" ht="26.25">
      <c r="A140" s="290" t="s">
        <v>516</v>
      </c>
      <c r="B140" s="275" t="s">
        <v>1159</v>
      </c>
      <c r="C140" s="275" t="s">
        <v>1047</v>
      </c>
      <c r="D140" s="275" t="s">
        <v>1067</v>
      </c>
      <c r="E140" s="289" t="s">
        <v>952</v>
      </c>
      <c r="F140" s="284" t="s">
        <v>517</v>
      </c>
      <c r="G140" s="282">
        <f>15000-15000</f>
        <v>0</v>
      </c>
      <c r="H140" s="442"/>
      <c r="I140" s="282">
        <f t="shared" si="4"/>
        <v>0</v>
      </c>
      <c r="J140" s="282">
        <f>15000-15000</f>
        <v>0</v>
      </c>
      <c r="K140" s="442"/>
      <c r="L140" s="282">
        <f t="shared" si="5"/>
        <v>0</v>
      </c>
    </row>
    <row r="141" spans="1:12" ht="59.25" customHeight="1">
      <c r="A141" s="318" t="s">
        <v>953</v>
      </c>
      <c r="B141" s="275" t="s">
        <v>1159</v>
      </c>
      <c r="C141" s="275" t="s">
        <v>1047</v>
      </c>
      <c r="D141" s="275" t="s">
        <v>1067</v>
      </c>
      <c r="E141" s="289" t="s">
        <v>954</v>
      </c>
      <c r="F141" s="284"/>
      <c r="G141" s="282">
        <f>G142</f>
        <v>196500</v>
      </c>
      <c r="H141" s="442"/>
      <c r="I141" s="282">
        <f t="shared" si="4"/>
        <v>196500</v>
      </c>
      <c r="J141" s="282">
        <f>J142</f>
        <v>196500</v>
      </c>
      <c r="K141" s="442"/>
      <c r="L141" s="282">
        <f t="shared" si="5"/>
        <v>196500</v>
      </c>
    </row>
    <row r="142" spans="1:12" ht="13.5">
      <c r="A142" s="318" t="s">
        <v>955</v>
      </c>
      <c r="B142" s="275" t="s">
        <v>1159</v>
      </c>
      <c r="C142" s="275" t="s">
        <v>1047</v>
      </c>
      <c r="D142" s="275" t="s">
        <v>1067</v>
      </c>
      <c r="E142" s="289" t="s">
        <v>956</v>
      </c>
      <c r="F142" s="284"/>
      <c r="G142" s="282">
        <f>G143</f>
        <v>196500</v>
      </c>
      <c r="H142" s="442"/>
      <c r="I142" s="282">
        <f t="shared" si="4"/>
        <v>196500</v>
      </c>
      <c r="J142" s="282">
        <f>J143</f>
        <v>196500</v>
      </c>
      <c r="K142" s="442"/>
      <c r="L142" s="282">
        <f t="shared" si="5"/>
        <v>196500</v>
      </c>
    </row>
    <row r="143" spans="1:12" ht="34.5" customHeight="1">
      <c r="A143" s="318" t="s">
        <v>609</v>
      </c>
      <c r="B143" s="275" t="s">
        <v>1159</v>
      </c>
      <c r="C143" s="275" t="s">
        <v>1047</v>
      </c>
      <c r="D143" s="275" t="s">
        <v>1067</v>
      </c>
      <c r="E143" s="289" t="s">
        <v>957</v>
      </c>
      <c r="F143" s="284"/>
      <c r="G143" s="282">
        <f>G144</f>
        <v>196500</v>
      </c>
      <c r="H143" s="442"/>
      <c r="I143" s="282">
        <f t="shared" si="4"/>
        <v>196500</v>
      </c>
      <c r="J143" s="282">
        <f>J144</f>
        <v>196500</v>
      </c>
      <c r="K143" s="442"/>
      <c r="L143" s="282">
        <f t="shared" si="5"/>
        <v>196500</v>
      </c>
    </row>
    <row r="144" spans="1:12" ht="30" customHeight="1">
      <c r="A144" s="290" t="s">
        <v>516</v>
      </c>
      <c r="B144" s="275" t="s">
        <v>1159</v>
      </c>
      <c r="C144" s="275" t="s">
        <v>1047</v>
      </c>
      <c r="D144" s="275" t="s">
        <v>1067</v>
      </c>
      <c r="E144" s="289" t="s">
        <v>957</v>
      </c>
      <c r="F144" s="284" t="s">
        <v>517</v>
      </c>
      <c r="G144" s="282">
        <f>181500+15000</f>
        <v>196500</v>
      </c>
      <c r="H144" s="442"/>
      <c r="I144" s="282">
        <f t="shared" si="4"/>
        <v>196500</v>
      </c>
      <c r="J144" s="282">
        <f>181500+15000</f>
        <v>196500</v>
      </c>
      <c r="K144" s="442"/>
      <c r="L144" s="282">
        <f t="shared" si="5"/>
        <v>196500</v>
      </c>
    </row>
    <row r="145" spans="1:12" ht="46.5" customHeight="1">
      <c r="A145" s="290" t="s">
        <v>958</v>
      </c>
      <c r="B145" s="275" t="s">
        <v>1159</v>
      </c>
      <c r="C145" s="275" t="s">
        <v>1047</v>
      </c>
      <c r="D145" s="275" t="s">
        <v>1067</v>
      </c>
      <c r="E145" s="289" t="s">
        <v>959</v>
      </c>
      <c r="F145" s="324"/>
      <c r="G145" s="282">
        <f>G146</f>
        <v>1867940</v>
      </c>
      <c r="H145" s="442"/>
      <c r="I145" s="282">
        <f t="shared" si="4"/>
        <v>1867940</v>
      </c>
      <c r="J145" s="282">
        <f>J146</f>
        <v>1022136</v>
      </c>
      <c r="K145" s="442"/>
      <c r="L145" s="282">
        <f t="shared" si="5"/>
        <v>1022136</v>
      </c>
    </row>
    <row r="146" spans="1:12" ht="57.75" customHeight="1">
      <c r="A146" s="290" t="s">
        <v>960</v>
      </c>
      <c r="B146" s="275" t="s">
        <v>1159</v>
      </c>
      <c r="C146" s="443" t="s">
        <v>1047</v>
      </c>
      <c r="D146" s="443" t="s">
        <v>1067</v>
      </c>
      <c r="E146" s="453" t="s">
        <v>961</v>
      </c>
      <c r="F146" s="454"/>
      <c r="G146" s="446">
        <f>G148</f>
        <v>1867940</v>
      </c>
      <c r="H146" s="442"/>
      <c r="I146" s="282">
        <f t="shared" si="4"/>
        <v>1867940</v>
      </c>
      <c r="J146" s="446">
        <f>J148</f>
        <v>1022136</v>
      </c>
      <c r="K146" s="442"/>
      <c r="L146" s="282">
        <f t="shared" si="5"/>
        <v>1022136</v>
      </c>
    </row>
    <row r="147" spans="1:12" ht="62.25" customHeight="1">
      <c r="A147" s="333" t="s">
        <v>962</v>
      </c>
      <c r="B147" s="275" t="s">
        <v>1159</v>
      </c>
      <c r="C147" s="275" t="s">
        <v>1047</v>
      </c>
      <c r="D147" s="275" t="s">
        <v>1067</v>
      </c>
      <c r="E147" s="289" t="s">
        <v>963</v>
      </c>
      <c r="F147" s="324"/>
      <c r="G147" s="282">
        <f>G148</f>
        <v>1867940</v>
      </c>
      <c r="H147" s="442"/>
      <c r="I147" s="282">
        <f t="shared" si="4"/>
        <v>1867940</v>
      </c>
      <c r="J147" s="282">
        <f>J148</f>
        <v>1022136</v>
      </c>
      <c r="K147" s="442"/>
      <c r="L147" s="282">
        <f t="shared" si="5"/>
        <v>1022136</v>
      </c>
    </row>
    <row r="148" spans="1:12" ht="33" customHeight="1">
      <c r="A148" s="372" t="s">
        <v>964</v>
      </c>
      <c r="B148" s="275" t="s">
        <v>1159</v>
      </c>
      <c r="C148" s="275" t="s">
        <v>1047</v>
      </c>
      <c r="D148" s="275" t="s">
        <v>1067</v>
      </c>
      <c r="E148" s="289" t="s">
        <v>965</v>
      </c>
      <c r="F148" s="324"/>
      <c r="G148" s="282">
        <f>G149+G150</f>
        <v>1867940</v>
      </c>
      <c r="H148" s="442"/>
      <c r="I148" s="282">
        <f t="shared" si="4"/>
        <v>1867940</v>
      </c>
      <c r="J148" s="282">
        <f>J149+J150</f>
        <v>1022136</v>
      </c>
      <c r="K148" s="442"/>
      <c r="L148" s="282">
        <f t="shared" si="5"/>
        <v>1022136</v>
      </c>
    </row>
    <row r="149" spans="1:12" ht="50.25" customHeight="1">
      <c r="A149" s="290" t="s">
        <v>522</v>
      </c>
      <c r="B149" s="275" t="s">
        <v>1159</v>
      </c>
      <c r="C149" s="275" t="s">
        <v>1047</v>
      </c>
      <c r="D149" s="275" t="s">
        <v>1067</v>
      </c>
      <c r="E149" s="289" t="s">
        <v>965</v>
      </c>
      <c r="F149" s="324" t="s">
        <v>523</v>
      </c>
      <c r="G149" s="282">
        <v>765394</v>
      </c>
      <c r="H149" s="442"/>
      <c r="I149" s="282">
        <f t="shared" si="4"/>
        <v>765394</v>
      </c>
      <c r="J149" s="282">
        <v>765394</v>
      </c>
      <c r="K149" s="442"/>
      <c r="L149" s="282">
        <f t="shared" si="5"/>
        <v>765394</v>
      </c>
    </row>
    <row r="150" spans="1:12" ht="30.75" customHeight="1">
      <c r="A150" s="290" t="s">
        <v>516</v>
      </c>
      <c r="B150" s="275" t="s">
        <v>1159</v>
      </c>
      <c r="C150" s="275" t="s">
        <v>1047</v>
      </c>
      <c r="D150" s="275" t="s">
        <v>1067</v>
      </c>
      <c r="E150" s="289" t="s">
        <v>965</v>
      </c>
      <c r="F150" s="324" t="s">
        <v>517</v>
      </c>
      <c r="G150" s="282">
        <f>1300046-197500</f>
        <v>1102546</v>
      </c>
      <c r="H150" s="442"/>
      <c r="I150" s="282">
        <f t="shared" si="4"/>
        <v>1102546</v>
      </c>
      <c r="J150" s="282">
        <v>256742</v>
      </c>
      <c r="K150" s="442"/>
      <c r="L150" s="282">
        <f t="shared" si="5"/>
        <v>256742</v>
      </c>
    </row>
    <row r="151" spans="1:12" ht="26.25">
      <c r="A151" s="290" t="s">
        <v>990</v>
      </c>
      <c r="B151" s="275" t="s">
        <v>1159</v>
      </c>
      <c r="C151" s="275" t="s">
        <v>1047</v>
      </c>
      <c r="D151" s="275" t="s">
        <v>1067</v>
      </c>
      <c r="E151" s="302" t="s">
        <v>991</v>
      </c>
      <c r="F151" s="324"/>
      <c r="G151" s="282">
        <f>G152</f>
        <v>177900.78</v>
      </c>
      <c r="H151" s="442"/>
      <c r="I151" s="282">
        <f t="shared" si="4"/>
        <v>177900.78</v>
      </c>
      <c r="J151" s="282">
        <f>J152</f>
        <v>177900</v>
      </c>
      <c r="K151" s="442"/>
      <c r="L151" s="282">
        <f t="shared" si="5"/>
        <v>177900</v>
      </c>
    </row>
    <row r="152" spans="1:12" ht="21.75" customHeight="1">
      <c r="A152" s="290" t="s">
        <v>992</v>
      </c>
      <c r="B152" s="275" t="s">
        <v>1159</v>
      </c>
      <c r="C152" s="275" t="s">
        <v>1047</v>
      </c>
      <c r="D152" s="275" t="s">
        <v>1067</v>
      </c>
      <c r="E152" s="302" t="s">
        <v>993</v>
      </c>
      <c r="F152" s="324"/>
      <c r="G152" s="282">
        <f>G153</f>
        <v>177900.78</v>
      </c>
      <c r="H152" s="442"/>
      <c r="I152" s="282">
        <f t="shared" si="4"/>
        <v>177900.78</v>
      </c>
      <c r="J152" s="282">
        <f>J153</f>
        <v>177900</v>
      </c>
      <c r="K152" s="442"/>
      <c r="L152" s="282">
        <f t="shared" si="5"/>
        <v>177900</v>
      </c>
    </row>
    <row r="153" spans="1:12" ht="23.25" customHeight="1">
      <c r="A153" s="281" t="s">
        <v>609</v>
      </c>
      <c r="B153" s="275" t="s">
        <v>1159</v>
      </c>
      <c r="C153" s="275" t="s">
        <v>1047</v>
      </c>
      <c r="D153" s="275" t="s">
        <v>1067</v>
      </c>
      <c r="E153" s="302" t="s">
        <v>994</v>
      </c>
      <c r="F153" s="324"/>
      <c r="G153" s="282">
        <f>G154+G155</f>
        <v>177900.78</v>
      </c>
      <c r="H153" s="442"/>
      <c r="I153" s="282">
        <f t="shared" si="4"/>
        <v>177900.78</v>
      </c>
      <c r="J153" s="282">
        <f>J154+J155</f>
        <v>177900</v>
      </c>
      <c r="K153" s="442"/>
      <c r="L153" s="282">
        <f t="shared" si="5"/>
        <v>177900</v>
      </c>
    </row>
    <row r="154" spans="1:12" ht="30" customHeight="1">
      <c r="A154" s="290" t="s">
        <v>516</v>
      </c>
      <c r="B154" s="275" t="s">
        <v>1159</v>
      </c>
      <c r="C154" s="275" t="s">
        <v>1047</v>
      </c>
      <c r="D154" s="275" t="s">
        <v>1067</v>
      </c>
      <c r="E154" s="302" t="s">
        <v>994</v>
      </c>
      <c r="F154" s="324" t="s">
        <v>517</v>
      </c>
      <c r="G154" s="282">
        <v>10000.78</v>
      </c>
      <c r="H154" s="442"/>
      <c r="I154" s="282">
        <f t="shared" si="4"/>
        <v>10000.78</v>
      </c>
      <c r="J154" s="282">
        <v>10000</v>
      </c>
      <c r="K154" s="442"/>
      <c r="L154" s="282">
        <f t="shared" si="5"/>
        <v>10000</v>
      </c>
    </row>
    <row r="155" spans="1:12" ht="17.25" customHeight="1">
      <c r="A155" s="288" t="s">
        <v>524</v>
      </c>
      <c r="B155" s="275" t="s">
        <v>1159</v>
      </c>
      <c r="C155" s="275" t="s">
        <v>1047</v>
      </c>
      <c r="D155" s="275" t="s">
        <v>1067</v>
      </c>
      <c r="E155" s="302" t="s">
        <v>994</v>
      </c>
      <c r="F155" s="324" t="s">
        <v>525</v>
      </c>
      <c r="G155" s="282">
        <v>167900</v>
      </c>
      <c r="H155" s="442"/>
      <c r="I155" s="282">
        <f t="shared" si="4"/>
        <v>167900</v>
      </c>
      <c r="J155" s="282">
        <v>167900</v>
      </c>
      <c r="K155" s="442"/>
      <c r="L155" s="282">
        <f t="shared" si="5"/>
        <v>167900</v>
      </c>
    </row>
    <row r="156" spans="1:12" ht="20.25" customHeight="1">
      <c r="A156" s="281" t="s">
        <v>995</v>
      </c>
      <c r="B156" s="275" t="s">
        <v>1159</v>
      </c>
      <c r="C156" s="319" t="s">
        <v>1047</v>
      </c>
      <c r="D156" s="275" t="s">
        <v>1067</v>
      </c>
      <c r="E156" s="298" t="s">
        <v>996</v>
      </c>
      <c r="F156" s="303"/>
      <c r="G156" s="282">
        <f>G157</f>
        <v>8445810</v>
      </c>
      <c r="H156" s="442"/>
      <c r="I156" s="282">
        <f t="shared" si="4"/>
        <v>8445810</v>
      </c>
      <c r="J156" s="282">
        <f>J157</f>
        <v>8445810</v>
      </c>
      <c r="K156" s="442"/>
      <c r="L156" s="282">
        <f t="shared" si="5"/>
        <v>8445810</v>
      </c>
    </row>
    <row r="157" spans="1:12" ht="18.75" customHeight="1">
      <c r="A157" s="281" t="s">
        <v>1001</v>
      </c>
      <c r="B157" s="275" t="s">
        <v>1159</v>
      </c>
      <c r="C157" s="275" t="s">
        <v>1047</v>
      </c>
      <c r="D157" s="275" t="s">
        <v>1067</v>
      </c>
      <c r="E157" s="275" t="s">
        <v>1002</v>
      </c>
      <c r="F157" s="284"/>
      <c r="G157" s="282">
        <f>G158+G162+G164</f>
        <v>8445810</v>
      </c>
      <c r="H157" s="442"/>
      <c r="I157" s="282">
        <f t="shared" si="4"/>
        <v>8445810</v>
      </c>
      <c r="J157" s="282">
        <f>J158+J162+J164</f>
        <v>8445810</v>
      </c>
      <c r="K157" s="442"/>
      <c r="L157" s="282">
        <f t="shared" si="5"/>
        <v>8445810</v>
      </c>
    </row>
    <row r="158" spans="1:12" ht="30" customHeight="1">
      <c r="A158" s="288" t="s">
        <v>520</v>
      </c>
      <c r="B158" s="275" t="s">
        <v>1159</v>
      </c>
      <c r="C158" s="275" t="s">
        <v>1047</v>
      </c>
      <c r="D158" s="275" t="s">
        <v>1067</v>
      </c>
      <c r="E158" s="275" t="s">
        <v>1013</v>
      </c>
      <c r="F158" s="284"/>
      <c r="G158" s="282">
        <f>G159+G160+G161</f>
        <v>8170490</v>
      </c>
      <c r="H158" s="442"/>
      <c r="I158" s="282">
        <f t="shared" si="4"/>
        <v>8170490</v>
      </c>
      <c r="J158" s="282">
        <f>J159+J160+J161</f>
        <v>8170490</v>
      </c>
      <c r="K158" s="442"/>
      <c r="L158" s="282">
        <f t="shared" si="5"/>
        <v>8170490</v>
      </c>
    </row>
    <row r="159" spans="1:12" ht="42" customHeight="1">
      <c r="A159" s="290" t="s">
        <v>522</v>
      </c>
      <c r="B159" s="275" t="s">
        <v>1159</v>
      </c>
      <c r="C159" s="275" t="s">
        <v>1047</v>
      </c>
      <c r="D159" s="275" t="s">
        <v>1067</v>
      </c>
      <c r="E159" s="275" t="s">
        <v>1013</v>
      </c>
      <c r="F159" s="303" t="s">
        <v>523</v>
      </c>
      <c r="G159" s="282">
        <v>5520500</v>
      </c>
      <c r="H159" s="442"/>
      <c r="I159" s="282">
        <f t="shared" si="4"/>
        <v>5520500</v>
      </c>
      <c r="J159" s="282">
        <f>5520500</f>
        <v>5520500</v>
      </c>
      <c r="K159" s="442"/>
      <c r="L159" s="282">
        <f t="shared" si="5"/>
        <v>5520500</v>
      </c>
    </row>
    <row r="160" spans="1:12" ht="30" customHeight="1">
      <c r="A160" s="290" t="s">
        <v>516</v>
      </c>
      <c r="B160" s="275" t="s">
        <v>1159</v>
      </c>
      <c r="C160" s="275" t="s">
        <v>1047</v>
      </c>
      <c r="D160" s="275" t="s">
        <v>1067</v>
      </c>
      <c r="E160" s="275" t="s">
        <v>1013</v>
      </c>
      <c r="F160" s="303" t="s">
        <v>517</v>
      </c>
      <c r="G160" s="282">
        <v>2631850</v>
      </c>
      <c r="H160" s="442"/>
      <c r="I160" s="282">
        <f t="shared" si="4"/>
        <v>2631850</v>
      </c>
      <c r="J160" s="282">
        <v>2631850</v>
      </c>
      <c r="K160" s="442"/>
      <c r="L160" s="282">
        <f t="shared" si="5"/>
        <v>2631850</v>
      </c>
    </row>
    <row r="161" spans="1:12" ht="21.75" customHeight="1">
      <c r="A161" s="288" t="s">
        <v>524</v>
      </c>
      <c r="B161" s="275" t="s">
        <v>1159</v>
      </c>
      <c r="C161" s="275" t="s">
        <v>1047</v>
      </c>
      <c r="D161" s="275" t="s">
        <v>1067</v>
      </c>
      <c r="E161" s="275" t="s">
        <v>1013</v>
      </c>
      <c r="F161" s="303" t="s">
        <v>525</v>
      </c>
      <c r="G161" s="282">
        <v>18140</v>
      </c>
      <c r="H161" s="442"/>
      <c r="I161" s="282">
        <f t="shared" si="4"/>
        <v>18140</v>
      </c>
      <c r="J161" s="282">
        <v>18140</v>
      </c>
      <c r="K161" s="442"/>
      <c r="L161" s="282">
        <f t="shared" si="5"/>
        <v>18140</v>
      </c>
    </row>
    <row r="162" spans="1:12" ht="21" customHeight="1">
      <c r="A162" s="451" t="s">
        <v>1014</v>
      </c>
      <c r="B162" s="275" t="s">
        <v>1159</v>
      </c>
      <c r="C162" s="275" t="s">
        <v>1047</v>
      </c>
      <c r="D162" s="275" t="s">
        <v>1067</v>
      </c>
      <c r="E162" s="275" t="s">
        <v>1015</v>
      </c>
      <c r="F162" s="303"/>
      <c r="G162" s="282">
        <f>G163</f>
        <v>100000</v>
      </c>
      <c r="H162" s="442"/>
      <c r="I162" s="282">
        <f t="shared" si="4"/>
        <v>100000</v>
      </c>
      <c r="J162" s="282">
        <f>J163</f>
        <v>100000</v>
      </c>
      <c r="K162" s="442"/>
      <c r="L162" s="282">
        <f t="shared" si="5"/>
        <v>100000</v>
      </c>
    </row>
    <row r="163" spans="1:12" ht="30" customHeight="1">
      <c r="A163" s="290" t="s">
        <v>516</v>
      </c>
      <c r="B163" s="275" t="s">
        <v>1159</v>
      </c>
      <c r="C163" s="275" t="s">
        <v>1047</v>
      </c>
      <c r="D163" s="275" t="s">
        <v>1067</v>
      </c>
      <c r="E163" s="275" t="s">
        <v>1015</v>
      </c>
      <c r="F163" s="303" t="s">
        <v>517</v>
      </c>
      <c r="G163" s="282">
        <v>100000</v>
      </c>
      <c r="H163" s="442"/>
      <c r="I163" s="282">
        <f t="shared" si="4"/>
        <v>100000</v>
      </c>
      <c r="J163" s="282">
        <v>100000</v>
      </c>
      <c r="K163" s="442"/>
      <c r="L163" s="282">
        <f t="shared" si="5"/>
        <v>100000</v>
      </c>
    </row>
    <row r="164" spans="1:12" ht="30" customHeight="1">
      <c r="A164" s="290" t="s">
        <v>1011</v>
      </c>
      <c r="B164" s="275" t="s">
        <v>1159</v>
      </c>
      <c r="C164" s="275" t="s">
        <v>1047</v>
      </c>
      <c r="D164" s="275" t="s">
        <v>1067</v>
      </c>
      <c r="E164" s="275" t="s">
        <v>1012</v>
      </c>
      <c r="F164" s="303"/>
      <c r="G164" s="282">
        <f>G165</f>
        <v>175320</v>
      </c>
      <c r="H164" s="442"/>
      <c r="I164" s="282">
        <f t="shared" si="4"/>
        <v>175320</v>
      </c>
      <c r="J164" s="282">
        <f>J165</f>
        <v>175320</v>
      </c>
      <c r="K164" s="442"/>
      <c r="L164" s="282">
        <f t="shared" si="5"/>
        <v>175320</v>
      </c>
    </row>
    <row r="165" spans="1:12" ht="17.25" customHeight="1">
      <c r="A165" s="290" t="s">
        <v>713</v>
      </c>
      <c r="B165" s="275" t="s">
        <v>1159</v>
      </c>
      <c r="C165" s="275" t="s">
        <v>1047</v>
      </c>
      <c r="D165" s="275" t="s">
        <v>1067</v>
      </c>
      <c r="E165" s="275" t="s">
        <v>1012</v>
      </c>
      <c r="F165" s="303" t="s">
        <v>714</v>
      </c>
      <c r="G165" s="282">
        <f>175320</f>
        <v>175320</v>
      </c>
      <c r="H165" s="442"/>
      <c r="I165" s="282">
        <f t="shared" si="4"/>
        <v>175320</v>
      </c>
      <c r="J165" s="282">
        <f>175320</f>
        <v>175320</v>
      </c>
      <c r="K165" s="442"/>
      <c r="L165" s="282">
        <f t="shared" si="5"/>
        <v>175320</v>
      </c>
    </row>
    <row r="166" spans="1:12" ht="15" customHeight="1" hidden="1">
      <c r="A166" s="281" t="s">
        <v>1034</v>
      </c>
      <c r="B166" s="275" t="s">
        <v>1159</v>
      </c>
      <c r="C166" s="319" t="s">
        <v>1047</v>
      </c>
      <c r="D166" s="275" t="s">
        <v>1067</v>
      </c>
      <c r="E166" s="298" t="s">
        <v>1035</v>
      </c>
      <c r="F166" s="303"/>
      <c r="G166" s="282">
        <f>G167</f>
        <v>0</v>
      </c>
      <c r="H166" s="442"/>
      <c r="I166" s="282">
        <f t="shared" si="4"/>
        <v>0</v>
      </c>
      <c r="J166" s="282">
        <f>J167</f>
        <v>0</v>
      </c>
      <c r="K166" s="442"/>
      <c r="L166" s="282">
        <f t="shared" si="5"/>
        <v>0</v>
      </c>
    </row>
    <row r="167" spans="1:12" ht="15" customHeight="1" hidden="1">
      <c r="A167" s="290" t="s">
        <v>1024</v>
      </c>
      <c r="B167" s="275" t="s">
        <v>1159</v>
      </c>
      <c r="C167" s="319" t="s">
        <v>1047</v>
      </c>
      <c r="D167" s="275" t="s">
        <v>1067</v>
      </c>
      <c r="E167" s="298" t="s">
        <v>1036</v>
      </c>
      <c r="F167" s="303"/>
      <c r="G167" s="282">
        <f>G168</f>
        <v>0</v>
      </c>
      <c r="H167" s="442"/>
      <c r="I167" s="282">
        <f t="shared" si="4"/>
        <v>0</v>
      </c>
      <c r="J167" s="282">
        <f>J168</f>
        <v>0</v>
      </c>
      <c r="K167" s="442"/>
      <c r="L167" s="282">
        <f t="shared" si="5"/>
        <v>0</v>
      </c>
    </row>
    <row r="168" spans="1:12" ht="15" customHeight="1" hidden="1">
      <c r="A168" s="290" t="s">
        <v>1037</v>
      </c>
      <c r="B168" s="275" t="s">
        <v>1159</v>
      </c>
      <c r="C168" s="319" t="s">
        <v>1047</v>
      </c>
      <c r="D168" s="275" t="s">
        <v>1067</v>
      </c>
      <c r="E168" s="298" t="s">
        <v>1038</v>
      </c>
      <c r="F168" s="303"/>
      <c r="G168" s="282">
        <f>G169</f>
        <v>0</v>
      </c>
      <c r="H168" s="442"/>
      <c r="I168" s="282">
        <f t="shared" si="4"/>
        <v>0</v>
      </c>
      <c r="J168" s="282">
        <f>J169</f>
        <v>0</v>
      </c>
      <c r="K168" s="442"/>
      <c r="L168" s="282">
        <f t="shared" si="5"/>
        <v>0</v>
      </c>
    </row>
    <row r="169" spans="1:12" ht="15" customHeight="1" hidden="1">
      <c r="A169" s="292" t="s">
        <v>550</v>
      </c>
      <c r="B169" s="275" t="s">
        <v>1159</v>
      </c>
      <c r="C169" s="319" t="s">
        <v>1047</v>
      </c>
      <c r="D169" s="275" t="s">
        <v>1067</v>
      </c>
      <c r="E169" s="298" t="s">
        <v>1038</v>
      </c>
      <c r="F169" s="303" t="s">
        <v>551</v>
      </c>
      <c r="G169" s="282"/>
      <c r="H169" s="442"/>
      <c r="I169" s="282">
        <f t="shared" si="4"/>
        <v>0</v>
      </c>
      <c r="J169" s="282"/>
      <c r="K169" s="442"/>
      <c r="L169" s="282">
        <f t="shared" si="5"/>
        <v>0</v>
      </c>
    </row>
    <row r="170" spans="1:12" ht="24" customHeight="1">
      <c r="A170" s="281" t="s">
        <v>1076</v>
      </c>
      <c r="B170" s="275" t="s">
        <v>1159</v>
      </c>
      <c r="C170" s="275" t="s">
        <v>1051</v>
      </c>
      <c r="D170" s="275" t="s">
        <v>1077</v>
      </c>
      <c r="E170" s="298"/>
      <c r="F170" s="303"/>
      <c r="G170" s="282">
        <f>G171</f>
        <v>51000</v>
      </c>
      <c r="H170" s="442"/>
      <c r="I170" s="282">
        <f t="shared" si="4"/>
        <v>51000</v>
      </c>
      <c r="J170" s="282">
        <f>J171</f>
        <v>51000</v>
      </c>
      <c r="K170" s="442"/>
      <c r="L170" s="282">
        <f t="shared" si="5"/>
        <v>51000</v>
      </c>
    </row>
    <row r="171" spans="1:12" ht="27.75" customHeight="1">
      <c r="A171" s="288" t="s">
        <v>1078</v>
      </c>
      <c r="B171" s="275" t="s">
        <v>1159</v>
      </c>
      <c r="C171" s="275" t="s">
        <v>1051</v>
      </c>
      <c r="D171" s="275" t="s">
        <v>1079</v>
      </c>
      <c r="E171" s="298"/>
      <c r="F171" s="303"/>
      <c r="G171" s="282">
        <f>G172</f>
        <v>51000</v>
      </c>
      <c r="H171" s="442"/>
      <c r="I171" s="282">
        <f t="shared" si="4"/>
        <v>51000</v>
      </c>
      <c r="J171" s="282">
        <f>J172</f>
        <v>51000</v>
      </c>
      <c r="K171" s="442"/>
      <c r="L171" s="282">
        <f t="shared" si="5"/>
        <v>51000</v>
      </c>
    </row>
    <row r="172" spans="1:12" ht="54.75" customHeight="1">
      <c r="A172" s="287" t="s">
        <v>870</v>
      </c>
      <c r="B172" s="275" t="s">
        <v>1159</v>
      </c>
      <c r="C172" s="275" t="s">
        <v>1051</v>
      </c>
      <c r="D172" s="275" t="s">
        <v>1079</v>
      </c>
      <c r="E172" s="453" t="s">
        <v>871</v>
      </c>
      <c r="F172" s="303"/>
      <c r="G172" s="282">
        <f>G173</f>
        <v>51000</v>
      </c>
      <c r="H172" s="442"/>
      <c r="I172" s="282">
        <f t="shared" si="4"/>
        <v>51000</v>
      </c>
      <c r="J172" s="282">
        <f>J173</f>
        <v>51000</v>
      </c>
      <c r="K172" s="442"/>
      <c r="L172" s="282">
        <f t="shared" si="5"/>
        <v>51000</v>
      </c>
    </row>
    <row r="173" spans="1:12" ht="86.25" customHeight="1">
      <c r="A173" s="318" t="s">
        <v>872</v>
      </c>
      <c r="B173" s="275" t="s">
        <v>1159</v>
      </c>
      <c r="C173" s="443" t="s">
        <v>1051</v>
      </c>
      <c r="D173" s="443" t="s">
        <v>1079</v>
      </c>
      <c r="E173" s="453" t="s">
        <v>873</v>
      </c>
      <c r="F173" s="445"/>
      <c r="G173" s="446">
        <f>G174+G177+G180+G183</f>
        <v>51000</v>
      </c>
      <c r="H173" s="442"/>
      <c r="I173" s="282">
        <f t="shared" si="4"/>
        <v>51000</v>
      </c>
      <c r="J173" s="446">
        <f>J174+J177+J180+J183</f>
        <v>51000</v>
      </c>
      <c r="K173" s="442"/>
      <c r="L173" s="282">
        <f t="shared" si="5"/>
        <v>51000</v>
      </c>
    </row>
    <row r="174" spans="1:12" ht="0.75" customHeight="1" hidden="1">
      <c r="A174" s="318" t="s">
        <v>874</v>
      </c>
      <c r="B174" s="275" t="s">
        <v>1159</v>
      </c>
      <c r="C174" s="275" t="s">
        <v>1051</v>
      </c>
      <c r="D174" s="275" t="s">
        <v>1079</v>
      </c>
      <c r="E174" s="289" t="s">
        <v>875</v>
      </c>
      <c r="F174" s="303"/>
      <c r="G174" s="282">
        <f>G175</f>
        <v>0</v>
      </c>
      <c r="H174" s="442"/>
      <c r="I174" s="282">
        <f t="shared" si="4"/>
        <v>0</v>
      </c>
      <c r="J174" s="282">
        <f>J175</f>
        <v>0</v>
      </c>
      <c r="K174" s="442"/>
      <c r="L174" s="282">
        <f t="shared" si="5"/>
        <v>0</v>
      </c>
    </row>
    <row r="175" spans="1:12" ht="39" customHeight="1" hidden="1">
      <c r="A175" s="290" t="s">
        <v>876</v>
      </c>
      <c r="B175" s="275" t="s">
        <v>1159</v>
      </c>
      <c r="C175" s="275" t="s">
        <v>1051</v>
      </c>
      <c r="D175" s="275" t="s">
        <v>1079</v>
      </c>
      <c r="E175" s="289" t="s">
        <v>877</v>
      </c>
      <c r="F175" s="303"/>
      <c r="G175" s="282">
        <f>G176</f>
        <v>0</v>
      </c>
      <c r="H175" s="442"/>
      <c r="I175" s="282">
        <f t="shared" si="4"/>
        <v>0</v>
      </c>
      <c r="J175" s="282">
        <f>J176</f>
        <v>0</v>
      </c>
      <c r="K175" s="442"/>
      <c r="L175" s="282">
        <f t="shared" si="5"/>
        <v>0</v>
      </c>
    </row>
    <row r="176" spans="1:12" ht="26.25" customHeight="1" hidden="1">
      <c r="A176" s="290" t="s">
        <v>516</v>
      </c>
      <c r="B176" s="275" t="s">
        <v>1159</v>
      </c>
      <c r="C176" s="275" t="s">
        <v>1051</v>
      </c>
      <c r="D176" s="275" t="s">
        <v>1079</v>
      </c>
      <c r="E176" s="289" t="s">
        <v>877</v>
      </c>
      <c r="F176" s="303" t="s">
        <v>517</v>
      </c>
      <c r="G176" s="282"/>
      <c r="H176" s="442"/>
      <c r="I176" s="282">
        <f t="shared" si="4"/>
        <v>0</v>
      </c>
      <c r="J176" s="282"/>
      <c r="K176" s="442"/>
      <c r="L176" s="282">
        <f t="shared" si="5"/>
        <v>0</v>
      </c>
    </row>
    <row r="177" spans="1:12" ht="60.75" customHeight="1">
      <c r="A177" s="318" t="s">
        <v>878</v>
      </c>
      <c r="B177" s="275" t="s">
        <v>1159</v>
      </c>
      <c r="C177" s="275" t="s">
        <v>1051</v>
      </c>
      <c r="D177" s="275" t="s">
        <v>1079</v>
      </c>
      <c r="E177" s="289" t="s">
        <v>879</v>
      </c>
      <c r="F177" s="303"/>
      <c r="G177" s="282">
        <f>G178</f>
        <v>51000</v>
      </c>
      <c r="H177" s="442"/>
      <c r="I177" s="282">
        <f t="shared" si="4"/>
        <v>51000</v>
      </c>
      <c r="J177" s="282">
        <f>J178</f>
        <v>51000</v>
      </c>
      <c r="K177" s="442"/>
      <c r="L177" s="282">
        <f t="shared" si="5"/>
        <v>51000</v>
      </c>
    </row>
    <row r="178" spans="1:12" ht="43.5" customHeight="1">
      <c r="A178" s="290" t="s">
        <v>876</v>
      </c>
      <c r="B178" s="275" t="s">
        <v>1159</v>
      </c>
      <c r="C178" s="275" t="s">
        <v>1051</v>
      </c>
      <c r="D178" s="275" t="s">
        <v>1079</v>
      </c>
      <c r="E178" s="289" t="s">
        <v>880</v>
      </c>
      <c r="F178" s="303"/>
      <c r="G178" s="282">
        <f>G179</f>
        <v>51000</v>
      </c>
      <c r="H178" s="442"/>
      <c r="I178" s="282">
        <f t="shared" si="4"/>
        <v>51000</v>
      </c>
      <c r="J178" s="282">
        <f>J179</f>
        <v>51000</v>
      </c>
      <c r="K178" s="442"/>
      <c r="L178" s="282">
        <f t="shared" si="5"/>
        <v>51000</v>
      </c>
    </row>
    <row r="179" spans="1:12" ht="33" customHeight="1">
      <c r="A179" s="290" t="s">
        <v>516</v>
      </c>
      <c r="B179" s="275" t="s">
        <v>1159</v>
      </c>
      <c r="C179" s="275" t="s">
        <v>1051</v>
      </c>
      <c r="D179" s="275" t="s">
        <v>1079</v>
      </c>
      <c r="E179" s="289" t="s">
        <v>880</v>
      </c>
      <c r="F179" s="303" t="s">
        <v>517</v>
      </c>
      <c r="G179" s="282">
        <v>51000</v>
      </c>
      <c r="H179" s="442"/>
      <c r="I179" s="282">
        <f t="shared" si="4"/>
        <v>51000</v>
      </c>
      <c r="J179" s="282">
        <v>51000</v>
      </c>
      <c r="K179" s="442"/>
      <c r="L179" s="282">
        <f t="shared" si="5"/>
        <v>51000</v>
      </c>
    </row>
    <row r="180" spans="1:12" ht="28.5" customHeight="1" hidden="1">
      <c r="A180" s="318" t="s">
        <v>881</v>
      </c>
      <c r="B180" s="275" t="s">
        <v>1159</v>
      </c>
      <c r="C180" s="275" t="s">
        <v>1051</v>
      </c>
      <c r="D180" s="275" t="s">
        <v>1079</v>
      </c>
      <c r="E180" s="289" t="s">
        <v>882</v>
      </c>
      <c r="F180" s="303"/>
      <c r="G180" s="282">
        <f>G181</f>
        <v>0</v>
      </c>
      <c r="H180" s="442"/>
      <c r="I180" s="282">
        <f t="shared" si="4"/>
        <v>0</v>
      </c>
      <c r="J180" s="282">
        <f>J181</f>
        <v>0</v>
      </c>
      <c r="K180" s="442"/>
      <c r="L180" s="282">
        <f t="shared" si="5"/>
        <v>0</v>
      </c>
    </row>
    <row r="181" spans="1:12" ht="30" customHeight="1" hidden="1">
      <c r="A181" s="290" t="s">
        <v>876</v>
      </c>
      <c r="B181" s="275" t="s">
        <v>1159</v>
      </c>
      <c r="C181" s="275" t="s">
        <v>1051</v>
      </c>
      <c r="D181" s="275" t="s">
        <v>1079</v>
      </c>
      <c r="E181" s="289" t="s">
        <v>883</v>
      </c>
      <c r="F181" s="303"/>
      <c r="G181" s="282">
        <f>G182</f>
        <v>0</v>
      </c>
      <c r="H181" s="442"/>
      <c r="I181" s="282">
        <f t="shared" si="4"/>
        <v>0</v>
      </c>
      <c r="J181" s="282">
        <f>J182</f>
        <v>0</v>
      </c>
      <c r="K181" s="442"/>
      <c r="L181" s="282">
        <f t="shared" si="5"/>
        <v>0</v>
      </c>
    </row>
    <row r="182" spans="1:12" ht="15.75" customHeight="1" hidden="1">
      <c r="A182" s="290" t="s">
        <v>516</v>
      </c>
      <c r="B182" s="275" t="s">
        <v>1159</v>
      </c>
      <c r="C182" s="275" t="s">
        <v>1051</v>
      </c>
      <c r="D182" s="275" t="s">
        <v>1079</v>
      </c>
      <c r="E182" s="289" t="s">
        <v>883</v>
      </c>
      <c r="F182" s="303" t="s">
        <v>517</v>
      </c>
      <c r="G182" s="282"/>
      <c r="H182" s="442"/>
      <c r="I182" s="282">
        <f t="shared" si="4"/>
        <v>0</v>
      </c>
      <c r="J182" s="282"/>
      <c r="K182" s="442"/>
      <c r="L182" s="282">
        <f t="shared" si="5"/>
        <v>0</v>
      </c>
    </row>
    <row r="183" spans="1:12" ht="17.25" customHeight="1" hidden="1">
      <c r="A183" s="318" t="s">
        <v>884</v>
      </c>
      <c r="B183" s="275" t="s">
        <v>1159</v>
      </c>
      <c r="C183" s="275" t="s">
        <v>1051</v>
      </c>
      <c r="D183" s="275" t="s">
        <v>1079</v>
      </c>
      <c r="E183" s="289" t="s">
        <v>885</v>
      </c>
      <c r="F183" s="303"/>
      <c r="G183" s="282">
        <f>G184</f>
        <v>0</v>
      </c>
      <c r="H183" s="442"/>
      <c r="I183" s="282">
        <f t="shared" si="4"/>
        <v>0</v>
      </c>
      <c r="J183" s="282">
        <f>J184</f>
        <v>0</v>
      </c>
      <c r="K183" s="442"/>
      <c r="L183" s="282">
        <f t="shared" si="5"/>
        <v>0</v>
      </c>
    </row>
    <row r="184" spans="1:12" ht="39" customHeight="1" hidden="1">
      <c r="A184" s="290" t="s">
        <v>876</v>
      </c>
      <c r="B184" s="275" t="s">
        <v>1159</v>
      </c>
      <c r="C184" s="275" t="s">
        <v>1051</v>
      </c>
      <c r="D184" s="275" t="s">
        <v>1079</v>
      </c>
      <c r="E184" s="289" t="s">
        <v>886</v>
      </c>
      <c r="F184" s="303"/>
      <c r="G184" s="282">
        <f>G185</f>
        <v>0</v>
      </c>
      <c r="H184" s="442"/>
      <c r="I184" s="282">
        <f t="shared" si="4"/>
        <v>0</v>
      </c>
      <c r="J184" s="282">
        <f>J185</f>
        <v>0</v>
      </c>
      <c r="K184" s="442"/>
      <c r="L184" s="282">
        <f t="shared" si="5"/>
        <v>0</v>
      </c>
    </row>
    <row r="185" spans="1:12" ht="44.25" customHeight="1" hidden="1">
      <c r="A185" s="290" t="s">
        <v>516</v>
      </c>
      <c r="B185" s="275" t="s">
        <v>1159</v>
      </c>
      <c r="C185" s="275" t="s">
        <v>1051</v>
      </c>
      <c r="D185" s="275" t="s">
        <v>1079</v>
      </c>
      <c r="E185" s="289" t="s">
        <v>886</v>
      </c>
      <c r="F185" s="303" t="s">
        <v>517</v>
      </c>
      <c r="G185" s="282"/>
      <c r="H185" s="442"/>
      <c r="I185" s="282">
        <f t="shared" si="4"/>
        <v>0</v>
      </c>
      <c r="J185" s="282"/>
      <c r="K185" s="442"/>
      <c r="L185" s="282">
        <f t="shared" si="5"/>
        <v>0</v>
      </c>
    </row>
    <row r="186" spans="1:13" ht="24.75" customHeight="1">
      <c r="A186" s="281" t="s">
        <v>1080</v>
      </c>
      <c r="B186" s="275" t="s">
        <v>1159</v>
      </c>
      <c r="C186" s="275" t="s">
        <v>1054</v>
      </c>
      <c r="D186" s="275"/>
      <c r="E186" s="275"/>
      <c r="F186" s="284"/>
      <c r="G186" s="282">
        <f>G187+G194+G207</f>
        <v>6048100</v>
      </c>
      <c r="H186" s="442"/>
      <c r="I186" s="282">
        <f t="shared" si="4"/>
        <v>6048100</v>
      </c>
      <c r="J186" s="282">
        <f>J187+J194+J207</f>
        <v>6333891</v>
      </c>
      <c r="K186" s="442"/>
      <c r="L186" s="282">
        <f t="shared" si="5"/>
        <v>6333891</v>
      </c>
      <c r="M186" s="306"/>
    </row>
    <row r="187" spans="1:12" ht="13.5">
      <c r="A187" s="281" t="s">
        <v>1081</v>
      </c>
      <c r="B187" s="275" t="s">
        <v>1159</v>
      </c>
      <c r="C187" s="275" t="s">
        <v>1054</v>
      </c>
      <c r="D187" s="275" t="s">
        <v>1082</v>
      </c>
      <c r="E187" s="275"/>
      <c r="F187" s="284"/>
      <c r="G187" s="282">
        <f>G188</f>
        <v>510000</v>
      </c>
      <c r="H187" s="442"/>
      <c r="I187" s="282">
        <f t="shared" si="4"/>
        <v>510000</v>
      </c>
      <c r="J187" s="282">
        <f>J188</f>
        <v>510000</v>
      </c>
      <c r="K187" s="442"/>
      <c r="L187" s="282">
        <f t="shared" si="5"/>
        <v>510000</v>
      </c>
    </row>
    <row r="188" spans="1:12" ht="56.25" customHeight="1">
      <c r="A188" s="455" t="s">
        <v>822</v>
      </c>
      <c r="B188" s="275" t="s">
        <v>1159</v>
      </c>
      <c r="C188" s="275" t="s">
        <v>1054</v>
      </c>
      <c r="D188" s="275" t="s">
        <v>1082</v>
      </c>
      <c r="E188" s="289" t="s">
        <v>823</v>
      </c>
      <c r="F188" s="284"/>
      <c r="G188" s="282">
        <f>G189</f>
        <v>510000</v>
      </c>
      <c r="H188" s="442"/>
      <c r="I188" s="282">
        <f t="shared" si="4"/>
        <v>510000</v>
      </c>
      <c r="J188" s="282">
        <f>J189</f>
        <v>510000</v>
      </c>
      <c r="K188" s="442"/>
      <c r="L188" s="282">
        <f t="shared" si="5"/>
        <v>510000</v>
      </c>
    </row>
    <row r="189" spans="1:12" ht="73.5" customHeight="1">
      <c r="A189" s="456" t="s">
        <v>837</v>
      </c>
      <c r="B189" s="275" t="s">
        <v>1159</v>
      </c>
      <c r="C189" s="443" t="s">
        <v>1054</v>
      </c>
      <c r="D189" s="443" t="s">
        <v>1082</v>
      </c>
      <c r="E189" s="453" t="s">
        <v>838</v>
      </c>
      <c r="F189" s="448"/>
      <c r="G189" s="446">
        <f>G190</f>
        <v>510000</v>
      </c>
      <c r="H189" s="442"/>
      <c r="I189" s="282">
        <f t="shared" si="4"/>
        <v>510000</v>
      </c>
      <c r="J189" s="446">
        <f>J190</f>
        <v>510000</v>
      </c>
      <c r="K189" s="442"/>
      <c r="L189" s="282">
        <f t="shared" si="5"/>
        <v>510000</v>
      </c>
    </row>
    <row r="190" spans="1:12" ht="48.75" customHeight="1">
      <c r="A190" s="288" t="s">
        <v>839</v>
      </c>
      <c r="B190" s="275" t="s">
        <v>1159</v>
      </c>
      <c r="C190" s="275" t="s">
        <v>1054</v>
      </c>
      <c r="D190" s="275" t="s">
        <v>1082</v>
      </c>
      <c r="E190" s="289" t="s">
        <v>840</v>
      </c>
      <c r="F190" s="284"/>
      <c r="G190" s="282">
        <f>G191</f>
        <v>510000</v>
      </c>
      <c r="H190" s="442"/>
      <c r="I190" s="282">
        <f t="shared" si="4"/>
        <v>510000</v>
      </c>
      <c r="J190" s="282">
        <f>J191</f>
        <v>510000</v>
      </c>
      <c r="K190" s="442"/>
      <c r="L190" s="282">
        <f t="shared" si="5"/>
        <v>510000</v>
      </c>
    </row>
    <row r="191" spans="1:12" ht="13.5">
      <c r="A191" s="281" t="s">
        <v>841</v>
      </c>
      <c r="B191" s="275" t="s">
        <v>1159</v>
      </c>
      <c r="C191" s="275" t="s">
        <v>1054</v>
      </c>
      <c r="D191" s="275" t="s">
        <v>1082</v>
      </c>
      <c r="E191" s="289" t="s">
        <v>842</v>
      </c>
      <c r="F191" s="284"/>
      <c r="G191" s="282">
        <f>G193+G192</f>
        <v>510000</v>
      </c>
      <c r="H191" s="442"/>
      <c r="I191" s="282">
        <f t="shared" si="4"/>
        <v>510000</v>
      </c>
      <c r="J191" s="282">
        <f>J193+J192</f>
        <v>510000</v>
      </c>
      <c r="K191" s="442"/>
      <c r="L191" s="282">
        <f t="shared" si="5"/>
        <v>510000</v>
      </c>
    </row>
    <row r="192" spans="1:12" ht="26.25">
      <c r="A192" s="290" t="s">
        <v>516</v>
      </c>
      <c r="B192" s="275" t="s">
        <v>1159</v>
      </c>
      <c r="C192" s="275" t="s">
        <v>1054</v>
      </c>
      <c r="D192" s="275" t="s">
        <v>1082</v>
      </c>
      <c r="E192" s="289" t="s">
        <v>842</v>
      </c>
      <c r="F192" s="284" t="s">
        <v>517</v>
      </c>
      <c r="G192" s="282">
        <v>10000</v>
      </c>
      <c r="H192" s="442"/>
      <c r="I192" s="282">
        <f t="shared" si="4"/>
        <v>10000</v>
      </c>
      <c r="J192" s="282">
        <v>10000</v>
      </c>
      <c r="K192" s="442"/>
      <c r="L192" s="282">
        <f t="shared" si="5"/>
        <v>10000</v>
      </c>
    </row>
    <row r="193" spans="1:12" ht="13.5">
      <c r="A193" s="290" t="s">
        <v>524</v>
      </c>
      <c r="B193" s="275" t="s">
        <v>1159</v>
      </c>
      <c r="C193" s="275" t="s">
        <v>1054</v>
      </c>
      <c r="D193" s="275" t="s">
        <v>1082</v>
      </c>
      <c r="E193" s="289" t="s">
        <v>842</v>
      </c>
      <c r="F193" s="284" t="s">
        <v>525</v>
      </c>
      <c r="G193" s="282">
        <v>500000</v>
      </c>
      <c r="H193" s="442"/>
      <c r="I193" s="282">
        <f t="shared" si="4"/>
        <v>500000</v>
      </c>
      <c r="J193" s="282">
        <v>500000</v>
      </c>
      <c r="K193" s="442"/>
      <c r="L193" s="282">
        <f t="shared" si="5"/>
        <v>500000</v>
      </c>
    </row>
    <row r="194" spans="1:12" ht="13.5">
      <c r="A194" s="281" t="s">
        <v>1083</v>
      </c>
      <c r="B194" s="275" t="s">
        <v>1159</v>
      </c>
      <c r="C194" s="275" t="s">
        <v>1054</v>
      </c>
      <c r="D194" s="275" t="s">
        <v>1079</v>
      </c>
      <c r="E194" s="275"/>
      <c r="F194" s="284"/>
      <c r="G194" s="282">
        <f>G195</f>
        <v>4975100</v>
      </c>
      <c r="H194" s="442"/>
      <c r="I194" s="282">
        <f t="shared" si="4"/>
        <v>4975100</v>
      </c>
      <c r="J194" s="282">
        <f>J195</f>
        <v>5260891</v>
      </c>
      <c r="K194" s="442"/>
      <c r="L194" s="282">
        <f t="shared" si="5"/>
        <v>5260891</v>
      </c>
    </row>
    <row r="195" spans="1:12" ht="56.25" customHeight="1">
      <c r="A195" s="455" t="s">
        <v>822</v>
      </c>
      <c r="B195" s="275" t="s">
        <v>1159</v>
      </c>
      <c r="C195" s="275" t="s">
        <v>1054</v>
      </c>
      <c r="D195" s="275" t="s">
        <v>1079</v>
      </c>
      <c r="E195" s="289" t="s">
        <v>823</v>
      </c>
      <c r="F195" s="284"/>
      <c r="G195" s="282">
        <f>G196</f>
        <v>4975100</v>
      </c>
      <c r="H195" s="442"/>
      <c r="I195" s="282">
        <f t="shared" si="4"/>
        <v>4975100</v>
      </c>
      <c r="J195" s="282">
        <f>J196</f>
        <v>5260891</v>
      </c>
      <c r="K195" s="442"/>
      <c r="L195" s="282">
        <f t="shared" si="5"/>
        <v>5260891</v>
      </c>
    </row>
    <row r="196" spans="1:12" ht="67.5" customHeight="1">
      <c r="A196" s="451" t="s">
        <v>824</v>
      </c>
      <c r="B196" s="275" t="s">
        <v>1159</v>
      </c>
      <c r="C196" s="443" t="s">
        <v>1054</v>
      </c>
      <c r="D196" s="443" t="s">
        <v>1079</v>
      </c>
      <c r="E196" s="453" t="s">
        <v>825</v>
      </c>
      <c r="F196" s="448"/>
      <c r="G196" s="446">
        <f>G197+G202</f>
        <v>4975100</v>
      </c>
      <c r="H196" s="442"/>
      <c r="I196" s="282">
        <f>G196+H196</f>
        <v>4975100</v>
      </c>
      <c r="J196" s="446">
        <f>J197+J202</f>
        <v>5260891</v>
      </c>
      <c r="K196" s="442"/>
      <c r="L196" s="282">
        <f t="shared" si="5"/>
        <v>5260891</v>
      </c>
    </row>
    <row r="197" spans="1:12" ht="28.5" customHeight="1">
      <c r="A197" s="288" t="s">
        <v>826</v>
      </c>
      <c r="B197" s="275" t="s">
        <v>1159</v>
      </c>
      <c r="C197" s="275" t="s">
        <v>1054</v>
      </c>
      <c r="D197" s="275" t="s">
        <v>1079</v>
      </c>
      <c r="E197" s="289" t="s">
        <v>827</v>
      </c>
      <c r="F197" s="284"/>
      <c r="G197" s="282">
        <f>G198+G200</f>
        <v>3988101</v>
      </c>
      <c r="H197" s="442"/>
      <c r="I197" s="282">
        <f t="shared" si="4"/>
        <v>3988101</v>
      </c>
      <c r="J197" s="282">
        <f>J198</f>
        <v>5260891</v>
      </c>
      <c r="K197" s="442"/>
      <c r="L197" s="282">
        <f t="shared" si="5"/>
        <v>5260891</v>
      </c>
    </row>
    <row r="198" spans="1:12" ht="26.25">
      <c r="A198" s="290" t="s">
        <v>828</v>
      </c>
      <c r="B198" s="275" t="s">
        <v>1159</v>
      </c>
      <c r="C198" s="275" t="s">
        <v>1054</v>
      </c>
      <c r="D198" s="275" t="s">
        <v>1079</v>
      </c>
      <c r="E198" s="289" t="s">
        <v>829</v>
      </c>
      <c r="F198" s="284"/>
      <c r="G198" s="282">
        <f>G199</f>
        <v>1810184</v>
      </c>
      <c r="H198" s="442"/>
      <c r="I198" s="282">
        <f t="shared" si="4"/>
        <v>1810184</v>
      </c>
      <c r="J198" s="282">
        <f>J199</f>
        <v>5260891</v>
      </c>
      <c r="K198" s="442"/>
      <c r="L198" s="282">
        <f t="shared" si="5"/>
        <v>5260891</v>
      </c>
    </row>
    <row r="199" spans="1:12" ht="13.5">
      <c r="A199" s="290" t="s">
        <v>554</v>
      </c>
      <c r="B199" s="275" t="s">
        <v>1159</v>
      </c>
      <c r="C199" s="275" t="s">
        <v>1054</v>
      </c>
      <c r="D199" s="275" t="s">
        <v>1079</v>
      </c>
      <c r="E199" s="289" t="s">
        <v>829</v>
      </c>
      <c r="F199" s="284" t="s">
        <v>517</v>
      </c>
      <c r="G199" s="282">
        <f>4975100-3164916</f>
        <v>1810184</v>
      </c>
      <c r="H199" s="442"/>
      <c r="I199" s="282">
        <f t="shared" si="4"/>
        <v>1810184</v>
      </c>
      <c r="J199" s="282">
        <v>5260891</v>
      </c>
      <c r="K199" s="442"/>
      <c r="L199" s="282">
        <f t="shared" si="5"/>
        <v>5260891</v>
      </c>
    </row>
    <row r="200" spans="1:12" ht="13.5">
      <c r="A200" s="290" t="s">
        <v>830</v>
      </c>
      <c r="B200" s="275" t="s">
        <v>1159</v>
      </c>
      <c r="C200" s="275" t="s">
        <v>1054</v>
      </c>
      <c r="D200" s="275" t="s">
        <v>1079</v>
      </c>
      <c r="E200" s="289" t="s">
        <v>831</v>
      </c>
      <c r="F200" s="284"/>
      <c r="G200" s="282">
        <f>G201</f>
        <v>2177917</v>
      </c>
      <c r="H200" s="442"/>
      <c r="I200" s="282">
        <f t="shared" si="4"/>
        <v>2177917</v>
      </c>
      <c r="J200" s="282">
        <f>J201</f>
        <v>0</v>
      </c>
      <c r="K200" s="442"/>
      <c r="L200" s="282">
        <f>J200+K200</f>
        <v>0</v>
      </c>
    </row>
    <row r="201" spans="1:12" ht="13.5">
      <c r="A201" s="290" t="s">
        <v>554</v>
      </c>
      <c r="B201" s="275" t="s">
        <v>1159</v>
      </c>
      <c r="C201" s="275" t="s">
        <v>1054</v>
      </c>
      <c r="D201" s="275" t="s">
        <v>1079</v>
      </c>
      <c r="E201" s="289" t="s">
        <v>831</v>
      </c>
      <c r="F201" s="284" t="s">
        <v>517</v>
      </c>
      <c r="G201" s="282">
        <f>2177917</f>
        <v>2177917</v>
      </c>
      <c r="H201" s="442"/>
      <c r="I201" s="282">
        <f t="shared" si="4"/>
        <v>2177917</v>
      </c>
      <c r="J201" s="282"/>
      <c r="K201" s="442"/>
      <c r="L201" s="282">
        <f>J201+K201</f>
        <v>0</v>
      </c>
    </row>
    <row r="202" spans="1:12" ht="24" customHeight="1">
      <c r="A202" s="288" t="s">
        <v>832</v>
      </c>
      <c r="B202" s="275" t="s">
        <v>1159</v>
      </c>
      <c r="C202" s="275" t="s">
        <v>1054</v>
      </c>
      <c r="D202" s="275" t="s">
        <v>1079</v>
      </c>
      <c r="E202" s="289" t="s">
        <v>833</v>
      </c>
      <c r="F202" s="284"/>
      <c r="G202" s="282">
        <f>G203+G205</f>
        <v>986999</v>
      </c>
      <c r="H202" s="442"/>
      <c r="I202" s="282">
        <f t="shared" si="4"/>
        <v>986999</v>
      </c>
      <c r="J202" s="282">
        <f>J203+J205</f>
        <v>0</v>
      </c>
      <c r="K202" s="442"/>
      <c r="L202" s="282">
        <f t="shared" si="5"/>
        <v>0</v>
      </c>
    </row>
    <row r="203" spans="1:12" ht="13.5" hidden="1">
      <c r="A203" s="290" t="s">
        <v>834</v>
      </c>
      <c r="B203" s="275" t="s">
        <v>1159</v>
      </c>
      <c r="C203" s="275" t="s">
        <v>1054</v>
      </c>
      <c r="D203" s="275" t="s">
        <v>1079</v>
      </c>
      <c r="E203" s="289" t="s">
        <v>835</v>
      </c>
      <c r="F203" s="284"/>
      <c r="G203" s="282">
        <f>G204</f>
        <v>0</v>
      </c>
      <c r="H203" s="442"/>
      <c r="I203" s="282">
        <f t="shared" si="4"/>
        <v>0</v>
      </c>
      <c r="J203" s="282">
        <f>J204</f>
        <v>0</v>
      </c>
      <c r="K203" s="442"/>
      <c r="L203" s="282">
        <f t="shared" si="5"/>
        <v>0</v>
      </c>
    </row>
    <row r="204" spans="1:12" ht="26.25" hidden="1">
      <c r="A204" s="281" t="s">
        <v>751</v>
      </c>
      <c r="B204" s="275" t="s">
        <v>1159</v>
      </c>
      <c r="C204" s="275" t="s">
        <v>1054</v>
      </c>
      <c r="D204" s="275" t="s">
        <v>1079</v>
      </c>
      <c r="E204" s="289" t="s">
        <v>835</v>
      </c>
      <c r="F204" s="284" t="s">
        <v>752</v>
      </c>
      <c r="G204" s="282"/>
      <c r="H204" s="442"/>
      <c r="I204" s="282">
        <f t="shared" si="4"/>
        <v>0</v>
      </c>
      <c r="J204" s="282"/>
      <c r="K204" s="442"/>
      <c r="L204" s="282">
        <f t="shared" si="5"/>
        <v>0</v>
      </c>
    </row>
    <row r="205" spans="1:12" ht="13.5">
      <c r="A205" s="290" t="s">
        <v>830</v>
      </c>
      <c r="B205" s="275" t="s">
        <v>1159</v>
      </c>
      <c r="C205" s="275" t="s">
        <v>1054</v>
      </c>
      <c r="D205" s="275" t="s">
        <v>1079</v>
      </c>
      <c r="E205" s="289" t="s">
        <v>836</v>
      </c>
      <c r="F205" s="284"/>
      <c r="G205" s="282">
        <f>G206</f>
        <v>986999</v>
      </c>
      <c r="H205" s="442"/>
      <c r="I205" s="282">
        <f aca="true" t="shared" si="6" ref="I205:I216">G205+H205</f>
        <v>986999</v>
      </c>
      <c r="J205" s="282">
        <f>J206</f>
        <v>0</v>
      </c>
      <c r="K205" s="442"/>
      <c r="L205" s="282">
        <f t="shared" si="5"/>
        <v>0</v>
      </c>
    </row>
    <row r="206" spans="1:12" ht="26.25">
      <c r="A206" s="281" t="s">
        <v>751</v>
      </c>
      <c r="B206" s="275" t="s">
        <v>1159</v>
      </c>
      <c r="C206" s="275" t="s">
        <v>1054</v>
      </c>
      <c r="D206" s="275" t="s">
        <v>1079</v>
      </c>
      <c r="E206" s="289" t="s">
        <v>836</v>
      </c>
      <c r="F206" s="284" t="s">
        <v>752</v>
      </c>
      <c r="G206" s="282">
        <f>986999</f>
        <v>986999</v>
      </c>
      <c r="H206" s="442"/>
      <c r="I206" s="282">
        <f t="shared" si="6"/>
        <v>986999</v>
      </c>
      <c r="J206" s="282"/>
      <c r="K206" s="442"/>
      <c r="L206" s="282">
        <f t="shared" si="5"/>
        <v>0</v>
      </c>
    </row>
    <row r="207" spans="1:12" ht="20.25" customHeight="1">
      <c r="A207" s="281" t="s">
        <v>1084</v>
      </c>
      <c r="B207" s="275" t="s">
        <v>1159</v>
      </c>
      <c r="C207" s="275" t="s">
        <v>1054</v>
      </c>
      <c r="D207" s="275" t="s">
        <v>1085</v>
      </c>
      <c r="E207" s="275"/>
      <c r="F207" s="284"/>
      <c r="G207" s="282">
        <f>G208+G220+G229+G215</f>
        <v>563000</v>
      </c>
      <c r="H207" s="442"/>
      <c r="I207" s="282">
        <f t="shared" si="6"/>
        <v>563000</v>
      </c>
      <c r="J207" s="282">
        <f>J208+J220+J229+J215</f>
        <v>563000</v>
      </c>
      <c r="K207" s="442"/>
      <c r="L207" s="282">
        <f t="shared" si="5"/>
        <v>563000</v>
      </c>
    </row>
    <row r="208" spans="1:12" ht="45" customHeight="1">
      <c r="A208" s="311" t="s">
        <v>687</v>
      </c>
      <c r="B208" s="275" t="s">
        <v>1159</v>
      </c>
      <c r="C208" s="275" t="s">
        <v>1054</v>
      </c>
      <c r="D208" s="275" t="s">
        <v>1085</v>
      </c>
      <c r="E208" s="275" t="s">
        <v>688</v>
      </c>
      <c r="F208" s="284"/>
      <c r="G208" s="282">
        <f>G209</f>
        <v>200000</v>
      </c>
      <c r="H208" s="442"/>
      <c r="I208" s="282">
        <f t="shared" si="6"/>
        <v>200000</v>
      </c>
      <c r="J208" s="282">
        <f>J209</f>
        <v>200000</v>
      </c>
      <c r="K208" s="442"/>
      <c r="L208" s="282">
        <f t="shared" si="5"/>
        <v>200000</v>
      </c>
    </row>
    <row r="209" spans="1:12" ht="69" customHeight="1">
      <c r="A209" s="457" t="s">
        <v>689</v>
      </c>
      <c r="B209" s="275" t="s">
        <v>1159</v>
      </c>
      <c r="C209" s="443" t="s">
        <v>1054</v>
      </c>
      <c r="D209" s="443" t="s">
        <v>1085</v>
      </c>
      <c r="E209" s="443" t="s">
        <v>690</v>
      </c>
      <c r="F209" s="448"/>
      <c r="G209" s="446">
        <f>G210</f>
        <v>200000</v>
      </c>
      <c r="H209" s="442"/>
      <c r="I209" s="282">
        <f t="shared" si="6"/>
        <v>200000</v>
      </c>
      <c r="J209" s="446">
        <f>J210</f>
        <v>200000</v>
      </c>
      <c r="K209" s="442"/>
      <c r="L209" s="282">
        <f t="shared" si="5"/>
        <v>200000</v>
      </c>
    </row>
    <row r="210" spans="1:12" ht="41.25" customHeight="1">
      <c r="A210" s="288" t="s">
        <v>691</v>
      </c>
      <c r="B210" s="275" t="s">
        <v>1159</v>
      </c>
      <c r="C210" s="275" t="s">
        <v>1054</v>
      </c>
      <c r="D210" s="275" t="s">
        <v>1085</v>
      </c>
      <c r="E210" s="275" t="s">
        <v>692</v>
      </c>
      <c r="F210" s="284"/>
      <c r="G210" s="282">
        <f>G211+G213</f>
        <v>200000</v>
      </c>
      <c r="H210" s="442"/>
      <c r="I210" s="282">
        <f t="shared" si="6"/>
        <v>200000</v>
      </c>
      <c r="J210" s="282">
        <f>J211+J213</f>
        <v>200000</v>
      </c>
      <c r="K210" s="442"/>
      <c r="L210" s="282">
        <f t="shared" si="5"/>
        <v>200000</v>
      </c>
    </row>
    <row r="211" spans="1:12" ht="0.75" customHeight="1" hidden="1">
      <c r="A211" s="296" t="s">
        <v>693</v>
      </c>
      <c r="B211" s="275" t="s">
        <v>1159</v>
      </c>
      <c r="C211" s="275" t="s">
        <v>1054</v>
      </c>
      <c r="D211" s="275" t="s">
        <v>1085</v>
      </c>
      <c r="E211" s="275" t="s">
        <v>694</v>
      </c>
      <c r="F211" s="284"/>
      <c r="G211" s="282">
        <f>G212</f>
        <v>0</v>
      </c>
      <c r="H211" s="442"/>
      <c r="I211" s="282">
        <f t="shared" si="6"/>
        <v>0</v>
      </c>
      <c r="J211" s="282">
        <f>J212</f>
        <v>0</v>
      </c>
      <c r="K211" s="442"/>
      <c r="L211" s="282">
        <f t="shared" si="5"/>
        <v>0</v>
      </c>
    </row>
    <row r="212" spans="1:12" ht="26.25" customHeight="1" hidden="1">
      <c r="A212" s="290" t="s">
        <v>516</v>
      </c>
      <c r="B212" s="275" t="s">
        <v>1159</v>
      </c>
      <c r="C212" s="275" t="s">
        <v>1054</v>
      </c>
      <c r="D212" s="275" t="s">
        <v>1085</v>
      </c>
      <c r="E212" s="275" t="s">
        <v>694</v>
      </c>
      <c r="F212" s="284" t="s">
        <v>517</v>
      </c>
      <c r="G212" s="282"/>
      <c r="H212" s="442"/>
      <c r="I212" s="282">
        <f t="shared" si="6"/>
        <v>0</v>
      </c>
      <c r="J212" s="282"/>
      <c r="K212" s="442"/>
      <c r="L212" s="282">
        <f t="shared" si="5"/>
        <v>0</v>
      </c>
    </row>
    <row r="213" spans="1:12" ht="13.5">
      <c r="A213" s="296" t="s">
        <v>695</v>
      </c>
      <c r="B213" s="275" t="s">
        <v>1159</v>
      </c>
      <c r="C213" s="275" t="s">
        <v>1054</v>
      </c>
      <c r="D213" s="275" t="s">
        <v>1085</v>
      </c>
      <c r="E213" s="275" t="s">
        <v>696</v>
      </c>
      <c r="F213" s="284"/>
      <c r="G213" s="282">
        <f>G214</f>
        <v>200000</v>
      </c>
      <c r="H213" s="442"/>
      <c r="I213" s="282">
        <f t="shared" si="6"/>
        <v>200000</v>
      </c>
      <c r="J213" s="282">
        <f>J214</f>
        <v>200000</v>
      </c>
      <c r="K213" s="442"/>
      <c r="L213" s="282">
        <f t="shared" si="5"/>
        <v>200000</v>
      </c>
    </row>
    <row r="214" spans="1:12" ht="29.25" customHeight="1">
      <c r="A214" s="290" t="s">
        <v>516</v>
      </c>
      <c r="B214" s="275" t="s">
        <v>1159</v>
      </c>
      <c r="C214" s="275" t="s">
        <v>1054</v>
      </c>
      <c r="D214" s="275" t="s">
        <v>1085</v>
      </c>
      <c r="E214" s="275" t="s">
        <v>696</v>
      </c>
      <c r="F214" s="284" t="s">
        <v>517</v>
      </c>
      <c r="G214" s="282">
        <v>200000</v>
      </c>
      <c r="H214" s="442"/>
      <c r="I214" s="282">
        <f t="shared" si="6"/>
        <v>200000</v>
      </c>
      <c r="J214" s="282">
        <v>200000</v>
      </c>
      <c r="K214" s="442"/>
      <c r="L214" s="282">
        <f t="shared" si="5"/>
        <v>200000</v>
      </c>
    </row>
    <row r="215" spans="1:12" ht="54" customHeight="1" hidden="1">
      <c r="A215" s="458" t="s">
        <v>697</v>
      </c>
      <c r="B215" s="275" t="s">
        <v>1159</v>
      </c>
      <c r="C215" s="275" t="s">
        <v>1054</v>
      </c>
      <c r="D215" s="275" t="s">
        <v>1085</v>
      </c>
      <c r="E215" s="400" t="s">
        <v>698</v>
      </c>
      <c r="F215" s="284"/>
      <c r="G215" s="282">
        <f>G216</f>
        <v>0</v>
      </c>
      <c r="H215" s="442"/>
      <c r="I215" s="282">
        <f t="shared" si="6"/>
        <v>0</v>
      </c>
      <c r="J215" s="282">
        <f>J216</f>
        <v>0</v>
      </c>
      <c r="K215" s="442"/>
      <c r="L215" s="282">
        <f t="shared" si="5"/>
        <v>0</v>
      </c>
    </row>
    <row r="216" spans="1:12" ht="69.75" customHeight="1" hidden="1">
      <c r="A216" s="451" t="s">
        <v>699</v>
      </c>
      <c r="B216" s="275" t="s">
        <v>1159</v>
      </c>
      <c r="C216" s="275" t="s">
        <v>1054</v>
      </c>
      <c r="D216" s="275" t="s">
        <v>1085</v>
      </c>
      <c r="E216" s="400" t="s">
        <v>700</v>
      </c>
      <c r="F216" s="284"/>
      <c r="G216" s="282">
        <f>G217</f>
        <v>0</v>
      </c>
      <c r="H216" s="442"/>
      <c r="I216" s="282">
        <f t="shared" si="6"/>
        <v>0</v>
      </c>
      <c r="J216" s="282">
        <f>J217</f>
        <v>0</v>
      </c>
      <c r="K216" s="442"/>
      <c r="L216" s="282">
        <f t="shared" si="5"/>
        <v>0</v>
      </c>
    </row>
    <row r="217" spans="1:12" ht="27" customHeight="1" hidden="1">
      <c r="A217" s="288" t="s">
        <v>701</v>
      </c>
      <c r="B217" s="275" t="s">
        <v>1159</v>
      </c>
      <c r="C217" s="275" t="s">
        <v>1054</v>
      </c>
      <c r="D217" s="275" t="s">
        <v>1085</v>
      </c>
      <c r="E217" s="400" t="s">
        <v>702</v>
      </c>
      <c r="F217" s="284"/>
      <c r="G217" s="282">
        <f>G218</f>
        <v>0</v>
      </c>
      <c r="H217" s="442"/>
      <c r="I217" s="282">
        <f>I218</f>
        <v>0</v>
      </c>
      <c r="J217" s="282">
        <f>J218</f>
        <v>0</v>
      </c>
      <c r="K217" s="442"/>
      <c r="L217" s="282">
        <f>L218</f>
        <v>0</v>
      </c>
    </row>
    <row r="218" spans="1:12" ht="15.75" customHeight="1" hidden="1">
      <c r="A218" s="274" t="s">
        <v>703</v>
      </c>
      <c r="B218" s="275" t="s">
        <v>1159</v>
      </c>
      <c r="C218" s="275" t="s">
        <v>1054</v>
      </c>
      <c r="D218" s="275" t="s">
        <v>1085</v>
      </c>
      <c r="E218" s="400" t="s">
        <v>704</v>
      </c>
      <c r="F218" s="284"/>
      <c r="G218" s="282">
        <f>G219</f>
        <v>0</v>
      </c>
      <c r="H218" s="442"/>
      <c r="I218" s="282">
        <f aca="true" t="shared" si="7" ref="I218:I281">G218+H218</f>
        <v>0</v>
      </c>
      <c r="J218" s="282">
        <f>J219</f>
        <v>0</v>
      </c>
      <c r="K218" s="442"/>
      <c r="L218" s="282">
        <f>J218+K218</f>
        <v>0</v>
      </c>
    </row>
    <row r="219" spans="1:12" ht="26.25" customHeight="1" hidden="1">
      <c r="A219" s="290" t="s">
        <v>516</v>
      </c>
      <c r="B219" s="275" t="s">
        <v>1159</v>
      </c>
      <c r="C219" s="275" t="s">
        <v>1054</v>
      </c>
      <c r="D219" s="275" t="s">
        <v>1085</v>
      </c>
      <c r="E219" s="400" t="s">
        <v>704</v>
      </c>
      <c r="F219" s="284" t="s">
        <v>517</v>
      </c>
      <c r="G219" s="282"/>
      <c r="H219" s="442"/>
      <c r="I219" s="282">
        <f t="shared" si="7"/>
        <v>0</v>
      </c>
      <c r="J219" s="282"/>
      <c r="K219" s="442"/>
      <c r="L219" s="282">
        <f>J219+K219</f>
        <v>0</v>
      </c>
    </row>
    <row r="220" spans="1:12" ht="51.75" customHeight="1">
      <c r="A220" s="311" t="s">
        <v>1087</v>
      </c>
      <c r="B220" s="275" t="s">
        <v>1159</v>
      </c>
      <c r="C220" s="275" t="s">
        <v>1054</v>
      </c>
      <c r="D220" s="275" t="s">
        <v>1085</v>
      </c>
      <c r="E220" s="319" t="s">
        <v>722</v>
      </c>
      <c r="F220" s="284"/>
      <c r="G220" s="282">
        <f>G221</f>
        <v>330000</v>
      </c>
      <c r="H220" s="442"/>
      <c r="I220" s="282">
        <f t="shared" si="7"/>
        <v>330000</v>
      </c>
      <c r="J220" s="282">
        <f>J221</f>
        <v>330000</v>
      </c>
      <c r="K220" s="442"/>
      <c r="L220" s="282">
        <f t="shared" si="5"/>
        <v>330000</v>
      </c>
    </row>
    <row r="221" spans="1:12" ht="72" customHeight="1">
      <c r="A221" s="451" t="s">
        <v>1088</v>
      </c>
      <c r="B221" s="275" t="s">
        <v>1159</v>
      </c>
      <c r="C221" s="443" t="s">
        <v>1054</v>
      </c>
      <c r="D221" s="443" t="s">
        <v>1085</v>
      </c>
      <c r="E221" s="459" t="s">
        <v>737</v>
      </c>
      <c r="F221" s="448"/>
      <c r="G221" s="446">
        <f>G222</f>
        <v>330000</v>
      </c>
      <c r="H221" s="442"/>
      <c r="I221" s="282">
        <f t="shared" si="7"/>
        <v>330000</v>
      </c>
      <c r="J221" s="446">
        <f>J222</f>
        <v>330000</v>
      </c>
      <c r="K221" s="442"/>
      <c r="L221" s="282">
        <f t="shared" si="5"/>
        <v>330000</v>
      </c>
    </row>
    <row r="222" spans="1:12" ht="36" customHeight="1">
      <c r="A222" s="288" t="s">
        <v>763</v>
      </c>
      <c r="B222" s="275" t="s">
        <v>1159</v>
      </c>
      <c r="C222" s="275" t="s">
        <v>1054</v>
      </c>
      <c r="D222" s="275" t="s">
        <v>1085</v>
      </c>
      <c r="E222" s="298" t="s">
        <v>764</v>
      </c>
      <c r="F222" s="303"/>
      <c r="G222" s="282">
        <f>G227+G223+G225</f>
        <v>330000</v>
      </c>
      <c r="H222" s="442"/>
      <c r="I222" s="282">
        <f t="shared" si="7"/>
        <v>330000</v>
      </c>
      <c r="J222" s="282">
        <f>J227+J223+J225</f>
        <v>330000</v>
      </c>
      <c r="K222" s="442"/>
      <c r="L222" s="282">
        <f t="shared" si="5"/>
        <v>330000</v>
      </c>
    </row>
    <row r="223" spans="1:12" ht="35.25" customHeight="1" hidden="1">
      <c r="A223" s="288" t="s">
        <v>765</v>
      </c>
      <c r="B223" s="275" t="s">
        <v>1159</v>
      </c>
      <c r="C223" s="275" t="s">
        <v>1054</v>
      </c>
      <c r="D223" s="275" t="s">
        <v>1085</v>
      </c>
      <c r="E223" s="298" t="s">
        <v>766</v>
      </c>
      <c r="F223" s="303"/>
      <c r="G223" s="282">
        <f>G224</f>
        <v>0</v>
      </c>
      <c r="H223" s="442"/>
      <c r="I223" s="282">
        <f t="shared" si="7"/>
        <v>0</v>
      </c>
      <c r="J223" s="282">
        <f>J224</f>
        <v>0</v>
      </c>
      <c r="K223" s="442"/>
      <c r="L223" s="282">
        <f t="shared" si="5"/>
        <v>0</v>
      </c>
    </row>
    <row r="224" spans="1:12" ht="15" customHeight="1" hidden="1">
      <c r="A224" s="310" t="s">
        <v>713</v>
      </c>
      <c r="B224" s="275" t="s">
        <v>1159</v>
      </c>
      <c r="C224" s="275" t="s">
        <v>1054</v>
      </c>
      <c r="D224" s="275" t="s">
        <v>1085</v>
      </c>
      <c r="E224" s="298" t="s">
        <v>766</v>
      </c>
      <c r="F224" s="303" t="s">
        <v>714</v>
      </c>
      <c r="G224" s="282"/>
      <c r="H224" s="442"/>
      <c r="I224" s="282">
        <f t="shared" si="7"/>
        <v>0</v>
      </c>
      <c r="J224" s="282"/>
      <c r="K224" s="442"/>
      <c r="L224" s="282">
        <f>J224+K224</f>
        <v>0</v>
      </c>
    </row>
    <row r="225" spans="1:12" ht="30" customHeight="1">
      <c r="A225" s="288" t="s">
        <v>767</v>
      </c>
      <c r="B225" s="275" t="s">
        <v>1159</v>
      </c>
      <c r="C225" s="275" t="s">
        <v>1054</v>
      </c>
      <c r="D225" s="275" t="s">
        <v>1085</v>
      </c>
      <c r="E225" s="298" t="s">
        <v>768</v>
      </c>
      <c r="F225" s="303"/>
      <c r="G225" s="282">
        <f>G226</f>
        <v>330000</v>
      </c>
      <c r="H225" s="442"/>
      <c r="I225" s="282">
        <f t="shared" si="7"/>
        <v>330000</v>
      </c>
      <c r="J225" s="282">
        <f>J226</f>
        <v>330000</v>
      </c>
      <c r="K225" s="442"/>
      <c r="L225" s="282">
        <f>J225+K225</f>
        <v>330000</v>
      </c>
    </row>
    <row r="226" spans="1:12" ht="21" customHeight="1">
      <c r="A226" s="310" t="s">
        <v>713</v>
      </c>
      <c r="B226" s="275" t="s">
        <v>1159</v>
      </c>
      <c r="C226" s="275" t="s">
        <v>1054</v>
      </c>
      <c r="D226" s="275" t="s">
        <v>1085</v>
      </c>
      <c r="E226" s="298" t="s">
        <v>768</v>
      </c>
      <c r="F226" s="303" t="s">
        <v>714</v>
      </c>
      <c r="G226" s="282">
        <v>330000</v>
      </c>
      <c r="H226" s="442"/>
      <c r="I226" s="282">
        <f t="shared" si="7"/>
        <v>330000</v>
      </c>
      <c r="J226" s="282">
        <v>330000</v>
      </c>
      <c r="K226" s="442"/>
      <c r="L226" s="282">
        <f>J226+K226</f>
        <v>330000</v>
      </c>
    </row>
    <row r="227" spans="1:12" ht="45.75" customHeight="1" hidden="1">
      <c r="A227" s="310" t="s">
        <v>769</v>
      </c>
      <c r="B227" s="275" t="s">
        <v>1159</v>
      </c>
      <c r="C227" s="275" t="s">
        <v>1054</v>
      </c>
      <c r="D227" s="275" t="s">
        <v>1085</v>
      </c>
      <c r="E227" s="298" t="s">
        <v>770</v>
      </c>
      <c r="F227" s="303"/>
      <c r="G227" s="282">
        <f>G228</f>
        <v>0</v>
      </c>
      <c r="H227" s="442"/>
      <c r="I227" s="282">
        <f t="shared" si="7"/>
        <v>0</v>
      </c>
      <c r="J227" s="282">
        <f>J228</f>
        <v>0</v>
      </c>
      <c r="K227" s="442"/>
      <c r="L227" s="282">
        <f aca="true" t="shared" si="8" ref="L227:L296">J227+K227</f>
        <v>0</v>
      </c>
    </row>
    <row r="228" spans="1:12" ht="15" customHeight="1" hidden="1">
      <c r="A228" s="310" t="s">
        <v>713</v>
      </c>
      <c r="B228" s="275" t="s">
        <v>1159</v>
      </c>
      <c r="C228" s="275" t="s">
        <v>1054</v>
      </c>
      <c r="D228" s="275" t="s">
        <v>1085</v>
      </c>
      <c r="E228" s="298" t="s">
        <v>770</v>
      </c>
      <c r="F228" s="303" t="s">
        <v>714</v>
      </c>
      <c r="G228" s="282">
        <f>400000-400000</f>
        <v>0</v>
      </c>
      <c r="H228" s="442"/>
      <c r="I228" s="282">
        <f t="shared" si="7"/>
        <v>0</v>
      </c>
      <c r="J228" s="282">
        <f>400000-400000</f>
        <v>0</v>
      </c>
      <c r="K228" s="442"/>
      <c r="L228" s="282">
        <f t="shared" si="8"/>
        <v>0</v>
      </c>
    </row>
    <row r="229" spans="1:12" ht="39">
      <c r="A229" s="451" t="s">
        <v>903</v>
      </c>
      <c r="B229" s="275" t="s">
        <v>1159</v>
      </c>
      <c r="C229" s="275" t="s">
        <v>1054</v>
      </c>
      <c r="D229" s="275" t="s">
        <v>1085</v>
      </c>
      <c r="E229" s="275" t="s">
        <v>904</v>
      </c>
      <c r="F229" s="303"/>
      <c r="G229" s="282">
        <f>G230+G234</f>
        <v>33000</v>
      </c>
      <c r="H229" s="442"/>
      <c r="I229" s="282">
        <f t="shared" si="7"/>
        <v>33000</v>
      </c>
      <c r="J229" s="282">
        <f>J230+J234</f>
        <v>33000</v>
      </c>
      <c r="K229" s="442"/>
      <c r="L229" s="282">
        <f t="shared" si="8"/>
        <v>33000</v>
      </c>
    </row>
    <row r="230" spans="1:12" ht="66" customHeight="1">
      <c r="A230" s="457" t="s">
        <v>905</v>
      </c>
      <c r="B230" s="275" t="s">
        <v>1159</v>
      </c>
      <c r="C230" s="443" t="s">
        <v>1054</v>
      </c>
      <c r="D230" s="443" t="s">
        <v>1085</v>
      </c>
      <c r="E230" s="443" t="s">
        <v>906</v>
      </c>
      <c r="F230" s="445"/>
      <c r="G230" s="446">
        <f>G231</f>
        <v>28000</v>
      </c>
      <c r="H230" s="442"/>
      <c r="I230" s="282">
        <f t="shared" si="7"/>
        <v>28000</v>
      </c>
      <c r="J230" s="446">
        <f>J231</f>
        <v>28000</v>
      </c>
      <c r="K230" s="442"/>
      <c r="L230" s="282">
        <f t="shared" si="8"/>
        <v>28000</v>
      </c>
    </row>
    <row r="231" spans="1:12" ht="39">
      <c r="A231" s="457" t="s">
        <v>907</v>
      </c>
      <c r="B231" s="275" t="s">
        <v>1159</v>
      </c>
      <c r="C231" s="275" t="s">
        <v>1054</v>
      </c>
      <c r="D231" s="275" t="s">
        <v>1085</v>
      </c>
      <c r="E231" s="275" t="s">
        <v>908</v>
      </c>
      <c r="F231" s="303"/>
      <c r="G231" s="282">
        <f>G232</f>
        <v>28000</v>
      </c>
      <c r="H231" s="442"/>
      <c r="I231" s="282">
        <f t="shared" si="7"/>
        <v>28000</v>
      </c>
      <c r="J231" s="282">
        <f>J232</f>
        <v>28000</v>
      </c>
      <c r="K231" s="442"/>
      <c r="L231" s="282">
        <f t="shared" si="8"/>
        <v>28000</v>
      </c>
    </row>
    <row r="232" spans="1:12" ht="26.25">
      <c r="A232" s="296" t="s">
        <v>909</v>
      </c>
      <c r="B232" s="275" t="s">
        <v>1159</v>
      </c>
      <c r="C232" s="275" t="s">
        <v>1054</v>
      </c>
      <c r="D232" s="275" t="s">
        <v>1085</v>
      </c>
      <c r="E232" s="275" t="s">
        <v>910</v>
      </c>
      <c r="F232" s="303"/>
      <c r="G232" s="282">
        <f>G233</f>
        <v>28000</v>
      </c>
      <c r="H232" s="442"/>
      <c r="I232" s="282">
        <f t="shared" si="7"/>
        <v>28000</v>
      </c>
      <c r="J232" s="282">
        <f>J233</f>
        <v>28000</v>
      </c>
      <c r="K232" s="442"/>
      <c r="L232" s="282">
        <f t="shared" si="8"/>
        <v>28000</v>
      </c>
    </row>
    <row r="233" spans="1:12" ht="26.25">
      <c r="A233" s="290" t="s">
        <v>516</v>
      </c>
      <c r="B233" s="275" t="s">
        <v>1159</v>
      </c>
      <c r="C233" s="275" t="s">
        <v>1054</v>
      </c>
      <c r="D233" s="275" t="s">
        <v>1085</v>
      </c>
      <c r="E233" s="275" t="s">
        <v>910</v>
      </c>
      <c r="F233" s="303" t="s">
        <v>517</v>
      </c>
      <c r="G233" s="282">
        <v>28000</v>
      </c>
      <c r="H233" s="442"/>
      <c r="I233" s="282">
        <f t="shared" si="7"/>
        <v>28000</v>
      </c>
      <c r="J233" s="282">
        <v>28000</v>
      </c>
      <c r="K233" s="442"/>
      <c r="L233" s="282">
        <f t="shared" si="8"/>
        <v>28000</v>
      </c>
    </row>
    <row r="234" spans="1:12" ht="70.5" customHeight="1">
      <c r="A234" s="287" t="s">
        <v>911</v>
      </c>
      <c r="B234" s="275" t="s">
        <v>1159</v>
      </c>
      <c r="C234" s="443" t="s">
        <v>1054</v>
      </c>
      <c r="D234" s="443" t="s">
        <v>1085</v>
      </c>
      <c r="E234" s="443" t="s">
        <v>912</v>
      </c>
      <c r="F234" s="303"/>
      <c r="G234" s="282">
        <f>G235</f>
        <v>5000</v>
      </c>
      <c r="H234" s="442"/>
      <c r="I234" s="282">
        <f t="shared" si="7"/>
        <v>5000</v>
      </c>
      <c r="J234" s="282">
        <f>J235</f>
        <v>5000</v>
      </c>
      <c r="K234" s="442"/>
      <c r="L234" s="282">
        <f t="shared" si="8"/>
        <v>5000</v>
      </c>
    </row>
    <row r="235" spans="1:12" ht="47.25" customHeight="1">
      <c r="A235" s="457" t="s">
        <v>913</v>
      </c>
      <c r="B235" s="275" t="s">
        <v>1159</v>
      </c>
      <c r="C235" s="275" t="s">
        <v>1054</v>
      </c>
      <c r="D235" s="275" t="s">
        <v>1085</v>
      </c>
      <c r="E235" s="275" t="s">
        <v>914</v>
      </c>
      <c r="F235" s="303"/>
      <c r="G235" s="282">
        <f>G236</f>
        <v>5000</v>
      </c>
      <c r="H235" s="442"/>
      <c r="I235" s="282">
        <f t="shared" si="7"/>
        <v>5000</v>
      </c>
      <c r="J235" s="282">
        <f>J236</f>
        <v>5000</v>
      </c>
      <c r="K235" s="442"/>
      <c r="L235" s="282">
        <f t="shared" si="8"/>
        <v>5000</v>
      </c>
    </row>
    <row r="236" spans="1:12" ht="26.25">
      <c r="A236" s="290" t="s">
        <v>915</v>
      </c>
      <c r="B236" s="275" t="s">
        <v>1159</v>
      </c>
      <c r="C236" s="275" t="s">
        <v>1054</v>
      </c>
      <c r="D236" s="275" t="s">
        <v>1085</v>
      </c>
      <c r="E236" s="275" t="s">
        <v>916</v>
      </c>
      <c r="F236" s="303"/>
      <c r="G236" s="282">
        <f>G237</f>
        <v>5000</v>
      </c>
      <c r="H236" s="442"/>
      <c r="I236" s="282">
        <f t="shared" si="7"/>
        <v>5000</v>
      </c>
      <c r="J236" s="282">
        <f>J237</f>
        <v>5000</v>
      </c>
      <c r="K236" s="442"/>
      <c r="L236" s="282">
        <f t="shared" si="8"/>
        <v>5000</v>
      </c>
    </row>
    <row r="237" spans="1:12" ht="32.25" customHeight="1">
      <c r="A237" s="290" t="s">
        <v>516</v>
      </c>
      <c r="B237" s="275" t="s">
        <v>1159</v>
      </c>
      <c r="C237" s="275" t="s">
        <v>1054</v>
      </c>
      <c r="D237" s="275" t="s">
        <v>1085</v>
      </c>
      <c r="E237" s="275" t="s">
        <v>916</v>
      </c>
      <c r="F237" s="303" t="s">
        <v>517</v>
      </c>
      <c r="G237" s="282">
        <v>5000</v>
      </c>
      <c r="H237" s="442"/>
      <c r="I237" s="282">
        <f t="shared" si="7"/>
        <v>5000</v>
      </c>
      <c r="J237" s="282">
        <v>5000</v>
      </c>
      <c r="K237" s="442"/>
      <c r="L237" s="282">
        <f t="shared" si="8"/>
        <v>5000</v>
      </c>
    </row>
    <row r="238" spans="1:12" ht="19.5" customHeight="1">
      <c r="A238" s="290" t="s">
        <v>1089</v>
      </c>
      <c r="B238" s="275" t="s">
        <v>1159</v>
      </c>
      <c r="C238" s="275" t="s">
        <v>1059</v>
      </c>
      <c r="D238" s="275"/>
      <c r="E238" s="275"/>
      <c r="F238" s="303"/>
      <c r="G238" s="282">
        <f>G248+G239</f>
        <v>2000000</v>
      </c>
      <c r="H238" s="442"/>
      <c r="I238" s="282">
        <f t="shared" si="7"/>
        <v>2000000</v>
      </c>
      <c r="J238" s="282">
        <f>J248+J239</f>
        <v>2000000</v>
      </c>
      <c r="K238" s="442"/>
      <c r="L238" s="282">
        <f t="shared" si="8"/>
        <v>2000000</v>
      </c>
    </row>
    <row r="239" spans="1:12" ht="15" customHeight="1" hidden="1">
      <c r="A239" s="290" t="s">
        <v>1090</v>
      </c>
      <c r="B239" s="275" t="s">
        <v>1159</v>
      </c>
      <c r="C239" s="275" t="s">
        <v>1059</v>
      </c>
      <c r="D239" s="275" t="s">
        <v>1047</v>
      </c>
      <c r="E239" s="275"/>
      <c r="F239" s="303"/>
      <c r="G239" s="282">
        <f>G240</f>
        <v>0</v>
      </c>
      <c r="H239" s="442"/>
      <c r="I239" s="282">
        <f t="shared" si="7"/>
        <v>0</v>
      </c>
      <c r="J239" s="282">
        <f>J240</f>
        <v>0</v>
      </c>
      <c r="K239" s="442"/>
      <c r="L239" s="282">
        <f t="shared" si="8"/>
        <v>0</v>
      </c>
    </row>
    <row r="240" spans="1:12" ht="39" customHeight="1" hidden="1">
      <c r="A240" s="290" t="s">
        <v>1091</v>
      </c>
      <c r="B240" s="275" t="s">
        <v>1159</v>
      </c>
      <c r="C240" s="275" t="s">
        <v>1059</v>
      </c>
      <c r="D240" s="275" t="s">
        <v>1047</v>
      </c>
      <c r="E240" s="275" t="s">
        <v>722</v>
      </c>
      <c r="F240" s="303"/>
      <c r="G240" s="282">
        <f>G241</f>
        <v>0</v>
      </c>
      <c r="H240" s="442"/>
      <c r="I240" s="282">
        <f t="shared" si="7"/>
        <v>0</v>
      </c>
      <c r="J240" s="282">
        <f>J241</f>
        <v>0</v>
      </c>
      <c r="K240" s="442"/>
      <c r="L240" s="282">
        <f t="shared" si="8"/>
        <v>0</v>
      </c>
    </row>
    <row r="241" spans="1:12" ht="64.5" customHeight="1" hidden="1">
      <c r="A241" s="290" t="s">
        <v>1092</v>
      </c>
      <c r="B241" s="275" t="s">
        <v>1159</v>
      </c>
      <c r="C241" s="275" t="s">
        <v>1059</v>
      </c>
      <c r="D241" s="275" t="s">
        <v>1047</v>
      </c>
      <c r="E241" s="275" t="s">
        <v>737</v>
      </c>
      <c r="F241" s="303"/>
      <c r="G241" s="282">
        <f>G242</f>
        <v>0</v>
      </c>
      <c r="H241" s="442"/>
      <c r="I241" s="282">
        <f t="shared" si="7"/>
        <v>0</v>
      </c>
      <c r="J241" s="282">
        <f>J242</f>
        <v>0</v>
      </c>
      <c r="K241" s="442"/>
      <c r="L241" s="282">
        <f t="shared" si="8"/>
        <v>0</v>
      </c>
    </row>
    <row r="242" spans="1:12" ht="64.5" customHeight="1" hidden="1">
      <c r="A242" s="290" t="s">
        <v>757</v>
      </c>
      <c r="B242" s="275" t="s">
        <v>1159</v>
      </c>
      <c r="C242" s="275" t="s">
        <v>1059</v>
      </c>
      <c r="D242" s="275" t="s">
        <v>1047</v>
      </c>
      <c r="E242" s="275" t="s">
        <v>758</v>
      </c>
      <c r="F242" s="303"/>
      <c r="G242" s="282">
        <f>G243+G245</f>
        <v>0</v>
      </c>
      <c r="H242" s="442"/>
      <c r="I242" s="282">
        <f t="shared" si="7"/>
        <v>0</v>
      </c>
      <c r="J242" s="282">
        <f>J243+J245</f>
        <v>0</v>
      </c>
      <c r="K242" s="442"/>
      <c r="L242" s="282">
        <f t="shared" si="8"/>
        <v>0</v>
      </c>
    </row>
    <row r="243" spans="1:12" ht="26.25" customHeight="1" hidden="1">
      <c r="A243" s="290" t="s">
        <v>759</v>
      </c>
      <c r="B243" s="275" t="s">
        <v>1159</v>
      </c>
      <c r="C243" s="275" t="s">
        <v>1059</v>
      </c>
      <c r="D243" s="275" t="s">
        <v>1047</v>
      </c>
      <c r="E243" s="275" t="s">
        <v>760</v>
      </c>
      <c r="F243" s="303"/>
      <c r="G243" s="282">
        <f>G244</f>
        <v>0</v>
      </c>
      <c r="H243" s="442"/>
      <c r="I243" s="282">
        <f t="shared" si="7"/>
        <v>0</v>
      </c>
      <c r="J243" s="282">
        <f>J244</f>
        <v>0</v>
      </c>
      <c r="K243" s="442"/>
      <c r="L243" s="282">
        <f t="shared" si="8"/>
        <v>0</v>
      </c>
    </row>
    <row r="244" spans="1:12" ht="26.25" customHeight="1" hidden="1">
      <c r="A244" s="310" t="s">
        <v>751</v>
      </c>
      <c r="B244" s="275" t="s">
        <v>1159</v>
      </c>
      <c r="C244" s="275" t="s">
        <v>1059</v>
      </c>
      <c r="D244" s="275" t="s">
        <v>1047</v>
      </c>
      <c r="E244" s="275" t="s">
        <v>760</v>
      </c>
      <c r="F244" s="303" t="s">
        <v>752</v>
      </c>
      <c r="G244" s="282"/>
      <c r="H244" s="442"/>
      <c r="I244" s="282">
        <f t="shared" si="7"/>
        <v>0</v>
      </c>
      <c r="J244" s="282"/>
      <c r="K244" s="442"/>
      <c r="L244" s="282">
        <f t="shared" si="8"/>
        <v>0</v>
      </c>
    </row>
    <row r="245" spans="1:12" ht="26.25" customHeight="1" hidden="1">
      <c r="A245" s="310" t="s">
        <v>761</v>
      </c>
      <c r="B245" s="275" t="s">
        <v>1159</v>
      </c>
      <c r="C245" s="275" t="s">
        <v>1059</v>
      </c>
      <c r="D245" s="275" t="s">
        <v>1047</v>
      </c>
      <c r="E245" s="275" t="s">
        <v>762</v>
      </c>
      <c r="F245" s="303"/>
      <c r="G245" s="282">
        <f>G247+G246</f>
        <v>0</v>
      </c>
      <c r="H245" s="442"/>
      <c r="I245" s="282">
        <f t="shared" si="7"/>
        <v>0</v>
      </c>
      <c r="J245" s="282">
        <f>J247+J246</f>
        <v>0</v>
      </c>
      <c r="K245" s="442"/>
      <c r="L245" s="282">
        <f t="shared" si="8"/>
        <v>0</v>
      </c>
    </row>
    <row r="246" spans="1:12" ht="26.25" customHeight="1" hidden="1">
      <c r="A246" s="290" t="s">
        <v>516</v>
      </c>
      <c r="B246" s="275" t="s">
        <v>1159</v>
      </c>
      <c r="C246" s="275" t="s">
        <v>1059</v>
      </c>
      <c r="D246" s="275" t="s">
        <v>1047</v>
      </c>
      <c r="E246" s="275" t="s">
        <v>762</v>
      </c>
      <c r="F246" s="303" t="s">
        <v>517</v>
      </c>
      <c r="G246" s="282"/>
      <c r="H246" s="442"/>
      <c r="I246" s="282">
        <f t="shared" si="7"/>
        <v>0</v>
      </c>
      <c r="J246" s="282"/>
      <c r="K246" s="442"/>
      <c r="L246" s="282">
        <f t="shared" si="8"/>
        <v>0</v>
      </c>
    </row>
    <row r="247" spans="1:12" ht="26.25" customHeight="1" hidden="1">
      <c r="A247" s="310" t="s">
        <v>751</v>
      </c>
      <c r="B247" s="275" t="s">
        <v>1159</v>
      </c>
      <c r="C247" s="275" t="s">
        <v>1059</v>
      </c>
      <c r="D247" s="275" t="s">
        <v>1047</v>
      </c>
      <c r="E247" s="275" t="s">
        <v>762</v>
      </c>
      <c r="F247" s="303" t="s">
        <v>752</v>
      </c>
      <c r="G247" s="282"/>
      <c r="H247" s="442"/>
      <c r="I247" s="282">
        <f t="shared" si="7"/>
        <v>0</v>
      </c>
      <c r="J247" s="282"/>
      <c r="K247" s="442"/>
      <c r="L247" s="282">
        <f t="shared" si="8"/>
        <v>0</v>
      </c>
    </row>
    <row r="248" spans="1:12" ht="13.5">
      <c r="A248" s="290" t="s">
        <v>1093</v>
      </c>
      <c r="B248" s="275" t="s">
        <v>1159</v>
      </c>
      <c r="C248" s="275" t="s">
        <v>1059</v>
      </c>
      <c r="D248" s="275" t="s">
        <v>1049</v>
      </c>
      <c r="E248" s="275"/>
      <c r="F248" s="303"/>
      <c r="G248" s="282">
        <f>G249+G260+G270+G262</f>
        <v>2000000</v>
      </c>
      <c r="H248" s="442"/>
      <c r="I248" s="282">
        <f t="shared" si="7"/>
        <v>2000000</v>
      </c>
      <c r="J248" s="282">
        <f>J249+J260+J270+J262</f>
        <v>2000000</v>
      </c>
      <c r="K248" s="442"/>
      <c r="L248" s="282">
        <f t="shared" si="8"/>
        <v>2000000</v>
      </c>
    </row>
    <row r="249" spans="1:12" ht="39">
      <c r="A249" s="274" t="s">
        <v>705</v>
      </c>
      <c r="B249" s="275" t="s">
        <v>1159</v>
      </c>
      <c r="C249" s="275" t="s">
        <v>1059</v>
      </c>
      <c r="D249" s="275" t="s">
        <v>1049</v>
      </c>
      <c r="E249" s="289" t="s">
        <v>706</v>
      </c>
      <c r="F249" s="303"/>
      <c r="G249" s="282">
        <f>G250</f>
        <v>500000</v>
      </c>
      <c r="H249" s="442"/>
      <c r="I249" s="282">
        <f t="shared" si="7"/>
        <v>500000</v>
      </c>
      <c r="J249" s="282">
        <f>J250</f>
        <v>500000</v>
      </c>
      <c r="K249" s="442"/>
      <c r="L249" s="282">
        <f t="shared" si="8"/>
        <v>500000</v>
      </c>
    </row>
    <row r="250" spans="1:12" ht="52.5">
      <c r="A250" s="460" t="s">
        <v>707</v>
      </c>
      <c r="B250" s="275" t="s">
        <v>1159</v>
      </c>
      <c r="C250" s="443" t="s">
        <v>1059</v>
      </c>
      <c r="D250" s="443" t="s">
        <v>1049</v>
      </c>
      <c r="E250" s="453" t="s">
        <v>1161</v>
      </c>
      <c r="F250" s="445"/>
      <c r="G250" s="446">
        <f>G251</f>
        <v>500000</v>
      </c>
      <c r="H250" s="442"/>
      <c r="I250" s="282">
        <f t="shared" si="7"/>
        <v>500000</v>
      </c>
      <c r="J250" s="446">
        <f>J251</f>
        <v>500000</v>
      </c>
      <c r="K250" s="442"/>
      <c r="L250" s="282">
        <f t="shared" si="8"/>
        <v>500000</v>
      </c>
    </row>
    <row r="251" spans="1:12" ht="24.75" customHeight="1">
      <c r="A251" s="288" t="s">
        <v>709</v>
      </c>
      <c r="B251" s="275" t="s">
        <v>1159</v>
      </c>
      <c r="C251" s="275" t="s">
        <v>1059</v>
      </c>
      <c r="D251" s="275" t="s">
        <v>1049</v>
      </c>
      <c r="E251" s="289" t="s">
        <v>710</v>
      </c>
      <c r="F251" s="303"/>
      <c r="G251" s="282">
        <f>G252+G254+G256+G258</f>
        <v>500000</v>
      </c>
      <c r="H251" s="442"/>
      <c r="I251" s="282">
        <f t="shared" si="7"/>
        <v>500000</v>
      </c>
      <c r="J251" s="282">
        <f>J252+J254+J256+J258</f>
        <v>500000</v>
      </c>
      <c r="K251" s="442"/>
      <c r="L251" s="282">
        <f t="shared" si="8"/>
        <v>500000</v>
      </c>
    </row>
    <row r="252" spans="1:12" ht="39" customHeight="1" hidden="1">
      <c r="A252" s="447" t="s">
        <v>711</v>
      </c>
      <c r="B252" s="275" t="s">
        <v>1159</v>
      </c>
      <c r="C252" s="275" t="s">
        <v>1059</v>
      </c>
      <c r="D252" s="275" t="s">
        <v>1049</v>
      </c>
      <c r="E252" s="289" t="s">
        <v>712</v>
      </c>
      <c r="F252" s="303"/>
      <c r="G252" s="282">
        <f>G253</f>
        <v>0</v>
      </c>
      <c r="H252" s="442"/>
      <c r="I252" s="282">
        <f t="shared" si="7"/>
        <v>0</v>
      </c>
      <c r="J252" s="282">
        <f>J253</f>
        <v>0</v>
      </c>
      <c r="K252" s="442"/>
      <c r="L252" s="282">
        <f t="shared" si="8"/>
        <v>0</v>
      </c>
    </row>
    <row r="253" spans="1:12" ht="15" customHeight="1" hidden="1">
      <c r="A253" s="310" t="s">
        <v>713</v>
      </c>
      <c r="B253" s="275" t="s">
        <v>1159</v>
      </c>
      <c r="C253" s="275" t="s">
        <v>1059</v>
      </c>
      <c r="D253" s="275" t="s">
        <v>1049</v>
      </c>
      <c r="E253" s="289" t="s">
        <v>712</v>
      </c>
      <c r="F253" s="303" t="s">
        <v>714</v>
      </c>
      <c r="G253" s="282"/>
      <c r="H253" s="442"/>
      <c r="I253" s="282">
        <f t="shared" si="7"/>
        <v>0</v>
      </c>
      <c r="J253" s="282"/>
      <c r="K253" s="442"/>
      <c r="L253" s="282">
        <f t="shared" si="8"/>
        <v>0</v>
      </c>
    </row>
    <row r="254" spans="1:12" ht="51.75" customHeight="1" hidden="1">
      <c r="A254" s="447" t="s">
        <v>715</v>
      </c>
      <c r="B254" s="275" t="s">
        <v>1159</v>
      </c>
      <c r="C254" s="275" t="s">
        <v>1059</v>
      </c>
      <c r="D254" s="275" t="s">
        <v>1049</v>
      </c>
      <c r="E254" s="289" t="s">
        <v>716</v>
      </c>
      <c r="F254" s="303"/>
      <c r="G254" s="282">
        <f>G255</f>
        <v>0</v>
      </c>
      <c r="H254" s="442"/>
      <c r="I254" s="282">
        <f t="shared" si="7"/>
        <v>0</v>
      </c>
      <c r="J254" s="282">
        <f>J255</f>
        <v>0</v>
      </c>
      <c r="K254" s="442"/>
      <c r="L254" s="282">
        <f t="shared" si="8"/>
        <v>0</v>
      </c>
    </row>
    <row r="255" spans="1:12" ht="15" customHeight="1" hidden="1">
      <c r="A255" s="310" t="s">
        <v>713</v>
      </c>
      <c r="B255" s="275" t="s">
        <v>1159</v>
      </c>
      <c r="C255" s="275" t="s">
        <v>1059</v>
      </c>
      <c r="D255" s="275" t="s">
        <v>1049</v>
      </c>
      <c r="E255" s="289" t="s">
        <v>716</v>
      </c>
      <c r="F255" s="303" t="s">
        <v>714</v>
      </c>
      <c r="G255" s="282"/>
      <c r="H255" s="442"/>
      <c r="I255" s="282">
        <f t="shared" si="7"/>
        <v>0</v>
      </c>
      <c r="J255" s="282"/>
      <c r="K255" s="442"/>
      <c r="L255" s="282">
        <f t="shared" si="8"/>
        <v>0</v>
      </c>
    </row>
    <row r="256" spans="1:12" ht="25.5" customHeight="1" hidden="1">
      <c r="A256" s="318" t="s">
        <v>717</v>
      </c>
      <c r="B256" s="275" t="s">
        <v>1159</v>
      </c>
      <c r="C256" s="275" t="s">
        <v>1059</v>
      </c>
      <c r="D256" s="275" t="s">
        <v>1049</v>
      </c>
      <c r="E256" s="289" t="s">
        <v>718</v>
      </c>
      <c r="F256" s="303"/>
      <c r="G256" s="282">
        <f>G257</f>
        <v>0</v>
      </c>
      <c r="H256" s="442"/>
      <c r="I256" s="282">
        <f t="shared" si="7"/>
        <v>0</v>
      </c>
      <c r="J256" s="282">
        <f>J257</f>
        <v>0</v>
      </c>
      <c r="K256" s="442"/>
      <c r="L256" s="282">
        <f t="shared" si="8"/>
        <v>0</v>
      </c>
    </row>
    <row r="257" spans="1:12" ht="15" customHeight="1" hidden="1">
      <c r="A257" s="310" t="s">
        <v>713</v>
      </c>
      <c r="B257" s="275"/>
      <c r="C257" s="275" t="s">
        <v>1059</v>
      </c>
      <c r="D257" s="275" t="s">
        <v>1049</v>
      </c>
      <c r="E257" s="289" t="s">
        <v>718</v>
      </c>
      <c r="F257" s="303" t="s">
        <v>714</v>
      </c>
      <c r="G257" s="282"/>
      <c r="H257" s="442"/>
      <c r="I257" s="282">
        <f t="shared" si="7"/>
        <v>0</v>
      </c>
      <c r="J257" s="282"/>
      <c r="K257" s="442"/>
      <c r="L257" s="282">
        <f t="shared" si="8"/>
        <v>0</v>
      </c>
    </row>
    <row r="258" spans="1:12" ht="39">
      <c r="A258" s="332" t="s">
        <v>719</v>
      </c>
      <c r="B258" s="275" t="s">
        <v>1159</v>
      </c>
      <c r="C258" s="275" t="s">
        <v>1059</v>
      </c>
      <c r="D258" s="275" t="s">
        <v>1049</v>
      </c>
      <c r="E258" s="289" t="s">
        <v>720</v>
      </c>
      <c r="F258" s="303"/>
      <c r="G258" s="282">
        <f>G259</f>
        <v>500000</v>
      </c>
      <c r="H258" s="442"/>
      <c r="I258" s="282">
        <f t="shared" si="7"/>
        <v>500000</v>
      </c>
      <c r="J258" s="282">
        <f>J259</f>
        <v>500000</v>
      </c>
      <c r="K258" s="442"/>
      <c r="L258" s="282">
        <f t="shared" si="8"/>
        <v>500000</v>
      </c>
    </row>
    <row r="259" spans="1:12" ht="13.5">
      <c r="A259" s="310" t="s">
        <v>713</v>
      </c>
      <c r="B259" s="275" t="s">
        <v>1159</v>
      </c>
      <c r="C259" s="275" t="s">
        <v>1059</v>
      </c>
      <c r="D259" s="275" t="s">
        <v>1049</v>
      </c>
      <c r="E259" s="289" t="s">
        <v>720</v>
      </c>
      <c r="F259" s="303" t="s">
        <v>714</v>
      </c>
      <c r="G259" s="282">
        <v>500000</v>
      </c>
      <c r="H259" s="442"/>
      <c r="I259" s="282">
        <f t="shared" si="7"/>
        <v>500000</v>
      </c>
      <c r="J259" s="282">
        <v>500000</v>
      </c>
      <c r="K259" s="442"/>
      <c r="L259" s="282">
        <f t="shared" si="8"/>
        <v>500000</v>
      </c>
    </row>
    <row r="260" spans="1:12" ht="52.5" customHeight="1">
      <c r="A260" s="460" t="s">
        <v>721</v>
      </c>
      <c r="B260" s="275" t="s">
        <v>1159</v>
      </c>
      <c r="C260" s="275" t="s">
        <v>1059</v>
      </c>
      <c r="D260" s="275" t="s">
        <v>1049</v>
      </c>
      <c r="E260" s="289" t="s">
        <v>722</v>
      </c>
      <c r="F260" s="303"/>
      <c r="G260" s="282">
        <f>G261</f>
        <v>500000</v>
      </c>
      <c r="H260" s="442"/>
      <c r="I260" s="282">
        <f t="shared" si="7"/>
        <v>500000</v>
      </c>
      <c r="J260" s="282">
        <f>J261</f>
        <v>500000</v>
      </c>
      <c r="K260" s="442"/>
      <c r="L260" s="282">
        <f t="shared" si="8"/>
        <v>500000</v>
      </c>
    </row>
    <row r="261" spans="1:12" ht="84" customHeight="1">
      <c r="A261" s="310" t="s">
        <v>1096</v>
      </c>
      <c r="B261" s="275" t="s">
        <v>1159</v>
      </c>
      <c r="C261" s="443" t="s">
        <v>1059</v>
      </c>
      <c r="D261" s="443" t="s">
        <v>1049</v>
      </c>
      <c r="E261" s="453" t="s">
        <v>1097</v>
      </c>
      <c r="F261" s="445"/>
      <c r="G261" s="446">
        <f>G267</f>
        <v>500000</v>
      </c>
      <c r="H261" s="442"/>
      <c r="I261" s="282">
        <f t="shared" si="7"/>
        <v>500000</v>
      </c>
      <c r="J261" s="446">
        <f>J267</f>
        <v>500000</v>
      </c>
      <c r="K261" s="442"/>
      <c r="L261" s="282">
        <f t="shared" si="8"/>
        <v>500000</v>
      </c>
    </row>
    <row r="262" spans="1:12" ht="38.25" customHeight="1" hidden="1">
      <c r="A262" s="288" t="s">
        <v>745</v>
      </c>
      <c r="B262" s="275" t="s">
        <v>1159</v>
      </c>
      <c r="C262" s="275" t="s">
        <v>1059</v>
      </c>
      <c r="D262" s="275" t="s">
        <v>1049</v>
      </c>
      <c r="E262" s="298" t="s">
        <v>746</v>
      </c>
      <c r="F262" s="445"/>
      <c r="G262" s="446">
        <f>G263+G265</f>
        <v>0</v>
      </c>
      <c r="H262" s="442"/>
      <c r="I262" s="282">
        <f t="shared" si="7"/>
        <v>0</v>
      </c>
      <c r="J262" s="446">
        <f>J263+J265</f>
        <v>0</v>
      </c>
      <c r="K262" s="442"/>
      <c r="L262" s="282">
        <f t="shared" si="8"/>
        <v>0</v>
      </c>
    </row>
    <row r="263" spans="1:12" ht="24" customHeight="1" hidden="1">
      <c r="A263" s="318" t="s">
        <v>747</v>
      </c>
      <c r="B263" s="275" t="s">
        <v>1159</v>
      </c>
      <c r="C263" s="275" t="s">
        <v>1059</v>
      </c>
      <c r="D263" s="275" t="s">
        <v>1049</v>
      </c>
      <c r="E263" s="298" t="s">
        <v>748</v>
      </c>
      <c r="F263" s="303"/>
      <c r="G263" s="446">
        <f>G264</f>
        <v>0</v>
      </c>
      <c r="H263" s="442"/>
      <c r="I263" s="282">
        <f t="shared" si="7"/>
        <v>0</v>
      </c>
      <c r="J263" s="446">
        <f>J264</f>
        <v>0</v>
      </c>
      <c r="K263" s="442"/>
      <c r="L263" s="282">
        <f t="shared" si="8"/>
        <v>0</v>
      </c>
    </row>
    <row r="264" spans="1:12" ht="15" customHeight="1" hidden="1">
      <c r="A264" s="310" t="s">
        <v>713</v>
      </c>
      <c r="B264" s="275" t="s">
        <v>1159</v>
      </c>
      <c r="C264" s="275" t="s">
        <v>1059</v>
      </c>
      <c r="D264" s="275" t="s">
        <v>1049</v>
      </c>
      <c r="E264" s="298" t="s">
        <v>748</v>
      </c>
      <c r="F264" s="303" t="s">
        <v>714</v>
      </c>
      <c r="G264" s="446"/>
      <c r="H264" s="442"/>
      <c r="I264" s="282">
        <f t="shared" si="7"/>
        <v>0</v>
      </c>
      <c r="J264" s="446"/>
      <c r="K264" s="442"/>
      <c r="L264" s="282">
        <f t="shared" si="8"/>
        <v>0</v>
      </c>
    </row>
    <row r="265" spans="1:12" ht="30" customHeight="1" hidden="1">
      <c r="A265" s="318" t="s">
        <v>749</v>
      </c>
      <c r="B265" s="275" t="s">
        <v>1159</v>
      </c>
      <c r="C265" s="275" t="s">
        <v>1059</v>
      </c>
      <c r="D265" s="275" t="s">
        <v>1049</v>
      </c>
      <c r="E265" s="298" t="s">
        <v>750</v>
      </c>
      <c r="F265" s="303"/>
      <c r="G265" s="446">
        <f>G266</f>
        <v>0</v>
      </c>
      <c r="H265" s="442"/>
      <c r="I265" s="282">
        <f t="shared" si="7"/>
        <v>0</v>
      </c>
      <c r="J265" s="446">
        <f>J266</f>
        <v>0</v>
      </c>
      <c r="K265" s="442"/>
      <c r="L265" s="282">
        <f t="shared" si="8"/>
        <v>0</v>
      </c>
    </row>
    <row r="266" spans="1:12" ht="15.75" customHeight="1" hidden="1">
      <c r="A266" s="310" t="s">
        <v>713</v>
      </c>
      <c r="B266" s="275" t="s">
        <v>1159</v>
      </c>
      <c r="C266" s="275" t="s">
        <v>1059</v>
      </c>
      <c r="D266" s="275" t="s">
        <v>1049</v>
      </c>
      <c r="E266" s="298" t="s">
        <v>750</v>
      </c>
      <c r="F266" s="303" t="s">
        <v>714</v>
      </c>
      <c r="G266" s="446"/>
      <c r="H266" s="442"/>
      <c r="I266" s="282">
        <f t="shared" si="7"/>
        <v>0</v>
      </c>
      <c r="J266" s="446"/>
      <c r="K266" s="442"/>
      <c r="L266" s="282">
        <f t="shared" si="8"/>
        <v>0</v>
      </c>
    </row>
    <row r="267" spans="1:12" ht="29.25" customHeight="1">
      <c r="A267" s="288" t="s">
        <v>753</v>
      </c>
      <c r="B267" s="275" t="s">
        <v>1159</v>
      </c>
      <c r="C267" s="275" t="s">
        <v>1059</v>
      </c>
      <c r="D267" s="275" t="s">
        <v>1049</v>
      </c>
      <c r="E267" s="298" t="s">
        <v>754</v>
      </c>
      <c r="F267" s="303"/>
      <c r="G267" s="282">
        <f>G268</f>
        <v>500000</v>
      </c>
      <c r="H267" s="442"/>
      <c r="I267" s="282">
        <f t="shared" si="7"/>
        <v>500000</v>
      </c>
      <c r="J267" s="282">
        <f>J268</f>
        <v>500000</v>
      </c>
      <c r="K267" s="442"/>
      <c r="L267" s="282">
        <f t="shared" si="8"/>
        <v>500000</v>
      </c>
    </row>
    <row r="268" spans="1:12" ht="39">
      <c r="A268" s="296" t="s">
        <v>755</v>
      </c>
      <c r="B268" s="275" t="s">
        <v>1159</v>
      </c>
      <c r="C268" s="275" t="s">
        <v>1059</v>
      </c>
      <c r="D268" s="275" t="s">
        <v>1049</v>
      </c>
      <c r="E268" s="298" t="s">
        <v>756</v>
      </c>
      <c r="F268" s="303"/>
      <c r="G268" s="282">
        <f>G269</f>
        <v>500000</v>
      </c>
      <c r="H268" s="442"/>
      <c r="I268" s="282">
        <f t="shared" si="7"/>
        <v>500000</v>
      </c>
      <c r="J268" s="282">
        <f>J269</f>
        <v>500000</v>
      </c>
      <c r="K268" s="442"/>
      <c r="L268" s="282">
        <f t="shared" si="8"/>
        <v>500000</v>
      </c>
    </row>
    <row r="269" spans="1:12" ht="13.5">
      <c r="A269" s="310" t="s">
        <v>713</v>
      </c>
      <c r="B269" s="275" t="s">
        <v>1159</v>
      </c>
      <c r="C269" s="275" t="s">
        <v>1059</v>
      </c>
      <c r="D269" s="275" t="s">
        <v>1049</v>
      </c>
      <c r="E269" s="298" t="s">
        <v>756</v>
      </c>
      <c r="F269" s="303" t="s">
        <v>714</v>
      </c>
      <c r="G269" s="282">
        <v>500000</v>
      </c>
      <c r="H269" s="442"/>
      <c r="I269" s="282">
        <f t="shared" si="7"/>
        <v>500000</v>
      </c>
      <c r="J269" s="282">
        <v>500000</v>
      </c>
      <c r="K269" s="442"/>
      <c r="L269" s="282">
        <f t="shared" si="8"/>
        <v>500000</v>
      </c>
    </row>
    <row r="270" spans="1:12" ht="43.5" customHeight="1">
      <c r="A270" s="451" t="s">
        <v>917</v>
      </c>
      <c r="B270" s="275" t="s">
        <v>1159</v>
      </c>
      <c r="C270" s="275" t="s">
        <v>1059</v>
      </c>
      <c r="D270" s="275" t="s">
        <v>1049</v>
      </c>
      <c r="E270" s="289" t="s">
        <v>918</v>
      </c>
      <c r="F270" s="303"/>
      <c r="G270" s="282">
        <f>G271</f>
        <v>1000000</v>
      </c>
      <c r="H270" s="442"/>
      <c r="I270" s="282">
        <f t="shared" si="7"/>
        <v>1000000</v>
      </c>
      <c r="J270" s="282">
        <f>J271</f>
        <v>1000000</v>
      </c>
      <c r="K270" s="442"/>
      <c r="L270" s="282">
        <f t="shared" si="8"/>
        <v>1000000</v>
      </c>
    </row>
    <row r="271" spans="1:12" ht="66.75" customHeight="1">
      <c r="A271" s="451" t="s">
        <v>919</v>
      </c>
      <c r="B271" s="275" t="s">
        <v>1159</v>
      </c>
      <c r="C271" s="443" t="s">
        <v>1059</v>
      </c>
      <c r="D271" s="443" t="s">
        <v>1049</v>
      </c>
      <c r="E271" s="453" t="s">
        <v>920</v>
      </c>
      <c r="F271" s="445"/>
      <c r="G271" s="446">
        <f>G279+G272</f>
        <v>1000000</v>
      </c>
      <c r="H271" s="442"/>
      <c r="I271" s="282">
        <f t="shared" si="7"/>
        <v>1000000</v>
      </c>
      <c r="J271" s="446">
        <f>J279+J272</f>
        <v>1000000</v>
      </c>
      <c r="K271" s="442"/>
      <c r="L271" s="282">
        <f t="shared" si="8"/>
        <v>1000000</v>
      </c>
    </row>
    <row r="272" spans="1:12" ht="34.5" customHeight="1" hidden="1">
      <c r="A272" s="318" t="s">
        <v>921</v>
      </c>
      <c r="B272" s="275" t="s">
        <v>1159</v>
      </c>
      <c r="C272" s="275" t="s">
        <v>1059</v>
      </c>
      <c r="D272" s="275" t="s">
        <v>1049</v>
      </c>
      <c r="E272" s="289" t="s">
        <v>922</v>
      </c>
      <c r="F272" s="445"/>
      <c r="G272" s="446">
        <f>G273+G275+G277</f>
        <v>0</v>
      </c>
      <c r="H272" s="442"/>
      <c r="I272" s="282">
        <f t="shared" si="7"/>
        <v>0</v>
      </c>
      <c r="J272" s="446">
        <f>J273+J275+J277</f>
        <v>0</v>
      </c>
      <c r="K272" s="442"/>
      <c r="L272" s="282">
        <f t="shared" si="8"/>
        <v>0</v>
      </c>
    </row>
    <row r="273" spans="1:12" ht="45" customHeight="1" hidden="1">
      <c r="A273" s="318" t="s">
        <v>923</v>
      </c>
      <c r="B273" s="275" t="s">
        <v>1159</v>
      </c>
      <c r="C273" s="275" t="s">
        <v>1059</v>
      </c>
      <c r="D273" s="275" t="s">
        <v>1049</v>
      </c>
      <c r="E273" s="275" t="s">
        <v>924</v>
      </c>
      <c r="F273" s="445"/>
      <c r="G273" s="446">
        <f>G274</f>
        <v>0</v>
      </c>
      <c r="H273" s="442"/>
      <c r="I273" s="282">
        <f t="shared" si="7"/>
        <v>0</v>
      </c>
      <c r="J273" s="446">
        <f>J274</f>
        <v>0</v>
      </c>
      <c r="K273" s="442"/>
      <c r="L273" s="282">
        <f t="shared" si="8"/>
        <v>0</v>
      </c>
    </row>
    <row r="274" spans="1:12" ht="15" customHeight="1" hidden="1">
      <c r="A274" s="310" t="s">
        <v>713</v>
      </c>
      <c r="B274" s="275" t="s">
        <v>1159</v>
      </c>
      <c r="C274" s="275" t="s">
        <v>1059</v>
      </c>
      <c r="D274" s="275" t="s">
        <v>1049</v>
      </c>
      <c r="E274" s="275" t="s">
        <v>924</v>
      </c>
      <c r="F274" s="445" t="s">
        <v>714</v>
      </c>
      <c r="G274" s="446"/>
      <c r="H274" s="442"/>
      <c r="I274" s="282">
        <f t="shared" si="7"/>
        <v>0</v>
      </c>
      <c r="J274" s="446"/>
      <c r="K274" s="442"/>
      <c r="L274" s="282">
        <f t="shared" si="8"/>
        <v>0</v>
      </c>
    </row>
    <row r="275" spans="1:12" ht="30" customHeight="1" hidden="1">
      <c r="A275" s="318" t="s">
        <v>925</v>
      </c>
      <c r="B275" s="275" t="s">
        <v>1159</v>
      </c>
      <c r="C275" s="275" t="s">
        <v>1059</v>
      </c>
      <c r="D275" s="275" t="s">
        <v>1049</v>
      </c>
      <c r="E275" s="275" t="s">
        <v>926</v>
      </c>
      <c r="F275" s="445"/>
      <c r="G275" s="446">
        <f>G276</f>
        <v>0</v>
      </c>
      <c r="H275" s="442"/>
      <c r="I275" s="282">
        <f t="shared" si="7"/>
        <v>0</v>
      </c>
      <c r="J275" s="446">
        <f>J276</f>
        <v>0</v>
      </c>
      <c r="K275" s="442"/>
      <c r="L275" s="282">
        <f t="shared" si="8"/>
        <v>0</v>
      </c>
    </row>
    <row r="276" spans="1:12" ht="22.5" customHeight="1" hidden="1">
      <c r="A276" s="310" t="s">
        <v>713</v>
      </c>
      <c r="B276" s="275" t="s">
        <v>1159</v>
      </c>
      <c r="C276" s="275" t="s">
        <v>1059</v>
      </c>
      <c r="D276" s="275" t="s">
        <v>1049</v>
      </c>
      <c r="E276" s="275" t="s">
        <v>926</v>
      </c>
      <c r="F276" s="445" t="s">
        <v>714</v>
      </c>
      <c r="G276" s="446"/>
      <c r="H276" s="442"/>
      <c r="I276" s="282">
        <f t="shared" si="7"/>
        <v>0</v>
      </c>
      <c r="J276" s="446"/>
      <c r="K276" s="442"/>
      <c r="L276" s="282">
        <f t="shared" si="8"/>
        <v>0</v>
      </c>
    </row>
    <row r="277" spans="1:12" ht="30" customHeight="1" hidden="1">
      <c r="A277" s="318" t="s">
        <v>927</v>
      </c>
      <c r="B277" s="275" t="s">
        <v>1159</v>
      </c>
      <c r="C277" s="275" t="s">
        <v>1059</v>
      </c>
      <c r="D277" s="275" t="s">
        <v>1049</v>
      </c>
      <c r="E277" s="275" t="s">
        <v>928</v>
      </c>
      <c r="F277" s="445"/>
      <c r="G277" s="446">
        <f>G278</f>
        <v>0</v>
      </c>
      <c r="H277" s="442"/>
      <c r="I277" s="282">
        <f t="shared" si="7"/>
        <v>0</v>
      </c>
      <c r="J277" s="446">
        <f>J278</f>
        <v>0</v>
      </c>
      <c r="K277" s="442"/>
      <c r="L277" s="282">
        <f t="shared" si="8"/>
        <v>0</v>
      </c>
    </row>
    <row r="278" spans="1:12" ht="15" customHeight="1" hidden="1">
      <c r="A278" s="310" t="s">
        <v>713</v>
      </c>
      <c r="B278" s="275" t="s">
        <v>1159</v>
      </c>
      <c r="C278" s="275" t="s">
        <v>1059</v>
      </c>
      <c r="D278" s="275" t="s">
        <v>1049</v>
      </c>
      <c r="E278" s="275" t="s">
        <v>928</v>
      </c>
      <c r="F278" s="445" t="s">
        <v>714</v>
      </c>
      <c r="G278" s="446"/>
      <c r="H278" s="442"/>
      <c r="I278" s="282">
        <f t="shared" si="7"/>
        <v>0</v>
      </c>
      <c r="J278" s="446"/>
      <c r="K278" s="442"/>
      <c r="L278" s="282">
        <f t="shared" si="8"/>
        <v>0</v>
      </c>
    </row>
    <row r="279" spans="1:12" ht="18" customHeight="1">
      <c r="A279" s="310" t="s">
        <v>929</v>
      </c>
      <c r="B279" s="275" t="s">
        <v>1159</v>
      </c>
      <c r="C279" s="275" t="s">
        <v>1059</v>
      </c>
      <c r="D279" s="275" t="s">
        <v>1049</v>
      </c>
      <c r="E279" s="289" t="s">
        <v>930</v>
      </c>
      <c r="F279" s="303"/>
      <c r="G279" s="282">
        <f>G284</f>
        <v>1000000</v>
      </c>
      <c r="H279" s="442"/>
      <c r="I279" s="282">
        <f t="shared" si="7"/>
        <v>1000000</v>
      </c>
      <c r="J279" s="282">
        <f>J284</f>
        <v>1000000</v>
      </c>
      <c r="K279" s="442"/>
      <c r="L279" s="282">
        <f t="shared" si="8"/>
        <v>1000000</v>
      </c>
    </row>
    <row r="280" spans="1:12" ht="39" customHeight="1" hidden="1">
      <c r="A280" s="447" t="s">
        <v>923</v>
      </c>
      <c r="B280" s="275" t="s">
        <v>1159</v>
      </c>
      <c r="C280" s="275" t="s">
        <v>1059</v>
      </c>
      <c r="D280" s="275" t="s">
        <v>1049</v>
      </c>
      <c r="E280" s="289" t="s">
        <v>931</v>
      </c>
      <c r="F280" s="303"/>
      <c r="G280" s="282">
        <f>G281</f>
        <v>0</v>
      </c>
      <c r="H280" s="442"/>
      <c r="I280" s="282">
        <f t="shared" si="7"/>
        <v>0</v>
      </c>
      <c r="J280" s="282">
        <f>J281</f>
        <v>0</v>
      </c>
      <c r="K280" s="442"/>
      <c r="L280" s="282">
        <f t="shared" si="8"/>
        <v>0</v>
      </c>
    </row>
    <row r="281" spans="1:12" ht="15" customHeight="1" hidden="1">
      <c r="A281" s="310" t="s">
        <v>713</v>
      </c>
      <c r="B281" s="275" t="s">
        <v>1159</v>
      </c>
      <c r="C281" s="275" t="s">
        <v>1059</v>
      </c>
      <c r="D281" s="275" t="s">
        <v>1049</v>
      </c>
      <c r="E281" s="289" t="s">
        <v>931</v>
      </c>
      <c r="F281" s="303" t="s">
        <v>714</v>
      </c>
      <c r="G281" s="282"/>
      <c r="H281" s="442"/>
      <c r="I281" s="282">
        <f t="shared" si="7"/>
        <v>0</v>
      </c>
      <c r="J281" s="282"/>
      <c r="K281" s="442"/>
      <c r="L281" s="282">
        <f t="shared" si="8"/>
        <v>0</v>
      </c>
    </row>
    <row r="282" spans="1:12" ht="25.5" customHeight="1" hidden="1">
      <c r="A282" s="318" t="s">
        <v>932</v>
      </c>
      <c r="B282" s="275" t="s">
        <v>1159</v>
      </c>
      <c r="C282" s="275" t="s">
        <v>1059</v>
      </c>
      <c r="D282" s="275" t="s">
        <v>1049</v>
      </c>
      <c r="E282" s="289" t="s">
        <v>933</v>
      </c>
      <c r="F282" s="303"/>
      <c r="G282" s="282">
        <f>G283</f>
        <v>0</v>
      </c>
      <c r="H282" s="442"/>
      <c r="I282" s="282">
        <f aca="true" t="shared" si="9" ref="I282:I351">G282+H282</f>
        <v>0</v>
      </c>
      <c r="J282" s="282">
        <f>J283</f>
        <v>0</v>
      </c>
      <c r="K282" s="442"/>
      <c r="L282" s="282">
        <f t="shared" si="8"/>
        <v>0</v>
      </c>
    </row>
    <row r="283" spans="1:12" ht="15" customHeight="1" hidden="1">
      <c r="A283" s="310" t="s">
        <v>713</v>
      </c>
      <c r="B283" s="275" t="s">
        <v>1159</v>
      </c>
      <c r="C283" s="275" t="s">
        <v>1059</v>
      </c>
      <c r="D283" s="275" t="s">
        <v>1049</v>
      </c>
      <c r="E283" s="289" t="s">
        <v>933</v>
      </c>
      <c r="F283" s="303" t="s">
        <v>714</v>
      </c>
      <c r="G283" s="282"/>
      <c r="H283" s="442"/>
      <c r="I283" s="282">
        <f t="shared" si="9"/>
        <v>0</v>
      </c>
      <c r="J283" s="282"/>
      <c r="K283" s="442"/>
      <c r="L283" s="282">
        <f t="shared" si="8"/>
        <v>0</v>
      </c>
    </row>
    <row r="284" spans="1:12" ht="13.5">
      <c r="A284" s="332" t="s">
        <v>934</v>
      </c>
      <c r="B284" s="275" t="s">
        <v>1159</v>
      </c>
      <c r="C284" s="275" t="s">
        <v>1059</v>
      </c>
      <c r="D284" s="275" t="s">
        <v>1049</v>
      </c>
      <c r="E284" s="289" t="s">
        <v>935</v>
      </c>
      <c r="F284" s="303"/>
      <c r="G284" s="282">
        <f>G285</f>
        <v>1000000</v>
      </c>
      <c r="H284" s="442"/>
      <c r="I284" s="282">
        <f t="shared" si="9"/>
        <v>1000000</v>
      </c>
      <c r="J284" s="282">
        <f>J285</f>
        <v>1000000</v>
      </c>
      <c r="K284" s="442"/>
      <c r="L284" s="282">
        <f t="shared" si="8"/>
        <v>1000000</v>
      </c>
    </row>
    <row r="285" spans="1:12" ht="13.5">
      <c r="A285" s="310" t="s">
        <v>713</v>
      </c>
      <c r="B285" s="275" t="s">
        <v>1159</v>
      </c>
      <c r="C285" s="275" t="s">
        <v>1059</v>
      </c>
      <c r="D285" s="275" t="s">
        <v>1049</v>
      </c>
      <c r="E285" s="289" t="s">
        <v>935</v>
      </c>
      <c r="F285" s="303" t="s">
        <v>714</v>
      </c>
      <c r="G285" s="282">
        <v>1000000</v>
      </c>
      <c r="H285" s="442"/>
      <c r="I285" s="282">
        <f t="shared" si="9"/>
        <v>1000000</v>
      </c>
      <c r="J285" s="282">
        <v>1000000</v>
      </c>
      <c r="K285" s="442"/>
      <c r="L285" s="282">
        <f t="shared" si="8"/>
        <v>1000000</v>
      </c>
    </row>
    <row r="286" spans="1:12" ht="39" customHeight="1" hidden="1">
      <c r="A286" s="296" t="s">
        <v>755</v>
      </c>
      <c r="B286" s="275" t="s">
        <v>1159</v>
      </c>
      <c r="C286" s="275" t="s">
        <v>1059</v>
      </c>
      <c r="D286" s="275" t="s">
        <v>1049</v>
      </c>
      <c r="E286" s="289" t="s">
        <v>936</v>
      </c>
      <c r="F286" s="303"/>
      <c r="G286" s="282">
        <f>G287</f>
        <v>0</v>
      </c>
      <c r="H286" s="442"/>
      <c r="I286" s="282">
        <f t="shared" si="9"/>
        <v>0</v>
      </c>
      <c r="J286" s="282">
        <f>J287</f>
        <v>0</v>
      </c>
      <c r="K286" s="442"/>
      <c r="L286" s="282">
        <f t="shared" si="8"/>
        <v>0</v>
      </c>
    </row>
    <row r="287" spans="1:12" ht="15" customHeight="1" hidden="1">
      <c r="A287" s="310" t="s">
        <v>713</v>
      </c>
      <c r="B287" s="275" t="s">
        <v>1159</v>
      </c>
      <c r="C287" s="275" t="s">
        <v>1059</v>
      </c>
      <c r="D287" s="275" t="s">
        <v>1049</v>
      </c>
      <c r="E287" s="289" t="s">
        <v>936</v>
      </c>
      <c r="F287" s="303" t="s">
        <v>714</v>
      </c>
      <c r="G287" s="282"/>
      <c r="H287" s="442"/>
      <c r="I287" s="282">
        <f t="shared" si="9"/>
        <v>0</v>
      </c>
      <c r="J287" s="282"/>
      <c r="K287" s="442"/>
      <c r="L287" s="282">
        <f t="shared" si="8"/>
        <v>0</v>
      </c>
    </row>
    <row r="288" spans="1:12" ht="15" customHeight="1">
      <c r="A288" s="401" t="s">
        <v>1098</v>
      </c>
      <c r="B288" s="275" t="s">
        <v>1159</v>
      </c>
      <c r="C288" s="275" t="s">
        <v>1061</v>
      </c>
      <c r="D288" s="275"/>
      <c r="E288" s="289"/>
      <c r="F288" s="303"/>
      <c r="G288" s="282">
        <f>G289</f>
        <v>27000000</v>
      </c>
      <c r="H288" s="442"/>
      <c r="I288" s="282">
        <f t="shared" si="9"/>
        <v>27000000</v>
      </c>
      <c r="J288" s="282">
        <f>J289</f>
        <v>0</v>
      </c>
      <c r="K288" s="282">
        <f>K289</f>
        <v>0</v>
      </c>
      <c r="L288" s="282">
        <f t="shared" si="8"/>
        <v>0</v>
      </c>
    </row>
    <row r="289" spans="1:12" ht="15" customHeight="1">
      <c r="A289" s="405" t="s">
        <v>1099</v>
      </c>
      <c r="B289" s="275" t="s">
        <v>1159</v>
      </c>
      <c r="C289" s="275" t="s">
        <v>1061</v>
      </c>
      <c r="D289" s="275" t="s">
        <v>1059</v>
      </c>
      <c r="E289" s="289"/>
      <c r="F289" s="303"/>
      <c r="G289" s="282">
        <f>G290</f>
        <v>27000000</v>
      </c>
      <c r="H289" s="442"/>
      <c r="I289" s="282">
        <f t="shared" si="9"/>
        <v>27000000</v>
      </c>
      <c r="J289" s="282"/>
      <c r="K289" s="442"/>
      <c r="L289" s="282">
        <f t="shared" si="8"/>
        <v>0</v>
      </c>
    </row>
    <row r="290" spans="1:12" ht="15" customHeight="1">
      <c r="A290" s="405" t="s">
        <v>995</v>
      </c>
      <c r="B290" s="275" t="s">
        <v>1159</v>
      </c>
      <c r="C290" s="275" t="s">
        <v>1061</v>
      </c>
      <c r="D290" s="275" t="s">
        <v>1059</v>
      </c>
      <c r="E290" s="289" t="s">
        <v>996</v>
      </c>
      <c r="F290" s="303"/>
      <c r="G290" s="282">
        <f>G291</f>
        <v>27000000</v>
      </c>
      <c r="H290" s="442"/>
      <c r="I290" s="282">
        <f t="shared" si="9"/>
        <v>27000000</v>
      </c>
      <c r="J290" s="282"/>
      <c r="K290" s="442"/>
      <c r="L290" s="282">
        <f t="shared" si="8"/>
        <v>0</v>
      </c>
    </row>
    <row r="291" spans="1:12" ht="15" customHeight="1">
      <c r="A291" s="370" t="s">
        <v>1001</v>
      </c>
      <c r="B291" s="275" t="s">
        <v>1159</v>
      </c>
      <c r="C291" s="275" t="s">
        <v>1061</v>
      </c>
      <c r="D291" s="275" t="s">
        <v>1059</v>
      </c>
      <c r="E291" s="289" t="s">
        <v>1002</v>
      </c>
      <c r="F291" s="303"/>
      <c r="G291" s="282">
        <f>G292</f>
        <v>27000000</v>
      </c>
      <c r="H291" s="442"/>
      <c r="I291" s="282">
        <f t="shared" si="9"/>
        <v>27000000</v>
      </c>
      <c r="J291" s="282"/>
      <c r="K291" s="442"/>
      <c r="L291" s="282">
        <f t="shared" si="8"/>
        <v>0</v>
      </c>
    </row>
    <row r="292" spans="1:12" ht="15" customHeight="1">
      <c r="A292" s="370" t="s">
        <v>1100</v>
      </c>
      <c r="B292" s="275" t="s">
        <v>1159</v>
      </c>
      <c r="C292" s="275" t="s">
        <v>1061</v>
      </c>
      <c r="D292" s="275" t="s">
        <v>1059</v>
      </c>
      <c r="E292" s="289" t="s">
        <v>1016</v>
      </c>
      <c r="F292" s="303"/>
      <c r="G292" s="282">
        <f>G293</f>
        <v>27000000</v>
      </c>
      <c r="H292" s="442"/>
      <c r="I292" s="282">
        <f t="shared" si="9"/>
        <v>27000000</v>
      </c>
      <c r="J292" s="282"/>
      <c r="K292" s="442"/>
      <c r="L292" s="282">
        <f t="shared" si="8"/>
        <v>0</v>
      </c>
    </row>
    <row r="293" spans="1:12" ht="15" customHeight="1">
      <c r="A293" s="343" t="s">
        <v>516</v>
      </c>
      <c r="B293" s="275" t="s">
        <v>1159</v>
      </c>
      <c r="C293" s="275" t="s">
        <v>1061</v>
      </c>
      <c r="D293" s="275" t="s">
        <v>1059</v>
      </c>
      <c r="E293" s="289" t="s">
        <v>1016</v>
      </c>
      <c r="F293" s="303" t="s">
        <v>517</v>
      </c>
      <c r="G293" s="282">
        <f>27000000</f>
        <v>27000000</v>
      </c>
      <c r="H293" s="442"/>
      <c r="I293" s="282">
        <f t="shared" si="9"/>
        <v>27000000</v>
      </c>
      <c r="J293" s="282"/>
      <c r="K293" s="442"/>
      <c r="L293" s="282">
        <f t="shared" si="8"/>
        <v>0</v>
      </c>
    </row>
    <row r="294" spans="1:12" ht="13.5" customHeight="1">
      <c r="A294" s="281" t="s">
        <v>1101</v>
      </c>
      <c r="B294" s="275" t="s">
        <v>1159</v>
      </c>
      <c r="C294" s="275" t="s">
        <v>1063</v>
      </c>
      <c r="D294" s="275"/>
      <c r="E294" s="289"/>
      <c r="F294" s="324"/>
      <c r="G294" s="282">
        <f>G295</f>
        <v>834526</v>
      </c>
      <c r="H294" s="442"/>
      <c r="I294" s="282">
        <f t="shared" si="9"/>
        <v>834526</v>
      </c>
      <c r="J294" s="282">
        <f>J295</f>
        <v>667120</v>
      </c>
      <c r="K294" s="442"/>
      <c r="L294" s="282">
        <f t="shared" si="8"/>
        <v>667120</v>
      </c>
    </row>
    <row r="295" spans="1:12" ht="13.5">
      <c r="A295" s="281" t="s">
        <v>1162</v>
      </c>
      <c r="B295" s="275" t="s">
        <v>1159</v>
      </c>
      <c r="C295" s="275" t="s">
        <v>1063</v>
      </c>
      <c r="D295" s="275" t="s">
        <v>1063</v>
      </c>
      <c r="E295" s="275"/>
      <c r="F295" s="284"/>
      <c r="G295" s="282">
        <f>G296</f>
        <v>834526</v>
      </c>
      <c r="H295" s="442"/>
      <c r="I295" s="282">
        <f t="shared" si="9"/>
        <v>834526</v>
      </c>
      <c r="J295" s="282">
        <f>J296</f>
        <v>667120</v>
      </c>
      <c r="K295" s="442"/>
      <c r="L295" s="282">
        <f t="shared" si="8"/>
        <v>667120</v>
      </c>
    </row>
    <row r="296" spans="1:12" ht="57" customHeight="1">
      <c r="A296" s="288" t="s">
        <v>771</v>
      </c>
      <c r="B296" s="275" t="s">
        <v>1159</v>
      </c>
      <c r="C296" s="275" t="s">
        <v>1063</v>
      </c>
      <c r="D296" s="275" t="s">
        <v>1063</v>
      </c>
      <c r="E296" s="289" t="s">
        <v>772</v>
      </c>
      <c r="F296" s="284"/>
      <c r="G296" s="282">
        <f>G297+G302</f>
        <v>834526</v>
      </c>
      <c r="H296" s="442"/>
      <c r="I296" s="282">
        <f t="shared" si="9"/>
        <v>834526</v>
      </c>
      <c r="J296" s="282">
        <f>J297+J302</f>
        <v>667120</v>
      </c>
      <c r="K296" s="442"/>
      <c r="L296" s="282">
        <f t="shared" si="8"/>
        <v>667120</v>
      </c>
    </row>
    <row r="297" spans="1:12" ht="76.5" customHeight="1">
      <c r="A297" s="288" t="s">
        <v>773</v>
      </c>
      <c r="B297" s="275" t="s">
        <v>1159</v>
      </c>
      <c r="C297" s="443" t="s">
        <v>1063</v>
      </c>
      <c r="D297" s="443" t="s">
        <v>1063</v>
      </c>
      <c r="E297" s="453" t="s">
        <v>774</v>
      </c>
      <c r="F297" s="454"/>
      <c r="G297" s="446">
        <f>G298</f>
        <v>85000</v>
      </c>
      <c r="H297" s="442"/>
      <c r="I297" s="282">
        <f t="shared" si="9"/>
        <v>85000</v>
      </c>
      <c r="J297" s="446">
        <f>J298</f>
        <v>85000</v>
      </c>
      <c r="K297" s="442"/>
      <c r="L297" s="282">
        <f aca="true" t="shared" si="10" ref="L297:L360">J297+K297</f>
        <v>85000</v>
      </c>
    </row>
    <row r="298" spans="1:12" ht="39.75" customHeight="1">
      <c r="A298" s="288" t="s">
        <v>775</v>
      </c>
      <c r="B298" s="275" t="s">
        <v>1159</v>
      </c>
      <c r="C298" s="275" t="s">
        <v>1063</v>
      </c>
      <c r="D298" s="275" t="s">
        <v>1063</v>
      </c>
      <c r="E298" s="289" t="s">
        <v>776</v>
      </c>
      <c r="F298" s="324"/>
      <c r="G298" s="282">
        <f>G299</f>
        <v>85000</v>
      </c>
      <c r="H298" s="442"/>
      <c r="I298" s="282">
        <f t="shared" si="9"/>
        <v>85000</v>
      </c>
      <c r="J298" s="282">
        <f>J299</f>
        <v>85000</v>
      </c>
      <c r="K298" s="442"/>
      <c r="L298" s="282">
        <f t="shared" si="10"/>
        <v>85000</v>
      </c>
    </row>
    <row r="299" spans="1:12" ht="19.5" customHeight="1">
      <c r="A299" s="288" t="s">
        <v>777</v>
      </c>
      <c r="B299" s="275" t="s">
        <v>1159</v>
      </c>
      <c r="C299" s="275" t="s">
        <v>1063</v>
      </c>
      <c r="D299" s="275" t="s">
        <v>1063</v>
      </c>
      <c r="E299" s="289" t="s">
        <v>778</v>
      </c>
      <c r="F299" s="324"/>
      <c r="G299" s="282">
        <f>G300+G301</f>
        <v>85000</v>
      </c>
      <c r="H299" s="442"/>
      <c r="I299" s="282">
        <f t="shared" si="9"/>
        <v>85000</v>
      </c>
      <c r="J299" s="282">
        <f>J300+J301</f>
        <v>85000</v>
      </c>
      <c r="K299" s="442"/>
      <c r="L299" s="282">
        <f t="shared" si="10"/>
        <v>85000</v>
      </c>
    </row>
    <row r="300" spans="1:12" ht="27.75" customHeight="1">
      <c r="A300" s="290" t="s">
        <v>516</v>
      </c>
      <c r="B300" s="275" t="s">
        <v>1159</v>
      </c>
      <c r="C300" s="275" t="s">
        <v>1063</v>
      </c>
      <c r="D300" s="275" t="s">
        <v>1063</v>
      </c>
      <c r="E300" s="289" t="s">
        <v>778</v>
      </c>
      <c r="F300" s="324" t="s">
        <v>517</v>
      </c>
      <c r="G300" s="282">
        <f>85000-20000</f>
        <v>65000</v>
      </c>
      <c r="H300" s="442"/>
      <c r="I300" s="282">
        <f t="shared" si="9"/>
        <v>65000</v>
      </c>
      <c r="J300" s="282">
        <f>85000-20000</f>
        <v>65000</v>
      </c>
      <c r="K300" s="442"/>
      <c r="L300" s="282">
        <f t="shared" si="10"/>
        <v>65000</v>
      </c>
    </row>
    <row r="301" spans="1:12" ht="19.5" customHeight="1">
      <c r="A301" s="281" t="s">
        <v>550</v>
      </c>
      <c r="B301" s="275" t="s">
        <v>1159</v>
      </c>
      <c r="C301" s="275" t="s">
        <v>1063</v>
      </c>
      <c r="D301" s="275" t="s">
        <v>1063</v>
      </c>
      <c r="E301" s="289" t="s">
        <v>778</v>
      </c>
      <c r="F301" s="324" t="s">
        <v>551</v>
      </c>
      <c r="G301" s="282">
        <f>20000</f>
        <v>20000</v>
      </c>
      <c r="H301" s="442"/>
      <c r="I301" s="282">
        <f t="shared" si="9"/>
        <v>20000</v>
      </c>
      <c r="J301" s="282">
        <f>20000</f>
        <v>20000</v>
      </c>
      <c r="K301" s="442"/>
      <c r="L301" s="282">
        <f t="shared" si="10"/>
        <v>20000</v>
      </c>
    </row>
    <row r="302" spans="1:12" ht="55.5" customHeight="1">
      <c r="A302" s="451" t="s">
        <v>788</v>
      </c>
      <c r="B302" s="275" t="s">
        <v>1159</v>
      </c>
      <c r="C302" s="275" t="s">
        <v>1063</v>
      </c>
      <c r="D302" s="275" t="s">
        <v>1063</v>
      </c>
      <c r="E302" s="289" t="s">
        <v>789</v>
      </c>
      <c r="F302" s="324"/>
      <c r="G302" s="282">
        <f>G303</f>
        <v>749526</v>
      </c>
      <c r="H302" s="442"/>
      <c r="I302" s="282">
        <f t="shared" si="9"/>
        <v>749526</v>
      </c>
      <c r="J302" s="282">
        <f>J303</f>
        <v>582120</v>
      </c>
      <c r="K302" s="442"/>
      <c r="L302" s="282">
        <f t="shared" si="10"/>
        <v>582120</v>
      </c>
    </row>
    <row r="303" spans="1:12" ht="39.75" customHeight="1">
      <c r="A303" s="288" t="s">
        <v>790</v>
      </c>
      <c r="B303" s="275" t="s">
        <v>1159</v>
      </c>
      <c r="C303" s="275" t="s">
        <v>1063</v>
      </c>
      <c r="D303" s="275" t="s">
        <v>1063</v>
      </c>
      <c r="E303" s="289" t="s">
        <v>791</v>
      </c>
      <c r="F303" s="324"/>
      <c r="G303" s="282">
        <f>G304+G306</f>
        <v>749526</v>
      </c>
      <c r="H303" s="442"/>
      <c r="I303" s="282">
        <f t="shared" si="9"/>
        <v>749526</v>
      </c>
      <c r="J303" s="282">
        <f>J304+J306</f>
        <v>582120</v>
      </c>
      <c r="K303" s="442"/>
      <c r="L303" s="282">
        <f t="shared" si="10"/>
        <v>582120</v>
      </c>
    </row>
    <row r="304" spans="1:12" ht="15" customHeight="1" hidden="1">
      <c r="A304" s="281" t="s">
        <v>792</v>
      </c>
      <c r="B304" s="275" t="s">
        <v>1159</v>
      </c>
      <c r="C304" s="275" t="s">
        <v>1063</v>
      </c>
      <c r="D304" s="275" t="s">
        <v>1063</v>
      </c>
      <c r="E304" s="289" t="s">
        <v>793</v>
      </c>
      <c r="F304" s="284"/>
      <c r="G304" s="282">
        <f>G305</f>
        <v>0</v>
      </c>
      <c r="H304" s="442"/>
      <c r="I304" s="282">
        <f t="shared" si="9"/>
        <v>0</v>
      </c>
      <c r="J304" s="282">
        <f>J305</f>
        <v>0</v>
      </c>
      <c r="K304" s="442"/>
      <c r="L304" s="282">
        <f t="shared" si="10"/>
        <v>0</v>
      </c>
    </row>
    <row r="305" spans="1:12" ht="15" customHeight="1" hidden="1">
      <c r="A305" s="281" t="s">
        <v>550</v>
      </c>
      <c r="B305" s="275" t="s">
        <v>1159</v>
      </c>
      <c r="C305" s="275" t="s">
        <v>1063</v>
      </c>
      <c r="D305" s="275" t="s">
        <v>1063</v>
      </c>
      <c r="E305" s="289" t="s">
        <v>793</v>
      </c>
      <c r="F305" s="324" t="s">
        <v>551</v>
      </c>
      <c r="G305" s="282"/>
      <c r="H305" s="442"/>
      <c r="I305" s="282">
        <f t="shared" si="9"/>
        <v>0</v>
      </c>
      <c r="J305" s="282"/>
      <c r="K305" s="442"/>
      <c r="L305" s="282">
        <f t="shared" si="10"/>
        <v>0</v>
      </c>
    </row>
    <row r="306" spans="1:12" ht="30" customHeight="1">
      <c r="A306" s="447" t="s">
        <v>794</v>
      </c>
      <c r="B306" s="275" t="s">
        <v>1159</v>
      </c>
      <c r="C306" s="275" t="s">
        <v>1063</v>
      </c>
      <c r="D306" s="275" t="s">
        <v>1063</v>
      </c>
      <c r="E306" s="289" t="s">
        <v>795</v>
      </c>
      <c r="F306" s="284"/>
      <c r="G306" s="282">
        <f>G307</f>
        <v>749526</v>
      </c>
      <c r="H306" s="442"/>
      <c r="I306" s="282">
        <f t="shared" si="9"/>
        <v>749526</v>
      </c>
      <c r="J306" s="282">
        <f>J307</f>
        <v>582120</v>
      </c>
      <c r="K306" s="442"/>
      <c r="L306" s="282">
        <f t="shared" si="10"/>
        <v>582120</v>
      </c>
    </row>
    <row r="307" spans="1:12" ht="13.5">
      <c r="A307" s="281" t="s">
        <v>550</v>
      </c>
      <c r="B307" s="275" t="s">
        <v>1159</v>
      </c>
      <c r="C307" s="275" t="s">
        <v>1063</v>
      </c>
      <c r="D307" s="275" t="s">
        <v>1063</v>
      </c>
      <c r="E307" s="289" t="s">
        <v>795</v>
      </c>
      <c r="F307" s="324" t="s">
        <v>551</v>
      </c>
      <c r="G307" s="282">
        <f>582120+167406</f>
        <v>749526</v>
      </c>
      <c r="H307" s="442"/>
      <c r="I307" s="282">
        <f t="shared" si="9"/>
        <v>749526</v>
      </c>
      <c r="J307" s="282">
        <v>582120</v>
      </c>
      <c r="K307" s="442"/>
      <c r="L307" s="282">
        <f t="shared" si="10"/>
        <v>582120</v>
      </c>
    </row>
    <row r="308" spans="1:12" ht="13.5">
      <c r="A308" s="281" t="s">
        <v>1124</v>
      </c>
      <c r="B308" s="275" t="s">
        <v>1159</v>
      </c>
      <c r="C308" s="275" t="s">
        <v>1079</v>
      </c>
      <c r="D308" s="275"/>
      <c r="E308" s="289"/>
      <c r="F308" s="324"/>
      <c r="G308" s="282">
        <f>G309</f>
        <v>280884</v>
      </c>
      <c r="H308" s="442"/>
      <c r="I308" s="282">
        <f t="shared" si="9"/>
        <v>280884</v>
      </c>
      <c r="J308" s="282">
        <f>J309</f>
        <v>280884</v>
      </c>
      <c r="K308" s="442"/>
      <c r="L308" s="282">
        <f t="shared" si="10"/>
        <v>280884</v>
      </c>
    </row>
    <row r="309" spans="1:12" ht="13.5">
      <c r="A309" s="288" t="s">
        <v>1125</v>
      </c>
      <c r="B309" s="275" t="s">
        <v>1159</v>
      </c>
      <c r="C309" s="275" t="s">
        <v>1079</v>
      </c>
      <c r="D309" s="275" t="s">
        <v>1063</v>
      </c>
      <c r="E309" s="275"/>
      <c r="F309" s="284"/>
      <c r="G309" s="282">
        <f>G310</f>
        <v>280884</v>
      </c>
      <c r="H309" s="442"/>
      <c r="I309" s="282">
        <f t="shared" si="9"/>
        <v>280884</v>
      </c>
      <c r="J309" s="282">
        <f>J310</f>
        <v>280884</v>
      </c>
      <c r="K309" s="442"/>
      <c r="L309" s="282">
        <f t="shared" si="10"/>
        <v>280884</v>
      </c>
    </row>
    <row r="310" spans="1:12" ht="13.5">
      <c r="A310" s="281" t="s">
        <v>995</v>
      </c>
      <c r="B310" s="275" t="s">
        <v>1159</v>
      </c>
      <c r="C310" s="275" t="s">
        <v>1079</v>
      </c>
      <c r="D310" s="275" t="s">
        <v>1063</v>
      </c>
      <c r="E310" s="298" t="s">
        <v>996</v>
      </c>
      <c r="F310" s="303"/>
      <c r="G310" s="282">
        <f>G311</f>
        <v>280884</v>
      </c>
      <c r="H310" s="442"/>
      <c r="I310" s="282">
        <f t="shared" si="9"/>
        <v>280884</v>
      </c>
      <c r="J310" s="282">
        <f>J311</f>
        <v>280884</v>
      </c>
      <c r="K310" s="442"/>
      <c r="L310" s="282">
        <f t="shared" si="10"/>
        <v>280884</v>
      </c>
    </row>
    <row r="311" spans="1:12" ht="13.5">
      <c r="A311" s="281" t="s">
        <v>1001</v>
      </c>
      <c r="B311" s="275" t="s">
        <v>1159</v>
      </c>
      <c r="C311" s="275" t="s">
        <v>1079</v>
      </c>
      <c r="D311" s="275" t="s">
        <v>1063</v>
      </c>
      <c r="E311" s="275" t="s">
        <v>1002</v>
      </c>
      <c r="F311" s="284"/>
      <c r="G311" s="282">
        <f>G312+G314</f>
        <v>280884</v>
      </c>
      <c r="H311" s="442"/>
      <c r="I311" s="282">
        <f t="shared" si="9"/>
        <v>280884</v>
      </c>
      <c r="J311" s="282">
        <f>J312+J314</f>
        <v>280884</v>
      </c>
      <c r="K311" s="442"/>
      <c r="L311" s="282">
        <f t="shared" si="10"/>
        <v>280884</v>
      </c>
    </row>
    <row r="312" spans="1:12" ht="26.25">
      <c r="A312" s="337" t="s">
        <v>1003</v>
      </c>
      <c r="B312" s="275" t="s">
        <v>1159</v>
      </c>
      <c r="C312" s="275" t="s">
        <v>1079</v>
      </c>
      <c r="D312" s="275" t="s">
        <v>1063</v>
      </c>
      <c r="E312" s="275" t="s">
        <v>1004</v>
      </c>
      <c r="F312" s="284"/>
      <c r="G312" s="282">
        <f>G313</f>
        <v>280884</v>
      </c>
      <c r="H312" s="442"/>
      <c r="I312" s="282">
        <f t="shared" si="9"/>
        <v>280884</v>
      </c>
      <c r="J312" s="282">
        <f>J313</f>
        <v>280884</v>
      </c>
      <c r="K312" s="442"/>
      <c r="L312" s="282">
        <f t="shared" si="10"/>
        <v>280884</v>
      </c>
    </row>
    <row r="313" spans="1:12" ht="26.25">
      <c r="A313" s="290" t="s">
        <v>516</v>
      </c>
      <c r="B313" s="275" t="s">
        <v>1159</v>
      </c>
      <c r="C313" s="275" t="s">
        <v>1079</v>
      </c>
      <c r="D313" s="275" t="s">
        <v>1063</v>
      </c>
      <c r="E313" s="275" t="s">
        <v>1004</v>
      </c>
      <c r="F313" s="303" t="s">
        <v>517</v>
      </c>
      <c r="G313" s="282">
        <f>5758+275126</f>
        <v>280884</v>
      </c>
      <c r="H313" s="442"/>
      <c r="I313" s="282">
        <f t="shared" si="9"/>
        <v>280884</v>
      </c>
      <c r="J313" s="282">
        <f>5758+275126</f>
        <v>280884</v>
      </c>
      <c r="K313" s="442"/>
      <c r="L313" s="282">
        <f t="shared" si="10"/>
        <v>280884</v>
      </c>
    </row>
    <row r="314" spans="1:12" ht="46.5" customHeight="1" hidden="1">
      <c r="A314" s="288" t="s">
        <v>1126</v>
      </c>
      <c r="B314" s="275" t="s">
        <v>1159</v>
      </c>
      <c r="C314" s="275" t="s">
        <v>1079</v>
      </c>
      <c r="D314" s="275" t="s">
        <v>1063</v>
      </c>
      <c r="E314" s="275" t="s">
        <v>1006</v>
      </c>
      <c r="F314" s="284"/>
      <c r="G314" s="282">
        <f>G315</f>
        <v>0</v>
      </c>
      <c r="H314" s="442"/>
      <c r="I314" s="282">
        <f t="shared" si="9"/>
        <v>0</v>
      </c>
      <c r="J314" s="282">
        <f>J315</f>
        <v>0</v>
      </c>
      <c r="K314" s="442"/>
      <c r="L314" s="282">
        <f t="shared" si="10"/>
        <v>0</v>
      </c>
    </row>
    <row r="315" spans="1:12" ht="26.25" customHeight="1" hidden="1">
      <c r="A315" s="290" t="s">
        <v>516</v>
      </c>
      <c r="B315" s="275" t="s">
        <v>1159</v>
      </c>
      <c r="C315" s="275" t="s">
        <v>1079</v>
      </c>
      <c r="D315" s="275" t="s">
        <v>1063</v>
      </c>
      <c r="E315" s="275" t="s">
        <v>1006</v>
      </c>
      <c r="F315" s="303" t="s">
        <v>523</v>
      </c>
      <c r="G315" s="282"/>
      <c r="H315" s="442"/>
      <c r="I315" s="282">
        <f t="shared" si="9"/>
        <v>0</v>
      </c>
      <c r="J315" s="282"/>
      <c r="K315" s="442"/>
      <c r="L315" s="282">
        <f t="shared" si="10"/>
        <v>0</v>
      </c>
    </row>
    <row r="316" spans="1:12" ht="17.25" customHeight="1">
      <c r="A316" s="281" t="s">
        <v>1127</v>
      </c>
      <c r="B316" s="275" t="s">
        <v>1159</v>
      </c>
      <c r="C316" s="275" t="s">
        <v>1128</v>
      </c>
      <c r="D316" s="275"/>
      <c r="E316" s="289"/>
      <c r="F316" s="324"/>
      <c r="G316" s="282">
        <f>G317+G323+G339</f>
        <v>12602756</v>
      </c>
      <c r="H316" s="442"/>
      <c r="I316" s="282">
        <f t="shared" si="9"/>
        <v>12602756</v>
      </c>
      <c r="J316" s="282">
        <f>J317+J323+J339</f>
        <v>12602756</v>
      </c>
      <c r="K316" s="442"/>
      <c r="L316" s="282">
        <f t="shared" si="10"/>
        <v>12602756</v>
      </c>
    </row>
    <row r="317" spans="1:12" ht="13.5">
      <c r="A317" s="281" t="s">
        <v>1129</v>
      </c>
      <c r="B317" s="275" t="s">
        <v>1159</v>
      </c>
      <c r="C317" s="275" t="s">
        <v>1128</v>
      </c>
      <c r="D317" s="275" t="s">
        <v>1047</v>
      </c>
      <c r="E317" s="275"/>
      <c r="F317" s="284"/>
      <c r="G317" s="282">
        <f>G318</f>
        <v>148731</v>
      </c>
      <c r="H317" s="442"/>
      <c r="I317" s="282">
        <f t="shared" si="9"/>
        <v>148731</v>
      </c>
      <c r="J317" s="282">
        <f>J318</f>
        <v>148731</v>
      </c>
      <c r="K317" s="442"/>
      <c r="L317" s="282">
        <f t="shared" si="10"/>
        <v>148731</v>
      </c>
    </row>
    <row r="318" spans="1:12" ht="47.25" customHeight="1">
      <c r="A318" s="281" t="s">
        <v>555</v>
      </c>
      <c r="B318" s="275" t="s">
        <v>1159</v>
      </c>
      <c r="C318" s="275" t="s">
        <v>1128</v>
      </c>
      <c r="D318" s="275" t="s">
        <v>1047</v>
      </c>
      <c r="E318" s="275" t="s">
        <v>556</v>
      </c>
      <c r="F318" s="284"/>
      <c r="G318" s="282">
        <f>G319</f>
        <v>148731</v>
      </c>
      <c r="H318" s="442"/>
      <c r="I318" s="282">
        <f t="shared" si="9"/>
        <v>148731</v>
      </c>
      <c r="J318" s="282">
        <f>J319</f>
        <v>148731</v>
      </c>
      <c r="K318" s="442"/>
      <c r="L318" s="282">
        <f t="shared" si="10"/>
        <v>148731</v>
      </c>
    </row>
    <row r="319" spans="1:12" ht="51.75" customHeight="1">
      <c r="A319" s="451" t="s">
        <v>1130</v>
      </c>
      <c r="B319" s="275" t="s">
        <v>1159</v>
      </c>
      <c r="C319" s="443" t="s">
        <v>1128</v>
      </c>
      <c r="D319" s="443" t="s">
        <v>1047</v>
      </c>
      <c r="E319" s="443" t="s">
        <v>558</v>
      </c>
      <c r="F319" s="448"/>
      <c r="G319" s="446">
        <f>G321</f>
        <v>148731</v>
      </c>
      <c r="H319" s="442"/>
      <c r="I319" s="282">
        <f t="shared" si="9"/>
        <v>148731</v>
      </c>
      <c r="J319" s="446">
        <f>J321</f>
        <v>148731</v>
      </c>
      <c r="K319" s="442"/>
      <c r="L319" s="282">
        <f t="shared" si="10"/>
        <v>148731</v>
      </c>
    </row>
    <row r="320" spans="1:12" ht="30.75" customHeight="1">
      <c r="A320" s="297" t="s">
        <v>575</v>
      </c>
      <c r="B320" s="275" t="s">
        <v>1159</v>
      </c>
      <c r="C320" s="275" t="s">
        <v>1128</v>
      </c>
      <c r="D320" s="275" t="s">
        <v>1047</v>
      </c>
      <c r="E320" s="275" t="s">
        <v>576</v>
      </c>
      <c r="F320" s="284"/>
      <c r="G320" s="282">
        <f>G321</f>
        <v>148731</v>
      </c>
      <c r="H320" s="442"/>
      <c r="I320" s="282">
        <f t="shared" si="9"/>
        <v>148731</v>
      </c>
      <c r="J320" s="282">
        <f>J321</f>
        <v>148731</v>
      </c>
      <c r="K320" s="442"/>
      <c r="L320" s="282">
        <f t="shared" si="10"/>
        <v>148731</v>
      </c>
    </row>
    <row r="321" spans="1:12" ht="33" customHeight="1">
      <c r="A321" s="451" t="s">
        <v>577</v>
      </c>
      <c r="B321" s="275" t="s">
        <v>1159</v>
      </c>
      <c r="C321" s="275" t="s">
        <v>1131</v>
      </c>
      <c r="D321" s="275" t="s">
        <v>1047</v>
      </c>
      <c r="E321" s="275" t="s">
        <v>1132</v>
      </c>
      <c r="F321" s="284"/>
      <c r="G321" s="282">
        <f>G322</f>
        <v>148731</v>
      </c>
      <c r="H321" s="442"/>
      <c r="I321" s="282">
        <f t="shared" si="9"/>
        <v>148731</v>
      </c>
      <c r="J321" s="282">
        <f>J322</f>
        <v>148731</v>
      </c>
      <c r="K321" s="442"/>
      <c r="L321" s="282">
        <f t="shared" si="10"/>
        <v>148731</v>
      </c>
    </row>
    <row r="322" spans="1:12" ht="13.5">
      <c r="A322" s="292" t="s">
        <v>550</v>
      </c>
      <c r="B322" s="275" t="s">
        <v>1159</v>
      </c>
      <c r="C322" s="275" t="s">
        <v>1131</v>
      </c>
      <c r="D322" s="275" t="s">
        <v>1047</v>
      </c>
      <c r="E322" s="275" t="s">
        <v>1132</v>
      </c>
      <c r="F322" s="284" t="s">
        <v>551</v>
      </c>
      <c r="G322" s="282">
        <v>148731</v>
      </c>
      <c r="H322" s="442"/>
      <c r="I322" s="282">
        <f t="shared" si="9"/>
        <v>148731</v>
      </c>
      <c r="J322" s="282">
        <v>148731</v>
      </c>
      <c r="K322" s="442"/>
      <c r="L322" s="282">
        <f t="shared" si="10"/>
        <v>148731</v>
      </c>
    </row>
    <row r="323" spans="1:12" ht="17.25" customHeight="1">
      <c r="A323" s="281" t="s">
        <v>1133</v>
      </c>
      <c r="B323" s="275" t="s">
        <v>1159</v>
      </c>
      <c r="C323" s="275">
        <v>10</v>
      </c>
      <c r="D323" s="275" t="s">
        <v>1051</v>
      </c>
      <c r="E323" s="275"/>
      <c r="F323" s="284"/>
      <c r="G323" s="282">
        <f>G324</f>
        <v>10897141</v>
      </c>
      <c r="H323" s="442"/>
      <c r="I323" s="282">
        <f t="shared" si="9"/>
        <v>10897141</v>
      </c>
      <c r="J323" s="282">
        <f>J324</f>
        <v>10897141</v>
      </c>
      <c r="K323" s="442"/>
      <c r="L323" s="282">
        <f t="shared" si="10"/>
        <v>10897141</v>
      </c>
    </row>
    <row r="324" spans="1:12" ht="44.25" customHeight="1">
      <c r="A324" s="281" t="s">
        <v>555</v>
      </c>
      <c r="B324" s="275" t="s">
        <v>1159</v>
      </c>
      <c r="C324" s="275">
        <v>10</v>
      </c>
      <c r="D324" s="275" t="s">
        <v>1051</v>
      </c>
      <c r="E324" s="275" t="s">
        <v>556</v>
      </c>
      <c r="F324" s="284"/>
      <c r="G324" s="282">
        <f>G325</f>
        <v>10897141</v>
      </c>
      <c r="H324" s="442"/>
      <c r="I324" s="282">
        <f t="shared" si="9"/>
        <v>10897141</v>
      </c>
      <c r="J324" s="282">
        <f>J325</f>
        <v>10897141</v>
      </c>
      <c r="K324" s="442"/>
      <c r="L324" s="282">
        <f t="shared" si="10"/>
        <v>10897141</v>
      </c>
    </row>
    <row r="325" spans="1:12" ht="59.25" customHeight="1">
      <c r="A325" s="300" t="s">
        <v>557</v>
      </c>
      <c r="B325" s="275" t="s">
        <v>1159</v>
      </c>
      <c r="C325" s="443">
        <v>10</v>
      </c>
      <c r="D325" s="443" t="s">
        <v>1051</v>
      </c>
      <c r="E325" s="443" t="s">
        <v>558</v>
      </c>
      <c r="F325" s="448"/>
      <c r="G325" s="446">
        <f>G326</f>
        <v>10897141</v>
      </c>
      <c r="H325" s="442"/>
      <c r="I325" s="282">
        <f t="shared" si="9"/>
        <v>10897141</v>
      </c>
      <c r="J325" s="446">
        <f>J326</f>
        <v>10897141</v>
      </c>
      <c r="K325" s="442"/>
      <c r="L325" s="282">
        <f t="shared" si="10"/>
        <v>10897141</v>
      </c>
    </row>
    <row r="326" spans="1:12" ht="35.25" customHeight="1">
      <c r="A326" s="300" t="s">
        <v>559</v>
      </c>
      <c r="B326" s="275" t="s">
        <v>1159</v>
      </c>
      <c r="C326" s="275">
        <v>10</v>
      </c>
      <c r="D326" s="275" t="s">
        <v>1051</v>
      </c>
      <c r="E326" s="275" t="s">
        <v>560</v>
      </c>
      <c r="F326" s="284"/>
      <c r="G326" s="282">
        <f>G327+G330+G333+G336</f>
        <v>10897141</v>
      </c>
      <c r="H326" s="442"/>
      <c r="I326" s="282">
        <f t="shared" si="9"/>
        <v>10897141</v>
      </c>
      <c r="J326" s="282">
        <f>J327+J330+J333+J336</f>
        <v>10897141</v>
      </c>
      <c r="K326" s="442"/>
      <c r="L326" s="282">
        <f t="shared" si="10"/>
        <v>10897141</v>
      </c>
    </row>
    <row r="327" spans="1:12" ht="26.25">
      <c r="A327" s="296" t="s">
        <v>563</v>
      </c>
      <c r="B327" s="275" t="s">
        <v>1159</v>
      </c>
      <c r="C327" s="275">
        <v>10</v>
      </c>
      <c r="D327" s="275" t="s">
        <v>1051</v>
      </c>
      <c r="E327" s="275" t="s">
        <v>564</v>
      </c>
      <c r="F327" s="284"/>
      <c r="G327" s="282">
        <f>G329+G328</f>
        <v>63415</v>
      </c>
      <c r="H327" s="442"/>
      <c r="I327" s="282">
        <f t="shared" si="9"/>
        <v>63415</v>
      </c>
      <c r="J327" s="282">
        <f>J329+J328</f>
        <v>63415</v>
      </c>
      <c r="K327" s="442"/>
      <c r="L327" s="282">
        <f t="shared" si="10"/>
        <v>63415</v>
      </c>
    </row>
    <row r="328" spans="1:12" ht="15" customHeight="1">
      <c r="A328" s="290" t="s">
        <v>516</v>
      </c>
      <c r="B328" s="275" t="s">
        <v>1159</v>
      </c>
      <c r="C328" s="275">
        <v>10</v>
      </c>
      <c r="D328" s="275" t="s">
        <v>1051</v>
      </c>
      <c r="E328" s="275" t="s">
        <v>564</v>
      </c>
      <c r="F328" s="284" t="s">
        <v>517</v>
      </c>
      <c r="G328" s="282">
        <v>980</v>
      </c>
      <c r="H328" s="442"/>
      <c r="I328" s="282">
        <f t="shared" si="9"/>
        <v>980</v>
      </c>
      <c r="J328" s="282">
        <v>980</v>
      </c>
      <c r="K328" s="442"/>
      <c r="L328" s="282">
        <f t="shared" si="10"/>
        <v>980</v>
      </c>
    </row>
    <row r="329" spans="1:12" ht="17.25" customHeight="1">
      <c r="A329" s="301" t="s">
        <v>550</v>
      </c>
      <c r="B329" s="275" t="s">
        <v>1159</v>
      </c>
      <c r="C329" s="275">
        <v>10</v>
      </c>
      <c r="D329" s="275" t="s">
        <v>1051</v>
      </c>
      <c r="E329" s="275" t="s">
        <v>564</v>
      </c>
      <c r="F329" s="284" t="s">
        <v>551</v>
      </c>
      <c r="G329" s="282">
        <v>62435</v>
      </c>
      <c r="H329" s="442"/>
      <c r="I329" s="282">
        <f t="shared" si="9"/>
        <v>62435</v>
      </c>
      <c r="J329" s="282">
        <v>62435</v>
      </c>
      <c r="K329" s="442"/>
      <c r="L329" s="282">
        <f t="shared" si="10"/>
        <v>62435</v>
      </c>
    </row>
    <row r="330" spans="1:12" ht="34.5" customHeight="1">
      <c r="A330" s="296" t="s">
        <v>565</v>
      </c>
      <c r="B330" s="275" t="s">
        <v>1159</v>
      </c>
      <c r="C330" s="275">
        <v>10</v>
      </c>
      <c r="D330" s="275" t="s">
        <v>1051</v>
      </c>
      <c r="E330" s="275" t="s">
        <v>566</v>
      </c>
      <c r="F330" s="284"/>
      <c r="G330" s="282">
        <f>G332+G331</f>
        <v>295849</v>
      </c>
      <c r="H330" s="442"/>
      <c r="I330" s="282">
        <f t="shared" si="9"/>
        <v>295849</v>
      </c>
      <c r="J330" s="282">
        <f>J332+J331</f>
        <v>295849</v>
      </c>
      <c r="K330" s="442"/>
      <c r="L330" s="282">
        <f t="shared" si="10"/>
        <v>295849</v>
      </c>
    </row>
    <row r="331" spans="1:12" ht="15.75" customHeight="1">
      <c r="A331" s="290" t="s">
        <v>516</v>
      </c>
      <c r="B331" s="275" t="s">
        <v>1159</v>
      </c>
      <c r="C331" s="275">
        <v>10</v>
      </c>
      <c r="D331" s="275" t="s">
        <v>1051</v>
      </c>
      <c r="E331" s="275" t="s">
        <v>566</v>
      </c>
      <c r="F331" s="284" t="s">
        <v>517</v>
      </c>
      <c r="G331" s="282">
        <v>5240</v>
      </c>
      <c r="H331" s="442"/>
      <c r="I331" s="282">
        <f t="shared" si="9"/>
        <v>5240</v>
      </c>
      <c r="J331" s="282">
        <v>5240</v>
      </c>
      <c r="K331" s="442"/>
      <c r="L331" s="282">
        <f t="shared" si="10"/>
        <v>5240</v>
      </c>
    </row>
    <row r="332" spans="1:12" ht="24.75" customHeight="1">
      <c r="A332" s="301" t="s">
        <v>550</v>
      </c>
      <c r="B332" s="275" t="s">
        <v>1159</v>
      </c>
      <c r="C332" s="275">
        <v>10</v>
      </c>
      <c r="D332" s="275" t="s">
        <v>1051</v>
      </c>
      <c r="E332" s="275" t="s">
        <v>566</v>
      </c>
      <c r="F332" s="284" t="s">
        <v>551</v>
      </c>
      <c r="G332" s="282">
        <v>290609</v>
      </c>
      <c r="H332" s="442"/>
      <c r="I332" s="282">
        <f t="shared" si="9"/>
        <v>290609</v>
      </c>
      <c r="J332" s="282">
        <v>290609</v>
      </c>
      <c r="K332" s="442"/>
      <c r="L332" s="282">
        <f t="shared" si="10"/>
        <v>290609</v>
      </c>
    </row>
    <row r="333" spans="1:12" ht="18.75" customHeight="1">
      <c r="A333" s="281" t="s">
        <v>567</v>
      </c>
      <c r="B333" s="275" t="s">
        <v>1159</v>
      </c>
      <c r="C333" s="275">
        <v>10</v>
      </c>
      <c r="D333" s="275" t="s">
        <v>1051</v>
      </c>
      <c r="E333" s="275" t="s">
        <v>568</v>
      </c>
      <c r="F333" s="284"/>
      <c r="G333" s="282">
        <f>G335+G334</f>
        <v>9062577</v>
      </c>
      <c r="H333" s="442"/>
      <c r="I333" s="282">
        <f t="shared" si="9"/>
        <v>9062577</v>
      </c>
      <c r="J333" s="282">
        <f>J335+J334</f>
        <v>9062577</v>
      </c>
      <c r="K333" s="442"/>
      <c r="L333" s="282">
        <f t="shared" si="10"/>
        <v>9062577</v>
      </c>
    </row>
    <row r="334" spans="1:12" ht="39.75" customHeight="1">
      <c r="A334" s="290" t="s">
        <v>516</v>
      </c>
      <c r="B334" s="275" t="s">
        <v>1159</v>
      </c>
      <c r="C334" s="275">
        <v>10</v>
      </c>
      <c r="D334" s="275" t="s">
        <v>1051</v>
      </c>
      <c r="E334" s="275" t="s">
        <v>568</v>
      </c>
      <c r="F334" s="284" t="s">
        <v>517</v>
      </c>
      <c r="G334" s="282">
        <v>148440</v>
      </c>
      <c r="H334" s="442"/>
      <c r="I334" s="282">
        <f t="shared" si="9"/>
        <v>148440</v>
      </c>
      <c r="J334" s="282">
        <v>148440</v>
      </c>
      <c r="K334" s="442"/>
      <c r="L334" s="282">
        <f t="shared" si="10"/>
        <v>148440</v>
      </c>
    </row>
    <row r="335" spans="1:12" ht="20.25" customHeight="1">
      <c r="A335" s="301" t="s">
        <v>550</v>
      </c>
      <c r="B335" s="275" t="s">
        <v>1159</v>
      </c>
      <c r="C335" s="275">
        <v>10</v>
      </c>
      <c r="D335" s="275" t="s">
        <v>1051</v>
      </c>
      <c r="E335" s="275" t="s">
        <v>568</v>
      </c>
      <c r="F335" s="284" t="s">
        <v>551</v>
      </c>
      <c r="G335" s="282">
        <v>8914137</v>
      </c>
      <c r="H335" s="442"/>
      <c r="I335" s="282">
        <f t="shared" si="9"/>
        <v>8914137</v>
      </c>
      <c r="J335" s="282">
        <v>8914137</v>
      </c>
      <c r="K335" s="442"/>
      <c r="L335" s="282">
        <f t="shared" si="10"/>
        <v>8914137</v>
      </c>
    </row>
    <row r="336" spans="1:12" s="255" customFormat="1" ht="13.5">
      <c r="A336" s="281" t="s">
        <v>569</v>
      </c>
      <c r="B336" s="275" t="s">
        <v>1159</v>
      </c>
      <c r="C336" s="275">
        <v>10</v>
      </c>
      <c r="D336" s="275" t="s">
        <v>1051</v>
      </c>
      <c r="E336" s="275" t="s">
        <v>570</v>
      </c>
      <c r="F336" s="284"/>
      <c r="G336" s="282">
        <f>G338+G337</f>
        <v>1475300</v>
      </c>
      <c r="H336" s="442"/>
      <c r="I336" s="282">
        <f t="shared" si="9"/>
        <v>1475300</v>
      </c>
      <c r="J336" s="282">
        <f>J338+J337</f>
        <v>1475300</v>
      </c>
      <c r="K336" s="442"/>
      <c r="L336" s="282">
        <f t="shared" si="10"/>
        <v>1475300</v>
      </c>
    </row>
    <row r="337" spans="1:12" ht="26.25">
      <c r="A337" s="290" t="s">
        <v>516</v>
      </c>
      <c r="B337" s="275" t="s">
        <v>1159</v>
      </c>
      <c r="C337" s="275">
        <v>10</v>
      </c>
      <c r="D337" s="275" t="s">
        <v>1051</v>
      </c>
      <c r="E337" s="275" t="s">
        <v>570</v>
      </c>
      <c r="F337" s="284" t="s">
        <v>517</v>
      </c>
      <c r="G337" s="282">
        <v>24490</v>
      </c>
      <c r="H337" s="442"/>
      <c r="I337" s="282">
        <f t="shared" si="9"/>
        <v>24490</v>
      </c>
      <c r="J337" s="282">
        <v>24490</v>
      </c>
      <c r="K337" s="442"/>
      <c r="L337" s="282">
        <f t="shared" si="10"/>
        <v>24490</v>
      </c>
    </row>
    <row r="338" spans="1:12" ht="13.5">
      <c r="A338" s="301" t="s">
        <v>550</v>
      </c>
      <c r="B338" s="275" t="s">
        <v>1159</v>
      </c>
      <c r="C338" s="275">
        <v>10</v>
      </c>
      <c r="D338" s="275" t="s">
        <v>1051</v>
      </c>
      <c r="E338" s="275" t="s">
        <v>570</v>
      </c>
      <c r="F338" s="284" t="s">
        <v>551</v>
      </c>
      <c r="G338" s="282">
        <v>1450810</v>
      </c>
      <c r="H338" s="442"/>
      <c r="I338" s="282">
        <f t="shared" si="9"/>
        <v>1450810</v>
      </c>
      <c r="J338" s="282">
        <v>1450810</v>
      </c>
      <c r="K338" s="442"/>
      <c r="L338" s="282">
        <f t="shared" si="10"/>
        <v>1450810</v>
      </c>
    </row>
    <row r="339" spans="1:12" ht="24" customHeight="1">
      <c r="A339" s="281" t="s">
        <v>1135</v>
      </c>
      <c r="B339" s="275" t="s">
        <v>1159</v>
      </c>
      <c r="C339" s="275">
        <v>10</v>
      </c>
      <c r="D339" s="275" t="s">
        <v>1054</v>
      </c>
      <c r="E339" s="275"/>
      <c r="F339" s="284"/>
      <c r="G339" s="282">
        <f>G340</f>
        <v>1556884</v>
      </c>
      <c r="H339" s="282">
        <f>H340</f>
        <v>0</v>
      </c>
      <c r="I339" s="282">
        <f t="shared" si="9"/>
        <v>1556884</v>
      </c>
      <c r="J339" s="282">
        <f>J340</f>
        <v>1556884</v>
      </c>
      <c r="K339" s="282">
        <f>K340</f>
        <v>0</v>
      </c>
      <c r="L339" s="282">
        <f t="shared" si="10"/>
        <v>1556884</v>
      </c>
    </row>
    <row r="340" spans="1:12" ht="44.25" customHeight="1">
      <c r="A340" s="281" t="s">
        <v>1163</v>
      </c>
      <c r="B340" s="275" t="s">
        <v>1159</v>
      </c>
      <c r="C340" s="275">
        <v>10</v>
      </c>
      <c r="D340" s="275" t="s">
        <v>1054</v>
      </c>
      <c r="E340" s="309" t="s">
        <v>556</v>
      </c>
      <c r="F340" s="284"/>
      <c r="G340" s="282">
        <f>G341</f>
        <v>1556884</v>
      </c>
      <c r="H340" s="282">
        <f>H341</f>
        <v>0</v>
      </c>
      <c r="I340" s="282">
        <f t="shared" si="9"/>
        <v>1556884</v>
      </c>
      <c r="J340" s="282">
        <f>J341</f>
        <v>1556884</v>
      </c>
      <c r="K340" s="282">
        <f>K341</f>
        <v>0</v>
      </c>
      <c r="L340" s="282">
        <f t="shared" si="10"/>
        <v>1556884</v>
      </c>
    </row>
    <row r="341" spans="1:12" ht="54.75" customHeight="1">
      <c r="A341" s="300" t="s">
        <v>557</v>
      </c>
      <c r="B341" s="275" t="s">
        <v>1159</v>
      </c>
      <c r="C341" s="275">
        <v>10</v>
      </c>
      <c r="D341" s="275" t="s">
        <v>1054</v>
      </c>
      <c r="E341" s="309" t="s">
        <v>558</v>
      </c>
      <c r="F341" s="284"/>
      <c r="G341" s="282">
        <f>G342</f>
        <v>1556884</v>
      </c>
      <c r="H341" s="282">
        <f>H343+H344</f>
        <v>0</v>
      </c>
      <c r="I341" s="282">
        <f t="shared" si="9"/>
        <v>1556884</v>
      </c>
      <c r="J341" s="282">
        <f>J342</f>
        <v>1556884</v>
      </c>
      <c r="K341" s="282">
        <f>K343+K344</f>
        <v>0</v>
      </c>
      <c r="L341" s="282">
        <f t="shared" si="10"/>
        <v>1556884</v>
      </c>
    </row>
    <row r="342" spans="1:12" ht="30.75" customHeight="1">
      <c r="A342" s="300" t="s">
        <v>559</v>
      </c>
      <c r="B342" s="275" t="s">
        <v>1159</v>
      </c>
      <c r="C342" s="275">
        <v>10</v>
      </c>
      <c r="D342" s="275" t="s">
        <v>1051</v>
      </c>
      <c r="E342" s="275" t="s">
        <v>560</v>
      </c>
      <c r="F342" s="284"/>
      <c r="G342" s="282">
        <f>G343+G344</f>
        <v>1556884</v>
      </c>
      <c r="H342" s="282"/>
      <c r="I342" s="282">
        <f t="shared" si="9"/>
        <v>1556884</v>
      </c>
      <c r="J342" s="282">
        <f>J343+J344</f>
        <v>1556884</v>
      </c>
      <c r="K342" s="282"/>
      <c r="L342" s="282">
        <f t="shared" si="10"/>
        <v>1556884</v>
      </c>
    </row>
    <row r="343" spans="1:12" ht="24" customHeight="1">
      <c r="A343" s="281" t="s">
        <v>561</v>
      </c>
      <c r="B343" s="275" t="s">
        <v>1159</v>
      </c>
      <c r="C343" s="275" t="s">
        <v>1128</v>
      </c>
      <c r="D343" s="275" t="s">
        <v>1054</v>
      </c>
      <c r="E343" s="275" t="s">
        <v>562</v>
      </c>
      <c r="F343" s="284" t="s">
        <v>517</v>
      </c>
      <c r="G343" s="282">
        <v>280</v>
      </c>
      <c r="H343" s="442"/>
      <c r="I343" s="282">
        <f t="shared" si="9"/>
        <v>280</v>
      </c>
      <c r="J343" s="282">
        <v>280</v>
      </c>
      <c r="K343" s="442"/>
      <c r="L343" s="282">
        <f t="shared" si="10"/>
        <v>280</v>
      </c>
    </row>
    <row r="344" spans="1:12" ht="26.25">
      <c r="A344" s="290" t="s">
        <v>516</v>
      </c>
      <c r="B344" s="275" t="s">
        <v>1159</v>
      </c>
      <c r="C344" s="275" t="s">
        <v>1128</v>
      </c>
      <c r="D344" s="275" t="s">
        <v>1054</v>
      </c>
      <c r="E344" s="275" t="s">
        <v>562</v>
      </c>
      <c r="F344" s="284" t="s">
        <v>551</v>
      </c>
      <c r="G344" s="282">
        <v>1556604</v>
      </c>
      <c r="H344" s="442"/>
      <c r="I344" s="282">
        <f t="shared" si="9"/>
        <v>1556604</v>
      </c>
      <c r="J344" s="282">
        <v>1556604</v>
      </c>
      <c r="K344" s="442"/>
      <c r="L344" s="282">
        <f t="shared" si="10"/>
        <v>1556604</v>
      </c>
    </row>
    <row r="345" spans="1:12" ht="13.5">
      <c r="A345" s="281" t="s">
        <v>1137</v>
      </c>
      <c r="B345" s="275" t="s">
        <v>1159</v>
      </c>
      <c r="C345" s="275" t="s">
        <v>1065</v>
      </c>
      <c r="D345" s="275"/>
      <c r="E345" s="275"/>
      <c r="F345" s="284"/>
      <c r="G345" s="282">
        <f>G346</f>
        <v>100000</v>
      </c>
      <c r="H345" s="442"/>
      <c r="I345" s="282">
        <f t="shared" si="9"/>
        <v>100000</v>
      </c>
      <c r="J345" s="282">
        <f>J346</f>
        <v>100000</v>
      </c>
      <c r="K345" s="442"/>
      <c r="L345" s="282">
        <f t="shared" si="10"/>
        <v>100000</v>
      </c>
    </row>
    <row r="346" spans="1:12" ht="13.5">
      <c r="A346" s="281" t="s">
        <v>1138</v>
      </c>
      <c r="B346" s="275" t="s">
        <v>1159</v>
      </c>
      <c r="C346" s="275" t="s">
        <v>1065</v>
      </c>
      <c r="D346" s="275" t="s">
        <v>1047</v>
      </c>
      <c r="E346" s="275"/>
      <c r="F346" s="284"/>
      <c r="G346" s="282">
        <f>G347</f>
        <v>100000</v>
      </c>
      <c r="H346" s="442"/>
      <c r="I346" s="282">
        <f t="shared" si="9"/>
        <v>100000</v>
      </c>
      <c r="J346" s="282">
        <f>J347</f>
        <v>100000</v>
      </c>
      <c r="K346" s="442"/>
      <c r="L346" s="282">
        <f t="shared" si="10"/>
        <v>100000</v>
      </c>
    </row>
    <row r="347" spans="1:12" ht="54.75" customHeight="1">
      <c r="A347" s="288" t="s">
        <v>771</v>
      </c>
      <c r="B347" s="275" t="s">
        <v>1159</v>
      </c>
      <c r="C347" s="275" t="s">
        <v>1065</v>
      </c>
      <c r="D347" s="275" t="s">
        <v>1047</v>
      </c>
      <c r="E347" s="289" t="s">
        <v>772</v>
      </c>
      <c r="F347" s="284"/>
      <c r="G347" s="282">
        <f>G348</f>
        <v>100000</v>
      </c>
      <c r="H347" s="442"/>
      <c r="I347" s="282">
        <f t="shared" si="9"/>
        <v>100000</v>
      </c>
      <c r="J347" s="282">
        <f>J348</f>
        <v>100000</v>
      </c>
      <c r="K347" s="442"/>
      <c r="L347" s="282">
        <f t="shared" si="10"/>
        <v>100000</v>
      </c>
    </row>
    <row r="348" spans="1:12" ht="75" customHeight="1">
      <c r="A348" s="451" t="s">
        <v>779</v>
      </c>
      <c r="B348" s="275" t="s">
        <v>1159</v>
      </c>
      <c r="C348" s="443" t="s">
        <v>1065</v>
      </c>
      <c r="D348" s="443" t="s">
        <v>1047</v>
      </c>
      <c r="E348" s="453" t="s">
        <v>780</v>
      </c>
      <c r="F348" s="448"/>
      <c r="G348" s="446">
        <f>G349</f>
        <v>100000</v>
      </c>
      <c r="H348" s="442"/>
      <c r="I348" s="282">
        <f t="shared" si="9"/>
        <v>100000</v>
      </c>
      <c r="J348" s="446">
        <f>J349</f>
        <v>100000</v>
      </c>
      <c r="K348" s="442"/>
      <c r="L348" s="282">
        <f t="shared" si="10"/>
        <v>100000</v>
      </c>
    </row>
    <row r="349" spans="1:12" ht="44.25" customHeight="1">
      <c r="A349" s="451" t="s">
        <v>781</v>
      </c>
      <c r="B349" s="275" t="s">
        <v>1159</v>
      </c>
      <c r="C349" s="275" t="s">
        <v>1065</v>
      </c>
      <c r="D349" s="275" t="s">
        <v>1047</v>
      </c>
      <c r="E349" s="289" t="s">
        <v>782</v>
      </c>
      <c r="F349" s="284"/>
      <c r="G349" s="282">
        <f>G350</f>
        <v>100000</v>
      </c>
      <c r="H349" s="442"/>
      <c r="I349" s="282">
        <f t="shared" si="9"/>
        <v>100000</v>
      </c>
      <c r="J349" s="282">
        <f>J350</f>
        <v>100000</v>
      </c>
      <c r="K349" s="442"/>
      <c r="L349" s="282">
        <f t="shared" si="10"/>
        <v>100000</v>
      </c>
    </row>
    <row r="350" spans="1:12" ht="39.75" customHeight="1">
      <c r="A350" s="281" t="s">
        <v>783</v>
      </c>
      <c r="B350" s="275" t="s">
        <v>1159</v>
      </c>
      <c r="C350" s="275" t="s">
        <v>1065</v>
      </c>
      <c r="D350" s="275" t="s">
        <v>1047</v>
      </c>
      <c r="E350" s="289" t="s">
        <v>784</v>
      </c>
      <c r="F350" s="284"/>
      <c r="G350" s="282">
        <f>G352+G351</f>
        <v>100000</v>
      </c>
      <c r="H350" s="442"/>
      <c r="I350" s="282">
        <f t="shared" si="9"/>
        <v>100000</v>
      </c>
      <c r="J350" s="282">
        <f>J352+J351</f>
        <v>100000</v>
      </c>
      <c r="K350" s="442"/>
      <c r="L350" s="282">
        <f t="shared" si="10"/>
        <v>100000</v>
      </c>
    </row>
    <row r="351" spans="1:12" ht="43.5" customHeight="1" hidden="1">
      <c r="A351" s="290" t="s">
        <v>522</v>
      </c>
      <c r="B351" s="275" t="s">
        <v>1159</v>
      </c>
      <c r="C351" s="275" t="s">
        <v>1065</v>
      </c>
      <c r="D351" s="275" t="s">
        <v>1047</v>
      </c>
      <c r="E351" s="289" t="s">
        <v>784</v>
      </c>
      <c r="F351" s="284" t="s">
        <v>523</v>
      </c>
      <c r="G351" s="282">
        <f>3195-3195</f>
        <v>0</v>
      </c>
      <c r="H351" s="442"/>
      <c r="I351" s="282">
        <f t="shared" si="9"/>
        <v>0</v>
      </c>
      <c r="J351" s="282">
        <f>3195-3195</f>
        <v>0</v>
      </c>
      <c r="K351" s="442"/>
      <c r="L351" s="282">
        <f t="shared" si="10"/>
        <v>0</v>
      </c>
    </row>
    <row r="352" spans="1:12" ht="30.75" customHeight="1">
      <c r="A352" s="290" t="s">
        <v>516</v>
      </c>
      <c r="B352" s="275" t="s">
        <v>1159</v>
      </c>
      <c r="C352" s="275" t="s">
        <v>1065</v>
      </c>
      <c r="D352" s="275" t="s">
        <v>1047</v>
      </c>
      <c r="E352" s="289" t="s">
        <v>784</v>
      </c>
      <c r="F352" s="284" t="s">
        <v>517</v>
      </c>
      <c r="G352" s="282">
        <v>100000</v>
      </c>
      <c r="H352" s="442"/>
      <c r="I352" s="282">
        <f aca="true" t="shared" si="11" ref="I352:I374">G352+H352</f>
        <v>100000</v>
      </c>
      <c r="J352" s="282">
        <v>100000</v>
      </c>
      <c r="K352" s="442"/>
      <c r="L352" s="282">
        <f t="shared" si="10"/>
        <v>100000</v>
      </c>
    </row>
    <row r="353" spans="1:12" ht="38.25" customHeight="1" hidden="1">
      <c r="A353" s="451" t="s">
        <v>785</v>
      </c>
      <c r="B353" s="275" t="s">
        <v>1159</v>
      </c>
      <c r="C353" s="275" t="s">
        <v>1065</v>
      </c>
      <c r="D353" s="275" t="s">
        <v>1047</v>
      </c>
      <c r="E353" s="289" t="s">
        <v>786</v>
      </c>
      <c r="F353" s="284"/>
      <c r="G353" s="282"/>
      <c r="H353" s="442"/>
      <c r="I353" s="282">
        <f t="shared" si="11"/>
        <v>0</v>
      </c>
      <c r="J353" s="282"/>
      <c r="K353" s="442"/>
      <c r="L353" s="282">
        <f t="shared" si="10"/>
        <v>0</v>
      </c>
    </row>
    <row r="354" spans="1:12" ht="39" customHeight="1" hidden="1">
      <c r="A354" s="281" t="s">
        <v>783</v>
      </c>
      <c r="B354" s="443" t="s">
        <v>1159</v>
      </c>
      <c r="C354" s="275" t="s">
        <v>1065</v>
      </c>
      <c r="D354" s="275" t="s">
        <v>1047</v>
      </c>
      <c r="E354" s="289" t="s">
        <v>1139</v>
      </c>
      <c r="F354" s="284"/>
      <c r="G354" s="282">
        <f>G355</f>
        <v>0</v>
      </c>
      <c r="H354" s="442"/>
      <c r="I354" s="282">
        <f t="shared" si="11"/>
        <v>0</v>
      </c>
      <c r="J354" s="282">
        <f>J355</f>
        <v>0</v>
      </c>
      <c r="K354" s="442"/>
      <c r="L354" s="282">
        <f t="shared" si="10"/>
        <v>0</v>
      </c>
    </row>
    <row r="355" spans="1:12" ht="26.25" customHeight="1" hidden="1">
      <c r="A355" s="290" t="s">
        <v>516</v>
      </c>
      <c r="B355" s="275" t="s">
        <v>1159</v>
      </c>
      <c r="C355" s="275" t="s">
        <v>1065</v>
      </c>
      <c r="D355" s="275" t="s">
        <v>1047</v>
      </c>
      <c r="E355" s="289" t="s">
        <v>1139</v>
      </c>
      <c r="F355" s="284" t="s">
        <v>517</v>
      </c>
      <c r="G355" s="282"/>
      <c r="H355" s="442"/>
      <c r="I355" s="282">
        <f t="shared" si="11"/>
        <v>0</v>
      </c>
      <c r="J355" s="282"/>
      <c r="K355" s="442"/>
      <c r="L355" s="282">
        <f t="shared" si="10"/>
        <v>0</v>
      </c>
    </row>
    <row r="356" spans="1:12" ht="20.25" customHeight="1">
      <c r="A356" s="281" t="s">
        <v>1140</v>
      </c>
      <c r="B356" s="275" t="s">
        <v>1159</v>
      </c>
      <c r="C356" s="275" t="s">
        <v>1067</v>
      </c>
      <c r="D356" s="275"/>
      <c r="E356" s="275"/>
      <c r="F356" s="284"/>
      <c r="G356" s="282">
        <f>G357</f>
        <v>1868.22</v>
      </c>
      <c r="H356" s="442"/>
      <c r="I356" s="282">
        <f t="shared" si="11"/>
        <v>1868.22</v>
      </c>
      <c r="J356" s="282">
        <f>J357</f>
        <v>0</v>
      </c>
      <c r="K356" s="442"/>
      <c r="L356" s="282">
        <f t="shared" si="10"/>
        <v>0</v>
      </c>
    </row>
    <row r="357" spans="1:12" ht="24" customHeight="1">
      <c r="A357" s="281" t="s">
        <v>1141</v>
      </c>
      <c r="B357" s="275" t="s">
        <v>1159</v>
      </c>
      <c r="C357" s="275" t="s">
        <v>1067</v>
      </c>
      <c r="D357" s="275" t="s">
        <v>1047</v>
      </c>
      <c r="E357" s="275"/>
      <c r="F357" s="284"/>
      <c r="G357" s="282">
        <f>G358</f>
        <v>1868.22</v>
      </c>
      <c r="H357" s="442"/>
      <c r="I357" s="282">
        <f t="shared" si="11"/>
        <v>1868.22</v>
      </c>
      <c r="J357" s="282">
        <f>J358</f>
        <v>0</v>
      </c>
      <c r="K357" s="442"/>
      <c r="L357" s="282">
        <f t="shared" si="10"/>
        <v>0</v>
      </c>
    </row>
    <row r="358" spans="1:12" s="308" customFormat="1" ht="42" customHeight="1">
      <c r="A358" s="287" t="s">
        <v>887</v>
      </c>
      <c r="B358" s="275" t="s">
        <v>1159</v>
      </c>
      <c r="C358" s="275" t="s">
        <v>1067</v>
      </c>
      <c r="D358" s="275" t="s">
        <v>1047</v>
      </c>
      <c r="E358" s="298" t="s">
        <v>888</v>
      </c>
      <c r="F358" s="284"/>
      <c r="G358" s="282">
        <f>G359</f>
        <v>1868.22</v>
      </c>
      <c r="H358" s="449"/>
      <c r="I358" s="282">
        <f t="shared" si="11"/>
        <v>1868.22</v>
      </c>
      <c r="J358" s="282">
        <f>J359</f>
        <v>0</v>
      </c>
      <c r="K358" s="449"/>
      <c r="L358" s="282">
        <f t="shared" si="10"/>
        <v>0</v>
      </c>
    </row>
    <row r="359" spans="1:12" s="308" customFormat="1" ht="62.25" customHeight="1">
      <c r="A359" s="274" t="s">
        <v>889</v>
      </c>
      <c r="B359" s="275" t="s">
        <v>1159</v>
      </c>
      <c r="C359" s="443" t="s">
        <v>1067</v>
      </c>
      <c r="D359" s="443" t="s">
        <v>1047</v>
      </c>
      <c r="E359" s="298" t="s">
        <v>890</v>
      </c>
      <c r="F359" s="448"/>
      <c r="G359" s="446">
        <f>G361</f>
        <v>1868.22</v>
      </c>
      <c r="H359" s="449"/>
      <c r="I359" s="282">
        <f t="shared" si="11"/>
        <v>1868.22</v>
      </c>
      <c r="J359" s="446">
        <f>J361</f>
        <v>0</v>
      </c>
      <c r="K359" s="449"/>
      <c r="L359" s="282">
        <f t="shared" si="10"/>
        <v>0</v>
      </c>
    </row>
    <row r="360" spans="1:12" ht="48" customHeight="1">
      <c r="A360" s="274" t="s">
        <v>891</v>
      </c>
      <c r="B360" s="275" t="s">
        <v>1159</v>
      </c>
      <c r="C360" s="275" t="s">
        <v>1067</v>
      </c>
      <c r="D360" s="275" t="s">
        <v>1047</v>
      </c>
      <c r="E360" s="298" t="s">
        <v>892</v>
      </c>
      <c r="F360" s="448"/>
      <c r="G360" s="446">
        <f>G361</f>
        <v>1868.22</v>
      </c>
      <c r="H360" s="442"/>
      <c r="I360" s="282">
        <f t="shared" si="11"/>
        <v>1868.22</v>
      </c>
      <c r="J360" s="446">
        <f>J361</f>
        <v>0</v>
      </c>
      <c r="K360" s="442"/>
      <c r="L360" s="282">
        <f t="shared" si="10"/>
        <v>0</v>
      </c>
    </row>
    <row r="361" spans="1:12" ht="20.25" customHeight="1">
      <c r="A361" s="281" t="s">
        <v>893</v>
      </c>
      <c r="B361" s="275" t="s">
        <v>1159</v>
      </c>
      <c r="C361" s="275" t="s">
        <v>1067</v>
      </c>
      <c r="D361" s="275" t="s">
        <v>1047</v>
      </c>
      <c r="E361" s="298" t="s">
        <v>894</v>
      </c>
      <c r="F361" s="284"/>
      <c r="G361" s="282">
        <f>G362</f>
        <v>1868.22</v>
      </c>
      <c r="H361" s="442"/>
      <c r="I361" s="282">
        <f t="shared" si="11"/>
        <v>1868.22</v>
      </c>
      <c r="J361" s="282">
        <f>J362</f>
        <v>0</v>
      </c>
      <c r="K361" s="442"/>
      <c r="L361" s="282">
        <f aca="true" t="shared" si="12" ref="L361:L374">J361+K361</f>
        <v>0</v>
      </c>
    </row>
    <row r="362" spans="1:12" ht="26.25" customHeight="1">
      <c r="A362" s="274" t="s">
        <v>895</v>
      </c>
      <c r="B362" s="275" t="s">
        <v>1159</v>
      </c>
      <c r="C362" s="275" t="s">
        <v>1067</v>
      </c>
      <c r="D362" s="275" t="s">
        <v>1047</v>
      </c>
      <c r="E362" s="298" t="s">
        <v>894</v>
      </c>
      <c r="F362" s="284" t="s">
        <v>896</v>
      </c>
      <c r="G362" s="282">
        <v>1868.22</v>
      </c>
      <c r="H362" s="442"/>
      <c r="I362" s="282">
        <f t="shared" si="11"/>
        <v>1868.22</v>
      </c>
      <c r="J362" s="282"/>
      <c r="K362" s="442"/>
      <c r="L362" s="282">
        <f t="shared" si="12"/>
        <v>0</v>
      </c>
    </row>
    <row r="363" spans="1:12" ht="32.25" customHeight="1">
      <c r="A363" s="281" t="s">
        <v>1143</v>
      </c>
      <c r="B363" s="443" t="s">
        <v>1159</v>
      </c>
      <c r="C363" s="275" t="s">
        <v>1144</v>
      </c>
      <c r="D363" s="275"/>
      <c r="E363" s="275"/>
      <c r="F363" s="284"/>
      <c r="G363" s="282">
        <f aca="true" t="shared" si="13" ref="G363:G368">G364</f>
        <v>6680765</v>
      </c>
      <c r="H363" s="442"/>
      <c r="I363" s="282">
        <f t="shared" si="11"/>
        <v>6680765</v>
      </c>
      <c r="J363" s="282">
        <f aca="true" t="shared" si="14" ref="J363:J368">J364</f>
        <v>6214665</v>
      </c>
      <c r="K363" s="442"/>
      <c r="L363" s="282">
        <f t="shared" si="12"/>
        <v>6214665</v>
      </c>
    </row>
    <row r="364" spans="1:12" ht="41.25" customHeight="1">
      <c r="A364" s="281" t="s">
        <v>1145</v>
      </c>
      <c r="B364" s="275" t="s">
        <v>1159</v>
      </c>
      <c r="C364" s="275" t="s">
        <v>1144</v>
      </c>
      <c r="D364" s="275" t="s">
        <v>1047</v>
      </c>
      <c r="E364" s="275"/>
      <c r="F364" s="284"/>
      <c r="G364" s="282">
        <f t="shared" si="13"/>
        <v>6680765</v>
      </c>
      <c r="H364" s="442"/>
      <c r="I364" s="282">
        <f t="shared" si="11"/>
        <v>6680765</v>
      </c>
      <c r="J364" s="282">
        <f t="shared" si="14"/>
        <v>6214665</v>
      </c>
      <c r="K364" s="442"/>
      <c r="L364" s="282">
        <f t="shared" si="12"/>
        <v>6214665</v>
      </c>
    </row>
    <row r="365" spans="1:12" ht="48.75" customHeight="1">
      <c r="A365" s="287" t="s">
        <v>887</v>
      </c>
      <c r="B365" s="275" t="s">
        <v>1159</v>
      </c>
      <c r="C365" s="275" t="s">
        <v>1144</v>
      </c>
      <c r="D365" s="275" t="s">
        <v>1047</v>
      </c>
      <c r="E365" s="275" t="s">
        <v>888</v>
      </c>
      <c r="F365" s="284"/>
      <c r="G365" s="282">
        <f t="shared" si="13"/>
        <v>6680765</v>
      </c>
      <c r="H365" s="442"/>
      <c r="I365" s="282">
        <f t="shared" si="11"/>
        <v>6680765</v>
      </c>
      <c r="J365" s="282">
        <f t="shared" si="14"/>
        <v>6214665</v>
      </c>
      <c r="K365" s="442"/>
      <c r="L365" s="282">
        <f t="shared" si="12"/>
        <v>6214665</v>
      </c>
    </row>
    <row r="366" spans="1:12" ht="65.25" customHeight="1">
      <c r="A366" s="274" t="s">
        <v>897</v>
      </c>
      <c r="B366" s="275" t="s">
        <v>1159</v>
      </c>
      <c r="C366" s="443" t="s">
        <v>1144</v>
      </c>
      <c r="D366" s="443" t="s">
        <v>1047</v>
      </c>
      <c r="E366" s="443" t="s">
        <v>898</v>
      </c>
      <c r="F366" s="448"/>
      <c r="G366" s="446">
        <f t="shared" si="13"/>
        <v>6680765</v>
      </c>
      <c r="H366" s="442"/>
      <c r="I366" s="282">
        <f t="shared" si="11"/>
        <v>6680765</v>
      </c>
      <c r="J366" s="446">
        <f t="shared" si="14"/>
        <v>6214665</v>
      </c>
      <c r="K366" s="442"/>
      <c r="L366" s="282">
        <f t="shared" si="12"/>
        <v>6214665</v>
      </c>
    </row>
    <row r="367" spans="1:12" ht="33.75" customHeight="1">
      <c r="A367" s="287" t="s">
        <v>899</v>
      </c>
      <c r="B367" s="275" t="s">
        <v>1159</v>
      </c>
      <c r="C367" s="275" t="s">
        <v>1144</v>
      </c>
      <c r="D367" s="275" t="s">
        <v>1047</v>
      </c>
      <c r="E367" s="275" t="s">
        <v>900</v>
      </c>
      <c r="F367" s="284"/>
      <c r="G367" s="282">
        <f t="shared" si="13"/>
        <v>6680765</v>
      </c>
      <c r="H367" s="442"/>
      <c r="I367" s="282">
        <f t="shared" si="11"/>
        <v>6680765</v>
      </c>
      <c r="J367" s="282">
        <f t="shared" si="14"/>
        <v>6214665</v>
      </c>
      <c r="K367" s="442"/>
      <c r="L367" s="282">
        <f t="shared" si="12"/>
        <v>6214665</v>
      </c>
    </row>
    <row r="368" spans="1:12" ht="39">
      <c r="A368" s="447" t="s">
        <v>901</v>
      </c>
      <c r="B368" s="275" t="s">
        <v>1159</v>
      </c>
      <c r="C368" s="275" t="s">
        <v>1144</v>
      </c>
      <c r="D368" s="275" t="s">
        <v>1047</v>
      </c>
      <c r="E368" s="275" t="s">
        <v>902</v>
      </c>
      <c r="F368" s="284"/>
      <c r="G368" s="282">
        <f t="shared" si="13"/>
        <v>6680765</v>
      </c>
      <c r="H368" s="442"/>
      <c r="I368" s="282">
        <f t="shared" si="11"/>
        <v>6680765</v>
      </c>
      <c r="J368" s="282">
        <f t="shared" si="14"/>
        <v>6214665</v>
      </c>
      <c r="K368" s="442"/>
      <c r="L368" s="282">
        <f t="shared" si="12"/>
        <v>6214665</v>
      </c>
    </row>
    <row r="369" spans="1:12" ht="13.5">
      <c r="A369" s="310" t="s">
        <v>713</v>
      </c>
      <c r="B369" s="275" t="s">
        <v>1159</v>
      </c>
      <c r="C369" s="275" t="s">
        <v>1144</v>
      </c>
      <c r="D369" s="275" t="s">
        <v>1047</v>
      </c>
      <c r="E369" s="275" t="s">
        <v>902</v>
      </c>
      <c r="F369" s="303" t="s">
        <v>714</v>
      </c>
      <c r="G369" s="282">
        <v>6680765</v>
      </c>
      <c r="H369" s="442"/>
      <c r="I369" s="282">
        <f t="shared" si="11"/>
        <v>6680765</v>
      </c>
      <c r="J369" s="282">
        <v>6214665</v>
      </c>
      <c r="K369" s="442"/>
      <c r="L369" s="282">
        <f t="shared" si="12"/>
        <v>6214665</v>
      </c>
    </row>
    <row r="370" spans="1:12" ht="31.5" customHeight="1">
      <c r="A370" s="274" t="s">
        <v>1164</v>
      </c>
      <c r="B370" s="275" t="s">
        <v>1165</v>
      </c>
      <c r="C370" s="275"/>
      <c r="D370" s="275"/>
      <c r="E370" s="289"/>
      <c r="F370" s="324"/>
      <c r="G370" s="282">
        <f>G371+G378+G500</f>
        <v>312417329</v>
      </c>
      <c r="H370" s="442">
        <f>H371+H378+H500</f>
        <v>15037667</v>
      </c>
      <c r="I370" s="282">
        <f t="shared" si="11"/>
        <v>327454996</v>
      </c>
      <c r="J370" s="282">
        <f>J371+J378+J500</f>
        <v>311938016</v>
      </c>
      <c r="K370" s="442">
        <f>K371+K378+K500</f>
        <v>15037667</v>
      </c>
      <c r="L370" s="282">
        <f t="shared" si="12"/>
        <v>326975683</v>
      </c>
    </row>
    <row r="371" spans="1:12" ht="15" customHeight="1" hidden="1">
      <c r="A371" s="281" t="s">
        <v>1080</v>
      </c>
      <c r="B371" s="275" t="s">
        <v>1165</v>
      </c>
      <c r="C371" s="275" t="s">
        <v>1054</v>
      </c>
      <c r="D371" s="275"/>
      <c r="E371" s="275"/>
      <c r="F371" s="284"/>
      <c r="G371" s="282">
        <f>G372</f>
        <v>0</v>
      </c>
      <c r="H371" s="442">
        <f>H372</f>
        <v>0</v>
      </c>
      <c r="I371" s="282">
        <f t="shared" si="11"/>
        <v>0</v>
      </c>
      <c r="J371" s="282">
        <f>J372</f>
        <v>0</v>
      </c>
      <c r="K371" s="442">
        <f>K372</f>
        <v>0</v>
      </c>
      <c r="L371" s="282">
        <f t="shared" si="12"/>
        <v>0</v>
      </c>
    </row>
    <row r="372" spans="1:12" ht="15" customHeight="1" hidden="1">
      <c r="A372" s="281" t="s">
        <v>1084</v>
      </c>
      <c r="B372" s="275" t="s">
        <v>1165</v>
      </c>
      <c r="C372" s="275" t="s">
        <v>1054</v>
      </c>
      <c r="D372" s="275" t="s">
        <v>1085</v>
      </c>
      <c r="E372" s="275"/>
      <c r="F372" s="284"/>
      <c r="G372" s="282">
        <f>G373</f>
        <v>0</v>
      </c>
      <c r="H372" s="442">
        <f>H373</f>
        <v>0</v>
      </c>
      <c r="I372" s="282">
        <f t="shared" si="11"/>
        <v>0</v>
      </c>
      <c r="J372" s="282">
        <f>J373</f>
        <v>0</v>
      </c>
      <c r="K372" s="442">
        <f>K373</f>
        <v>0</v>
      </c>
      <c r="L372" s="282">
        <f t="shared" si="12"/>
        <v>0</v>
      </c>
    </row>
    <row r="373" spans="1:12" ht="39" customHeight="1" hidden="1">
      <c r="A373" s="458" t="s">
        <v>1166</v>
      </c>
      <c r="B373" s="275" t="s">
        <v>1165</v>
      </c>
      <c r="C373" s="275" t="s">
        <v>1054</v>
      </c>
      <c r="D373" s="275" t="s">
        <v>1085</v>
      </c>
      <c r="E373" s="400" t="s">
        <v>698</v>
      </c>
      <c r="F373" s="284"/>
      <c r="G373" s="282">
        <f>G374</f>
        <v>0</v>
      </c>
      <c r="H373" s="442"/>
      <c r="I373" s="282">
        <f t="shared" si="11"/>
        <v>0</v>
      </c>
      <c r="J373" s="282">
        <f>J374</f>
        <v>0</v>
      </c>
      <c r="K373" s="442"/>
      <c r="L373" s="282">
        <f t="shared" si="12"/>
        <v>0</v>
      </c>
    </row>
    <row r="374" spans="1:12" ht="72" customHeight="1" hidden="1">
      <c r="A374" s="451" t="s">
        <v>1167</v>
      </c>
      <c r="B374" s="275" t="s">
        <v>1165</v>
      </c>
      <c r="C374" s="275" t="s">
        <v>1054</v>
      </c>
      <c r="D374" s="275" t="s">
        <v>1085</v>
      </c>
      <c r="E374" s="400" t="s">
        <v>700</v>
      </c>
      <c r="F374" s="284"/>
      <c r="G374" s="282">
        <f>G375</f>
        <v>0</v>
      </c>
      <c r="H374" s="442"/>
      <c r="I374" s="282">
        <f t="shared" si="11"/>
        <v>0</v>
      </c>
      <c r="J374" s="282">
        <f>J375</f>
        <v>0</v>
      </c>
      <c r="K374" s="442"/>
      <c r="L374" s="282">
        <f t="shared" si="12"/>
        <v>0</v>
      </c>
    </row>
    <row r="375" spans="1:12" ht="30.75" customHeight="1" hidden="1">
      <c r="A375" s="288" t="s">
        <v>701</v>
      </c>
      <c r="B375" s="275" t="s">
        <v>1165</v>
      </c>
      <c r="C375" s="275" t="s">
        <v>1054</v>
      </c>
      <c r="D375" s="275" t="s">
        <v>1085</v>
      </c>
      <c r="E375" s="400" t="s">
        <v>702</v>
      </c>
      <c r="F375" s="284"/>
      <c r="G375" s="282">
        <f>G376</f>
        <v>0</v>
      </c>
      <c r="H375" s="442"/>
      <c r="I375" s="282">
        <f>I376</f>
        <v>0</v>
      </c>
      <c r="J375" s="282">
        <f>J376</f>
        <v>0</v>
      </c>
      <c r="K375" s="442"/>
      <c r="L375" s="282">
        <f>L376</f>
        <v>0</v>
      </c>
    </row>
    <row r="376" spans="1:12" ht="19.5" customHeight="1" hidden="1">
      <c r="A376" s="274" t="s">
        <v>703</v>
      </c>
      <c r="B376" s="275" t="s">
        <v>1165</v>
      </c>
      <c r="C376" s="275" t="s">
        <v>1054</v>
      </c>
      <c r="D376" s="275" t="s">
        <v>1085</v>
      </c>
      <c r="E376" s="400" t="s">
        <v>704</v>
      </c>
      <c r="F376" s="284"/>
      <c r="G376" s="282">
        <f>G377</f>
        <v>0</v>
      </c>
      <c r="H376" s="442"/>
      <c r="I376" s="282">
        <f aca="true" t="shared" si="15" ref="I376:I439">G376+H376</f>
        <v>0</v>
      </c>
      <c r="J376" s="282">
        <f>J377</f>
        <v>0</v>
      </c>
      <c r="K376" s="442"/>
      <c r="L376" s="282">
        <f aca="true" t="shared" si="16" ref="L376:L439">J376+K376</f>
        <v>0</v>
      </c>
    </row>
    <row r="377" spans="1:12" ht="24.75" customHeight="1" hidden="1">
      <c r="A377" s="290" t="s">
        <v>516</v>
      </c>
      <c r="B377" s="275" t="s">
        <v>1165</v>
      </c>
      <c r="C377" s="275" t="s">
        <v>1054</v>
      </c>
      <c r="D377" s="275" t="s">
        <v>1085</v>
      </c>
      <c r="E377" s="400" t="s">
        <v>704</v>
      </c>
      <c r="F377" s="284" t="s">
        <v>517</v>
      </c>
      <c r="G377" s="282"/>
      <c r="H377" s="442"/>
      <c r="I377" s="282">
        <f t="shared" si="15"/>
        <v>0</v>
      </c>
      <c r="J377" s="282"/>
      <c r="K377" s="442"/>
      <c r="L377" s="282">
        <f t="shared" si="16"/>
        <v>0</v>
      </c>
    </row>
    <row r="378" spans="1:12" ht="16.5" customHeight="1">
      <c r="A378" s="281" t="s">
        <v>1101</v>
      </c>
      <c r="B378" s="275" t="s">
        <v>1165</v>
      </c>
      <c r="C378" s="275" t="s">
        <v>1063</v>
      </c>
      <c r="D378" s="275"/>
      <c r="E378" s="289"/>
      <c r="F378" s="324"/>
      <c r="G378" s="282">
        <f>G379+G396+G459+G467+G483</f>
        <v>281916344</v>
      </c>
      <c r="H378" s="282">
        <f>H379+H396+H459+H467+H483</f>
        <v>15037667</v>
      </c>
      <c r="I378" s="282">
        <f t="shared" si="15"/>
        <v>296954011</v>
      </c>
      <c r="J378" s="282">
        <f>J379+J396+J459+J467+J483</f>
        <v>281437031</v>
      </c>
      <c r="K378" s="282">
        <f>K379+K396+K459+K467+K483</f>
        <v>15037667</v>
      </c>
      <c r="L378" s="282">
        <f t="shared" si="16"/>
        <v>296474698</v>
      </c>
    </row>
    <row r="379" spans="1:12" ht="18" customHeight="1">
      <c r="A379" s="281" t="s">
        <v>1102</v>
      </c>
      <c r="B379" s="275" t="s">
        <v>1165</v>
      </c>
      <c r="C379" s="275" t="s">
        <v>1063</v>
      </c>
      <c r="D379" s="275" t="s">
        <v>1047</v>
      </c>
      <c r="E379" s="289"/>
      <c r="F379" s="324"/>
      <c r="G379" s="282">
        <f aca="true" t="shared" si="17" ref="G379:K381">G380</f>
        <v>68011373</v>
      </c>
      <c r="H379" s="282">
        <f t="shared" si="17"/>
        <v>6548886</v>
      </c>
      <c r="I379" s="282">
        <f t="shared" si="15"/>
        <v>74560259</v>
      </c>
      <c r="J379" s="282">
        <f t="shared" si="17"/>
        <v>67011373</v>
      </c>
      <c r="K379" s="282">
        <f t="shared" si="17"/>
        <v>6548886</v>
      </c>
      <c r="L379" s="282">
        <f t="shared" si="16"/>
        <v>73560259</v>
      </c>
    </row>
    <row r="380" spans="1:12" ht="29.25" customHeight="1">
      <c r="A380" s="281" t="s">
        <v>611</v>
      </c>
      <c r="B380" s="275" t="s">
        <v>1165</v>
      </c>
      <c r="C380" s="275" t="s">
        <v>1063</v>
      </c>
      <c r="D380" s="275" t="s">
        <v>1047</v>
      </c>
      <c r="E380" s="275" t="s">
        <v>612</v>
      </c>
      <c r="F380" s="284"/>
      <c r="G380" s="282">
        <f t="shared" si="17"/>
        <v>68011373</v>
      </c>
      <c r="H380" s="442">
        <f t="shared" si="17"/>
        <v>6548886</v>
      </c>
      <c r="I380" s="282">
        <f t="shared" si="15"/>
        <v>74560259</v>
      </c>
      <c r="J380" s="282">
        <f t="shared" si="17"/>
        <v>67011373</v>
      </c>
      <c r="K380" s="442">
        <f t="shared" si="17"/>
        <v>6548886</v>
      </c>
      <c r="L380" s="282">
        <f t="shared" si="16"/>
        <v>73560259</v>
      </c>
    </row>
    <row r="381" spans="1:12" ht="41.25" customHeight="1">
      <c r="A381" s="274" t="s">
        <v>613</v>
      </c>
      <c r="B381" s="275" t="s">
        <v>1165</v>
      </c>
      <c r="C381" s="443" t="s">
        <v>1063</v>
      </c>
      <c r="D381" s="443" t="s">
        <v>1047</v>
      </c>
      <c r="E381" s="443" t="s">
        <v>614</v>
      </c>
      <c r="F381" s="448"/>
      <c r="G381" s="446">
        <f t="shared" si="17"/>
        <v>68011373</v>
      </c>
      <c r="H381" s="446">
        <f t="shared" si="17"/>
        <v>6548886</v>
      </c>
      <c r="I381" s="282">
        <f t="shared" si="15"/>
        <v>74560259</v>
      </c>
      <c r="J381" s="446">
        <f t="shared" si="17"/>
        <v>67011373</v>
      </c>
      <c r="K381" s="446">
        <f t="shared" si="17"/>
        <v>6548886</v>
      </c>
      <c r="L381" s="282">
        <f t="shared" si="16"/>
        <v>73560259</v>
      </c>
    </row>
    <row r="382" spans="1:12" ht="27.75" customHeight="1">
      <c r="A382" s="288" t="s">
        <v>615</v>
      </c>
      <c r="B382" s="275" t="s">
        <v>1165</v>
      </c>
      <c r="C382" s="275" t="s">
        <v>1063</v>
      </c>
      <c r="D382" s="275" t="s">
        <v>1047</v>
      </c>
      <c r="E382" s="275" t="s">
        <v>616</v>
      </c>
      <c r="F382" s="284"/>
      <c r="G382" s="282">
        <f>G383+G390+G392+G388+G386</f>
        <v>68011373</v>
      </c>
      <c r="H382" s="442">
        <f>H383+H392</f>
        <v>6548886</v>
      </c>
      <c r="I382" s="282">
        <f t="shared" si="15"/>
        <v>74560259</v>
      </c>
      <c r="J382" s="282">
        <f>J383+J390+J392+J388+J386</f>
        <v>67011373</v>
      </c>
      <c r="K382" s="442">
        <f>K383+K392</f>
        <v>6548886</v>
      </c>
      <c r="L382" s="282">
        <f t="shared" si="16"/>
        <v>73560259</v>
      </c>
    </row>
    <row r="383" spans="1:12" ht="84.75" customHeight="1">
      <c r="A383" s="447" t="s">
        <v>623</v>
      </c>
      <c r="B383" s="275" t="s">
        <v>1165</v>
      </c>
      <c r="C383" s="275" t="s">
        <v>1063</v>
      </c>
      <c r="D383" s="275" t="s">
        <v>1047</v>
      </c>
      <c r="E383" s="275" t="s">
        <v>624</v>
      </c>
      <c r="F383" s="284"/>
      <c r="G383" s="282">
        <f>G384+G385</f>
        <v>39608388</v>
      </c>
      <c r="H383" s="442"/>
      <c r="I383" s="282">
        <f t="shared" si="15"/>
        <v>39608388</v>
      </c>
      <c r="J383" s="282">
        <f>J384+J385</f>
        <v>39608388</v>
      </c>
      <c r="K383" s="442"/>
      <c r="L383" s="282">
        <f t="shared" si="16"/>
        <v>39608388</v>
      </c>
    </row>
    <row r="384" spans="1:12" ht="60" customHeight="1">
      <c r="A384" s="312" t="s">
        <v>522</v>
      </c>
      <c r="B384" s="275" t="s">
        <v>1165</v>
      </c>
      <c r="C384" s="275" t="s">
        <v>1063</v>
      </c>
      <c r="D384" s="275" t="s">
        <v>1047</v>
      </c>
      <c r="E384" s="275" t="s">
        <v>624</v>
      </c>
      <c r="F384" s="284" t="s">
        <v>523</v>
      </c>
      <c r="G384" s="282">
        <f>45470627-6371741</f>
        <v>39098886</v>
      </c>
      <c r="H384" s="442"/>
      <c r="I384" s="282">
        <f t="shared" si="15"/>
        <v>39098886</v>
      </c>
      <c r="J384" s="282">
        <f>45470627-6371741</f>
        <v>39098886</v>
      </c>
      <c r="K384" s="442"/>
      <c r="L384" s="282">
        <f t="shared" si="16"/>
        <v>39098886</v>
      </c>
    </row>
    <row r="385" spans="1:12" ht="31.5" customHeight="1">
      <c r="A385" s="290" t="s">
        <v>516</v>
      </c>
      <c r="B385" s="275" t="s">
        <v>1165</v>
      </c>
      <c r="C385" s="275" t="s">
        <v>1063</v>
      </c>
      <c r="D385" s="275" t="s">
        <v>1047</v>
      </c>
      <c r="E385" s="275" t="s">
        <v>624</v>
      </c>
      <c r="F385" s="284" t="s">
        <v>517</v>
      </c>
      <c r="G385" s="282">
        <v>509502</v>
      </c>
      <c r="H385" s="442"/>
      <c r="I385" s="282">
        <f t="shared" si="15"/>
        <v>509502</v>
      </c>
      <c r="J385" s="282">
        <v>509502</v>
      </c>
      <c r="K385" s="442"/>
      <c r="L385" s="282">
        <f t="shared" si="16"/>
        <v>509502</v>
      </c>
    </row>
    <row r="386" spans="1:12" ht="0.75" customHeight="1" hidden="1">
      <c r="A386" s="447" t="s">
        <v>625</v>
      </c>
      <c r="B386" s="275" t="s">
        <v>1165</v>
      </c>
      <c r="C386" s="275" t="s">
        <v>1063</v>
      </c>
      <c r="D386" s="275" t="s">
        <v>1047</v>
      </c>
      <c r="E386" s="275" t="s">
        <v>626</v>
      </c>
      <c r="F386" s="284"/>
      <c r="G386" s="282">
        <f>G387</f>
        <v>0</v>
      </c>
      <c r="H386" s="442"/>
      <c r="I386" s="282">
        <f t="shared" si="15"/>
        <v>0</v>
      </c>
      <c r="J386" s="282">
        <f>J387</f>
        <v>0</v>
      </c>
      <c r="K386" s="442"/>
      <c r="L386" s="282">
        <f t="shared" si="16"/>
        <v>0</v>
      </c>
    </row>
    <row r="387" spans="1:12" ht="26.25" customHeight="1" hidden="1">
      <c r="A387" s="290" t="s">
        <v>516</v>
      </c>
      <c r="B387" s="275" t="s">
        <v>1165</v>
      </c>
      <c r="C387" s="275" t="s">
        <v>1063</v>
      </c>
      <c r="D387" s="275" t="s">
        <v>1047</v>
      </c>
      <c r="E387" s="275" t="s">
        <v>626</v>
      </c>
      <c r="F387" s="284" t="s">
        <v>517</v>
      </c>
      <c r="G387" s="282"/>
      <c r="H387" s="442"/>
      <c r="I387" s="282">
        <f t="shared" si="15"/>
        <v>0</v>
      </c>
      <c r="J387" s="282"/>
      <c r="K387" s="442"/>
      <c r="L387" s="282">
        <f t="shared" si="16"/>
        <v>0</v>
      </c>
    </row>
    <row r="388" spans="1:12" ht="0.75" customHeight="1" hidden="1">
      <c r="A388" s="447" t="s">
        <v>627</v>
      </c>
      <c r="B388" s="275" t="s">
        <v>1165</v>
      </c>
      <c r="C388" s="275" t="s">
        <v>1063</v>
      </c>
      <c r="D388" s="275" t="s">
        <v>1047</v>
      </c>
      <c r="E388" s="275" t="s">
        <v>628</v>
      </c>
      <c r="F388" s="284"/>
      <c r="G388" s="282">
        <f>G389</f>
        <v>0</v>
      </c>
      <c r="H388" s="442"/>
      <c r="I388" s="282">
        <f t="shared" si="15"/>
        <v>0</v>
      </c>
      <c r="J388" s="282">
        <f>J389</f>
        <v>0</v>
      </c>
      <c r="K388" s="442"/>
      <c r="L388" s="282">
        <f t="shared" si="16"/>
        <v>0</v>
      </c>
    </row>
    <row r="389" spans="1:12" ht="26.25" customHeight="1" hidden="1">
      <c r="A389" s="290" t="s">
        <v>516</v>
      </c>
      <c r="B389" s="275" t="s">
        <v>1165</v>
      </c>
      <c r="C389" s="275" t="s">
        <v>1063</v>
      </c>
      <c r="D389" s="275" t="s">
        <v>1047</v>
      </c>
      <c r="E389" s="275" t="s">
        <v>628</v>
      </c>
      <c r="F389" s="284" t="s">
        <v>517</v>
      </c>
      <c r="G389" s="282">
        <f>175343-175343</f>
        <v>0</v>
      </c>
      <c r="H389" s="442"/>
      <c r="I389" s="282">
        <f t="shared" si="15"/>
        <v>0</v>
      </c>
      <c r="J389" s="282">
        <f>175343-175343</f>
        <v>0</v>
      </c>
      <c r="K389" s="442"/>
      <c r="L389" s="282">
        <f t="shared" si="16"/>
        <v>0</v>
      </c>
    </row>
    <row r="390" spans="1:12" ht="26.25" customHeight="1" hidden="1">
      <c r="A390" s="447" t="s">
        <v>629</v>
      </c>
      <c r="B390" s="275" t="s">
        <v>1165</v>
      </c>
      <c r="C390" s="275" t="s">
        <v>1063</v>
      </c>
      <c r="D390" s="275" t="s">
        <v>1047</v>
      </c>
      <c r="E390" s="275" t="s">
        <v>632</v>
      </c>
      <c r="F390" s="284"/>
      <c r="G390" s="282">
        <f>G391</f>
        <v>0</v>
      </c>
      <c r="H390" s="442"/>
      <c r="I390" s="282">
        <f t="shared" si="15"/>
        <v>0</v>
      </c>
      <c r="J390" s="282">
        <f>J391</f>
        <v>0</v>
      </c>
      <c r="K390" s="442"/>
      <c r="L390" s="282">
        <f t="shared" si="16"/>
        <v>0</v>
      </c>
    </row>
    <row r="391" spans="1:12" ht="26.25" customHeight="1" hidden="1">
      <c r="A391" s="290" t="s">
        <v>516</v>
      </c>
      <c r="B391" s="275" t="s">
        <v>1165</v>
      </c>
      <c r="C391" s="275" t="s">
        <v>1063</v>
      </c>
      <c r="D391" s="275" t="s">
        <v>1047</v>
      </c>
      <c r="E391" s="275" t="s">
        <v>632</v>
      </c>
      <c r="F391" s="284" t="s">
        <v>517</v>
      </c>
      <c r="G391" s="282"/>
      <c r="H391" s="442"/>
      <c r="I391" s="282">
        <f t="shared" si="15"/>
        <v>0</v>
      </c>
      <c r="J391" s="282"/>
      <c r="K391" s="442"/>
      <c r="L391" s="282">
        <f t="shared" si="16"/>
        <v>0</v>
      </c>
    </row>
    <row r="392" spans="1:12" ht="25.5" customHeight="1">
      <c r="A392" s="288" t="s">
        <v>520</v>
      </c>
      <c r="B392" s="275" t="s">
        <v>1165</v>
      </c>
      <c r="C392" s="275" t="s">
        <v>1063</v>
      </c>
      <c r="D392" s="275" t="s">
        <v>1047</v>
      </c>
      <c r="E392" s="275" t="s">
        <v>633</v>
      </c>
      <c r="F392" s="284"/>
      <c r="G392" s="282">
        <f>G393+G394+G395</f>
        <v>28402985</v>
      </c>
      <c r="H392" s="442">
        <f>H393+H394+H395</f>
        <v>6548886</v>
      </c>
      <c r="I392" s="282">
        <f t="shared" si="15"/>
        <v>34951871</v>
      </c>
      <c r="J392" s="282">
        <f>J393+J394+J395</f>
        <v>27402985</v>
      </c>
      <c r="K392" s="442">
        <f>K393+K394+K395</f>
        <v>6548886</v>
      </c>
      <c r="L392" s="282">
        <f t="shared" si="16"/>
        <v>33951871</v>
      </c>
    </row>
    <row r="393" spans="1:12" ht="45" customHeight="1">
      <c r="A393" s="290" t="s">
        <v>522</v>
      </c>
      <c r="B393" s="275" t="s">
        <v>1165</v>
      </c>
      <c r="C393" s="275" t="s">
        <v>1063</v>
      </c>
      <c r="D393" s="275" t="s">
        <v>1047</v>
      </c>
      <c r="E393" s="275" t="s">
        <v>633</v>
      </c>
      <c r="F393" s="284" t="s">
        <v>523</v>
      </c>
      <c r="G393" s="282">
        <f>22202400-4000000</f>
        <v>18202400</v>
      </c>
      <c r="H393" s="442"/>
      <c r="I393" s="282">
        <f t="shared" si="15"/>
        <v>18202400</v>
      </c>
      <c r="J393" s="282">
        <f>22202400-5000000</f>
        <v>17202400</v>
      </c>
      <c r="K393" s="442"/>
      <c r="L393" s="282">
        <f t="shared" si="16"/>
        <v>17202400</v>
      </c>
    </row>
    <row r="394" spans="1:12" ht="28.5" customHeight="1">
      <c r="A394" s="290" t="s">
        <v>516</v>
      </c>
      <c r="B394" s="275" t="s">
        <v>1165</v>
      </c>
      <c r="C394" s="275" t="s">
        <v>1063</v>
      </c>
      <c r="D394" s="275" t="s">
        <v>1047</v>
      </c>
      <c r="E394" s="275" t="s">
        <v>633</v>
      </c>
      <c r="F394" s="284" t="s">
        <v>517</v>
      </c>
      <c r="G394" s="282">
        <v>8276200</v>
      </c>
      <c r="H394" s="442">
        <f>6390555+158331</f>
        <v>6548886</v>
      </c>
      <c r="I394" s="282">
        <f t="shared" si="15"/>
        <v>14825086</v>
      </c>
      <c r="J394" s="282">
        <v>8276200</v>
      </c>
      <c r="K394" s="442">
        <f>6390555+158331</f>
        <v>6548886</v>
      </c>
      <c r="L394" s="282">
        <f t="shared" si="16"/>
        <v>14825086</v>
      </c>
    </row>
    <row r="395" spans="1:12" ht="13.5">
      <c r="A395" s="288" t="s">
        <v>524</v>
      </c>
      <c r="B395" s="275" t="s">
        <v>1165</v>
      </c>
      <c r="C395" s="275" t="s">
        <v>1063</v>
      </c>
      <c r="D395" s="275" t="s">
        <v>1047</v>
      </c>
      <c r="E395" s="275" t="s">
        <v>633</v>
      </c>
      <c r="F395" s="284" t="s">
        <v>525</v>
      </c>
      <c r="G395" s="282">
        <v>1924385</v>
      </c>
      <c r="H395" s="442"/>
      <c r="I395" s="282">
        <f t="shared" si="15"/>
        <v>1924385</v>
      </c>
      <c r="J395" s="282">
        <v>1924385</v>
      </c>
      <c r="K395" s="442"/>
      <c r="L395" s="282">
        <f t="shared" si="16"/>
        <v>1924385</v>
      </c>
    </row>
    <row r="396" spans="1:12" ht="13.5">
      <c r="A396" s="281" t="s">
        <v>1105</v>
      </c>
      <c r="B396" s="275" t="s">
        <v>1165</v>
      </c>
      <c r="C396" s="275" t="s">
        <v>1063</v>
      </c>
      <c r="D396" s="275" t="s">
        <v>1049</v>
      </c>
      <c r="E396" s="275"/>
      <c r="F396" s="284"/>
      <c r="G396" s="282">
        <f>G397+G446+G439+G454+G432</f>
        <v>191578099</v>
      </c>
      <c r="H396" s="282">
        <f>H397+H446+H439+H454</f>
        <v>7257341</v>
      </c>
      <c r="I396" s="282">
        <f t="shared" si="15"/>
        <v>198835440</v>
      </c>
      <c r="J396" s="282">
        <f>J397+J446+J439+J454+J432</f>
        <v>191578099</v>
      </c>
      <c r="K396" s="282">
        <f>K397+K446+K439+K454</f>
        <v>7257341</v>
      </c>
      <c r="L396" s="282">
        <f t="shared" si="16"/>
        <v>198835440</v>
      </c>
    </row>
    <row r="397" spans="1:12" ht="26.25">
      <c r="A397" s="281" t="s">
        <v>611</v>
      </c>
      <c r="B397" s="275" t="s">
        <v>1165</v>
      </c>
      <c r="C397" s="275" t="s">
        <v>1063</v>
      </c>
      <c r="D397" s="275" t="s">
        <v>1049</v>
      </c>
      <c r="E397" s="275" t="s">
        <v>612</v>
      </c>
      <c r="F397" s="284"/>
      <c r="G397" s="282">
        <f>G398</f>
        <v>191400299</v>
      </c>
      <c r="H397" s="282">
        <f>H398</f>
        <v>7257341</v>
      </c>
      <c r="I397" s="282">
        <f t="shared" si="15"/>
        <v>198657640</v>
      </c>
      <c r="J397" s="282">
        <f>J398</f>
        <v>191400299</v>
      </c>
      <c r="K397" s="282">
        <f>K398</f>
        <v>7257341</v>
      </c>
      <c r="L397" s="282">
        <f t="shared" si="16"/>
        <v>198657640</v>
      </c>
    </row>
    <row r="398" spans="1:12" ht="39">
      <c r="A398" s="274" t="s">
        <v>613</v>
      </c>
      <c r="B398" s="275" t="s">
        <v>1165</v>
      </c>
      <c r="C398" s="443" t="s">
        <v>1063</v>
      </c>
      <c r="D398" s="443" t="s">
        <v>1049</v>
      </c>
      <c r="E398" s="443" t="s">
        <v>614</v>
      </c>
      <c r="F398" s="448"/>
      <c r="G398" s="446">
        <f>G399+G427</f>
        <v>191400299</v>
      </c>
      <c r="H398" s="446">
        <f>H399+H427</f>
        <v>7257341</v>
      </c>
      <c r="I398" s="282">
        <f t="shared" si="15"/>
        <v>198657640</v>
      </c>
      <c r="J398" s="446">
        <f>J399+J427</f>
        <v>191400299</v>
      </c>
      <c r="K398" s="446">
        <f>K399+K427</f>
        <v>7257341</v>
      </c>
      <c r="L398" s="282">
        <f t="shared" si="16"/>
        <v>198657640</v>
      </c>
    </row>
    <row r="399" spans="1:12" ht="33.75" customHeight="1">
      <c r="A399" s="288" t="s">
        <v>634</v>
      </c>
      <c r="B399" s="275" t="s">
        <v>1165</v>
      </c>
      <c r="C399" s="275" t="s">
        <v>1063</v>
      </c>
      <c r="D399" s="275" t="s">
        <v>1049</v>
      </c>
      <c r="E399" s="275" t="s">
        <v>635</v>
      </c>
      <c r="F399" s="284"/>
      <c r="G399" s="282">
        <f>G404+G412+G414+G416+G418+G420+G422+G425+G407+G409+G400+G402</f>
        <v>191400299</v>
      </c>
      <c r="H399" s="282">
        <f>H404+H412+H414+H416+H418+H420+H422+H425+H407+H409+H400+H402</f>
        <v>7257341</v>
      </c>
      <c r="I399" s="282">
        <f t="shared" si="15"/>
        <v>198657640</v>
      </c>
      <c r="J399" s="282">
        <f>J404+J412+J414+J416+J418+J420+J422+J425+J407+J409+J400+J402</f>
        <v>191400299</v>
      </c>
      <c r="K399" s="282">
        <f>K404+K412+K414+K416+K418+K420+K422+K425+K407+K409+K400+K402</f>
        <v>7257341</v>
      </c>
      <c r="L399" s="282">
        <f t="shared" si="16"/>
        <v>198657640</v>
      </c>
    </row>
    <row r="400" spans="1:12" ht="38.25" customHeight="1" hidden="1">
      <c r="A400" s="288" t="s">
        <v>636</v>
      </c>
      <c r="B400" s="275" t="s">
        <v>1165</v>
      </c>
      <c r="C400" s="275" t="s">
        <v>1063</v>
      </c>
      <c r="D400" s="275" t="s">
        <v>1049</v>
      </c>
      <c r="E400" s="275" t="s">
        <v>637</v>
      </c>
      <c r="F400" s="284"/>
      <c r="G400" s="282">
        <f>G401</f>
        <v>0</v>
      </c>
      <c r="H400" s="282"/>
      <c r="I400" s="282">
        <f t="shared" si="15"/>
        <v>0</v>
      </c>
      <c r="J400" s="282">
        <f>J401</f>
        <v>0</v>
      </c>
      <c r="K400" s="282"/>
      <c r="L400" s="282">
        <f t="shared" si="16"/>
        <v>0</v>
      </c>
    </row>
    <row r="401" spans="1:12" ht="26.25" customHeight="1" hidden="1">
      <c r="A401" s="290" t="s">
        <v>516</v>
      </c>
      <c r="B401" s="275" t="s">
        <v>1165</v>
      </c>
      <c r="C401" s="275" t="s">
        <v>1063</v>
      </c>
      <c r="D401" s="275" t="s">
        <v>1049</v>
      </c>
      <c r="E401" s="275" t="s">
        <v>637</v>
      </c>
      <c r="F401" s="284" t="s">
        <v>517</v>
      </c>
      <c r="G401" s="282"/>
      <c r="H401" s="282"/>
      <c r="I401" s="282">
        <f t="shared" si="15"/>
        <v>0</v>
      </c>
      <c r="J401" s="282"/>
      <c r="K401" s="282"/>
      <c r="L401" s="282">
        <f t="shared" si="16"/>
        <v>0</v>
      </c>
    </row>
    <row r="402" spans="1:12" ht="33" customHeight="1" hidden="1">
      <c r="A402" s="461" t="s">
        <v>638</v>
      </c>
      <c r="B402" s="275" t="s">
        <v>1165</v>
      </c>
      <c r="C402" s="275" t="s">
        <v>1063</v>
      </c>
      <c r="D402" s="275" t="s">
        <v>1049</v>
      </c>
      <c r="E402" s="275" t="s">
        <v>639</v>
      </c>
      <c r="F402" s="284"/>
      <c r="G402" s="282">
        <f>G403</f>
        <v>0</v>
      </c>
      <c r="H402" s="282"/>
      <c r="I402" s="282">
        <f t="shared" si="15"/>
        <v>0</v>
      </c>
      <c r="J402" s="282">
        <f>J403</f>
        <v>0</v>
      </c>
      <c r="K402" s="282"/>
      <c r="L402" s="282">
        <f t="shared" si="16"/>
        <v>0</v>
      </c>
    </row>
    <row r="403" spans="1:12" ht="30" customHeight="1" hidden="1">
      <c r="A403" s="290" t="s">
        <v>516</v>
      </c>
      <c r="B403" s="275" t="s">
        <v>1165</v>
      </c>
      <c r="C403" s="275" t="s">
        <v>1063</v>
      </c>
      <c r="D403" s="275" t="s">
        <v>1049</v>
      </c>
      <c r="E403" s="275" t="s">
        <v>639</v>
      </c>
      <c r="F403" s="284" t="s">
        <v>517</v>
      </c>
      <c r="G403" s="282"/>
      <c r="H403" s="282"/>
      <c r="I403" s="282">
        <f t="shared" si="15"/>
        <v>0</v>
      </c>
      <c r="J403" s="282"/>
      <c r="K403" s="282"/>
      <c r="L403" s="282">
        <f t="shared" si="16"/>
        <v>0</v>
      </c>
    </row>
    <row r="404" spans="1:12" ht="81" customHeight="1">
      <c r="A404" s="447" t="s">
        <v>640</v>
      </c>
      <c r="B404" s="275" t="s">
        <v>1165</v>
      </c>
      <c r="C404" s="275" t="s">
        <v>1063</v>
      </c>
      <c r="D404" s="275" t="s">
        <v>1049</v>
      </c>
      <c r="E404" s="275" t="s">
        <v>641</v>
      </c>
      <c r="F404" s="284"/>
      <c r="G404" s="282">
        <f>G405+G406</f>
        <v>169901716</v>
      </c>
      <c r="H404" s="442"/>
      <c r="I404" s="282">
        <f t="shared" si="15"/>
        <v>169901716</v>
      </c>
      <c r="J404" s="282">
        <f>J405+J406</f>
        <v>169901716</v>
      </c>
      <c r="K404" s="442"/>
      <c r="L404" s="282">
        <f t="shared" si="16"/>
        <v>169901716</v>
      </c>
    </row>
    <row r="405" spans="1:12" ht="60" customHeight="1">
      <c r="A405" s="290" t="s">
        <v>522</v>
      </c>
      <c r="B405" s="275" t="s">
        <v>1165</v>
      </c>
      <c r="C405" s="275" t="s">
        <v>1063</v>
      </c>
      <c r="D405" s="275" t="s">
        <v>1049</v>
      </c>
      <c r="E405" s="275" t="s">
        <v>641</v>
      </c>
      <c r="F405" s="284" t="s">
        <v>523</v>
      </c>
      <c r="G405" s="282">
        <v>162981899</v>
      </c>
      <c r="H405" s="442"/>
      <c r="I405" s="282">
        <f t="shared" si="15"/>
        <v>162981899</v>
      </c>
      <c r="J405" s="282">
        <v>162981899</v>
      </c>
      <c r="K405" s="442"/>
      <c r="L405" s="282">
        <f t="shared" si="16"/>
        <v>162981899</v>
      </c>
    </row>
    <row r="406" spans="1:12" ht="27.75" customHeight="1">
      <c r="A406" s="290" t="s">
        <v>516</v>
      </c>
      <c r="B406" s="275" t="s">
        <v>1165</v>
      </c>
      <c r="C406" s="275" t="s">
        <v>1063</v>
      </c>
      <c r="D406" s="275" t="s">
        <v>1049</v>
      </c>
      <c r="E406" s="275" t="s">
        <v>641</v>
      </c>
      <c r="F406" s="284" t="s">
        <v>517</v>
      </c>
      <c r="G406" s="282">
        <v>6919817</v>
      </c>
      <c r="H406" s="442"/>
      <c r="I406" s="282">
        <f t="shared" si="15"/>
        <v>6919817</v>
      </c>
      <c r="J406" s="282">
        <v>6919817</v>
      </c>
      <c r="K406" s="442"/>
      <c r="L406" s="282">
        <f t="shared" si="16"/>
        <v>6919817</v>
      </c>
    </row>
    <row r="407" spans="1:12" ht="0.75" customHeight="1" hidden="1">
      <c r="A407" s="447" t="s">
        <v>625</v>
      </c>
      <c r="B407" s="275" t="s">
        <v>1165</v>
      </c>
      <c r="C407" s="275" t="s">
        <v>1063</v>
      </c>
      <c r="D407" s="275" t="s">
        <v>1049</v>
      </c>
      <c r="E407" s="275" t="s">
        <v>648</v>
      </c>
      <c r="F407" s="284"/>
      <c r="G407" s="282">
        <f>G408</f>
        <v>0</v>
      </c>
      <c r="H407" s="442"/>
      <c r="I407" s="282">
        <f t="shared" si="15"/>
        <v>0</v>
      </c>
      <c r="J407" s="282">
        <f>J408</f>
        <v>0</v>
      </c>
      <c r="K407" s="442"/>
      <c r="L407" s="282">
        <f t="shared" si="16"/>
        <v>0</v>
      </c>
    </row>
    <row r="408" spans="1:12" ht="26.25" customHeight="1" hidden="1">
      <c r="A408" s="290" t="s">
        <v>516</v>
      </c>
      <c r="B408" s="275" t="s">
        <v>1165</v>
      </c>
      <c r="C408" s="275" t="s">
        <v>1063</v>
      </c>
      <c r="D408" s="275" t="s">
        <v>1049</v>
      </c>
      <c r="E408" s="275" t="s">
        <v>648</v>
      </c>
      <c r="F408" s="284" t="s">
        <v>517</v>
      </c>
      <c r="G408" s="282"/>
      <c r="H408" s="442"/>
      <c r="I408" s="282">
        <f t="shared" si="15"/>
        <v>0</v>
      </c>
      <c r="J408" s="282"/>
      <c r="K408" s="442"/>
      <c r="L408" s="282">
        <f t="shared" si="16"/>
        <v>0</v>
      </c>
    </row>
    <row r="409" spans="1:12" ht="26.25" customHeight="1" hidden="1">
      <c r="A409" s="447" t="s">
        <v>627</v>
      </c>
      <c r="B409" s="275" t="s">
        <v>1165</v>
      </c>
      <c r="C409" s="275" t="s">
        <v>1063</v>
      </c>
      <c r="D409" s="275" t="s">
        <v>1049</v>
      </c>
      <c r="E409" s="275" t="s">
        <v>649</v>
      </c>
      <c r="F409" s="284"/>
      <c r="G409" s="282">
        <f>G410</f>
        <v>0</v>
      </c>
      <c r="H409" s="442"/>
      <c r="I409" s="282">
        <f t="shared" si="15"/>
        <v>0</v>
      </c>
      <c r="J409" s="282">
        <f>J410</f>
        <v>0</v>
      </c>
      <c r="K409" s="442"/>
      <c r="L409" s="282">
        <f t="shared" si="16"/>
        <v>0</v>
      </c>
    </row>
    <row r="410" spans="1:12" ht="31.5" customHeight="1" hidden="1">
      <c r="A410" s="290" t="s">
        <v>516</v>
      </c>
      <c r="B410" s="275" t="s">
        <v>1165</v>
      </c>
      <c r="C410" s="275" t="s">
        <v>1063</v>
      </c>
      <c r="D410" s="275" t="s">
        <v>1049</v>
      </c>
      <c r="E410" s="275" t="s">
        <v>649</v>
      </c>
      <c r="F410" s="284" t="s">
        <v>517</v>
      </c>
      <c r="G410" s="282">
        <f>1526555.5-1526555.5</f>
        <v>0</v>
      </c>
      <c r="H410" s="442"/>
      <c r="I410" s="282">
        <f t="shared" si="15"/>
        <v>0</v>
      </c>
      <c r="J410" s="282">
        <f>1526555.5-1526555.5</f>
        <v>0</v>
      </c>
      <c r="K410" s="442"/>
      <c r="L410" s="282">
        <f t="shared" si="16"/>
        <v>0</v>
      </c>
    </row>
    <row r="411" spans="1:12" ht="26.25" customHeight="1" hidden="1">
      <c r="A411" s="290" t="s">
        <v>516</v>
      </c>
      <c r="B411" s="275" t="s">
        <v>1165</v>
      </c>
      <c r="C411" s="275" t="s">
        <v>1063</v>
      </c>
      <c r="D411" s="275" t="s">
        <v>1049</v>
      </c>
      <c r="E411" s="275" t="s">
        <v>1168</v>
      </c>
      <c r="F411" s="284" t="s">
        <v>517</v>
      </c>
      <c r="G411" s="282"/>
      <c r="H411" s="442"/>
      <c r="I411" s="282">
        <f t="shared" si="15"/>
        <v>0</v>
      </c>
      <c r="J411" s="282"/>
      <c r="K411" s="442"/>
      <c r="L411" s="282">
        <f t="shared" si="16"/>
        <v>0</v>
      </c>
    </row>
    <row r="412" spans="1:12" ht="15" customHeight="1" hidden="1">
      <c r="A412" s="447" t="s">
        <v>642</v>
      </c>
      <c r="B412" s="275" t="s">
        <v>1165</v>
      </c>
      <c r="C412" s="275" t="s">
        <v>1063</v>
      </c>
      <c r="D412" s="275" t="s">
        <v>1049</v>
      </c>
      <c r="E412" s="275" t="s">
        <v>643</v>
      </c>
      <c r="F412" s="284"/>
      <c r="G412" s="282">
        <f>G413</f>
        <v>0</v>
      </c>
      <c r="H412" s="442"/>
      <c r="I412" s="282">
        <f t="shared" si="15"/>
        <v>0</v>
      </c>
      <c r="J412" s="282">
        <f>J413</f>
        <v>0</v>
      </c>
      <c r="K412" s="442"/>
      <c r="L412" s="282">
        <f t="shared" si="16"/>
        <v>0</v>
      </c>
    </row>
    <row r="413" spans="1:12" ht="26.25" customHeight="1" hidden="1">
      <c r="A413" s="290" t="s">
        <v>516</v>
      </c>
      <c r="B413" s="275"/>
      <c r="C413" s="275" t="s">
        <v>1063</v>
      </c>
      <c r="D413" s="275" t="s">
        <v>1049</v>
      </c>
      <c r="E413" s="275" t="s">
        <v>643</v>
      </c>
      <c r="F413" s="284" t="s">
        <v>517</v>
      </c>
      <c r="G413" s="282"/>
      <c r="H413" s="442"/>
      <c r="I413" s="282">
        <f t="shared" si="15"/>
        <v>0</v>
      </c>
      <c r="J413" s="282"/>
      <c r="K413" s="442"/>
      <c r="L413" s="282">
        <f t="shared" si="16"/>
        <v>0</v>
      </c>
    </row>
    <row r="414" spans="1:12" ht="15" customHeight="1" hidden="1">
      <c r="A414" s="447" t="s">
        <v>644</v>
      </c>
      <c r="B414" s="275"/>
      <c r="C414" s="275" t="s">
        <v>1063</v>
      </c>
      <c r="D414" s="275" t="s">
        <v>1049</v>
      </c>
      <c r="E414" s="275" t="s">
        <v>645</v>
      </c>
      <c r="F414" s="284"/>
      <c r="G414" s="282">
        <f>G415</f>
        <v>0</v>
      </c>
      <c r="H414" s="442"/>
      <c r="I414" s="282">
        <f t="shared" si="15"/>
        <v>0</v>
      </c>
      <c r="J414" s="282">
        <f>J415</f>
        <v>0</v>
      </c>
      <c r="K414" s="442"/>
      <c r="L414" s="282">
        <f t="shared" si="16"/>
        <v>0</v>
      </c>
    </row>
    <row r="415" spans="1:12" ht="26.25" customHeight="1" hidden="1">
      <c r="A415" s="290" t="s">
        <v>516</v>
      </c>
      <c r="B415" s="275"/>
      <c r="C415" s="275" t="s">
        <v>1063</v>
      </c>
      <c r="D415" s="275" t="s">
        <v>1049</v>
      </c>
      <c r="E415" s="275" t="s">
        <v>645</v>
      </c>
      <c r="F415" s="284" t="s">
        <v>517</v>
      </c>
      <c r="G415" s="282"/>
      <c r="H415" s="442"/>
      <c r="I415" s="282">
        <f t="shared" si="15"/>
        <v>0</v>
      </c>
      <c r="J415" s="282"/>
      <c r="K415" s="442"/>
      <c r="L415" s="282">
        <f t="shared" si="16"/>
        <v>0</v>
      </c>
    </row>
    <row r="416" spans="1:12" ht="21" customHeight="1" hidden="1">
      <c r="A416" s="447" t="s">
        <v>646</v>
      </c>
      <c r="B416" s="275" t="s">
        <v>1165</v>
      </c>
      <c r="C416" s="275" t="s">
        <v>1063</v>
      </c>
      <c r="D416" s="275" t="s">
        <v>1049</v>
      </c>
      <c r="E416" s="275" t="s">
        <v>647</v>
      </c>
      <c r="F416" s="284"/>
      <c r="G416" s="282">
        <f>G417</f>
        <v>0</v>
      </c>
      <c r="H416" s="442"/>
      <c r="I416" s="282">
        <f t="shared" si="15"/>
        <v>0</v>
      </c>
      <c r="J416" s="282">
        <f>J417</f>
        <v>0</v>
      </c>
      <c r="K416" s="442"/>
      <c r="L416" s="282">
        <f t="shared" si="16"/>
        <v>0</v>
      </c>
    </row>
    <row r="417" spans="1:12" ht="26.25" customHeight="1" hidden="1">
      <c r="A417" s="290" t="s">
        <v>516</v>
      </c>
      <c r="B417" s="275" t="s">
        <v>1165</v>
      </c>
      <c r="C417" s="275" t="s">
        <v>1063</v>
      </c>
      <c r="D417" s="275" t="s">
        <v>1049</v>
      </c>
      <c r="E417" s="275" t="s">
        <v>647</v>
      </c>
      <c r="F417" s="284" t="s">
        <v>517</v>
      </c>
      <c r="G417" s="282"/>
      <c r="H417" s="442"/>
      <c r="I417" s="282">
        <f t="shared" si="15"/>
        <v>0</v>
      </c>
      <c r="J417" s="282"/>
      <c r="K417" s="442"/>
      <c r="L417" s="282">
        <f t="shared" si="16"/>
        <v>0</v>
      </c>
    </row>
    <row r="418" spans="1:12" ht="43.5" customHeight="1" hidden="1">
      <c r="A418" s="447" t="s">
        <v>1106</v>
      </c>
      <c r="B418" s="275" t="s">
        <v>1165</v>
      </c>
      <c r="C418" s="275" t="s">
        <v>1063</v>
      </c>
      <c r="D418" s="275" t="s">
        <v>1049</v>
      </c>
      <c r="E418" s="275" t="s">
        <v>651</v>
      </c>
      <c r="F418" s="284"/>
      <c r="G418" s="282">
        <f>G419</f>
        <v>0</v>
      </c>
      <c r="H418" s="442"/>
      <c r="I418" s="282">
        <f t="shared" si="15"/>
        <v>0</v>
      </c>
      <c r="J418" s="282">
        <f>J419</f>
        <v>0</v>
      </c>
      <c r="K418" s="442"/>
      <c r="L418" s="282">
        <f t="shared" si="16"/>
        <v>0</v>
      </c>
    </row>
    <row r="419" spans="1:12" ht="26.25" customHeight="1" hidden="1">
      <c r="A419" s="290" t="s">
        <v>516</v>
      </c>
      <c r="B419" s="275" t="s">
        <v>1165</v>
      </c>
      <c r="C419" s="275" t="s">
        <v>1063</v>
      </c>
      <c r="D419" s="275" t="s">
        <v>1049</v>
      </c>
      <c r="E419" s="275" t="s">
        <v>651</v>
      </c>
      <c r="F419" s="284" t="s">
        <v>517</v>
      </c>
      <c r="G419" s="282"/>
      <c r="H419" s="442"/>
      <c r="I419" s="282">
        <f t="shared" si="15"/>
        <v>0</v>
      </c>
      <c r="J419" s="282"/>
      <c r="K419" s="442"/>
      <c r="L419" s="282">
        <f t="shared" si="16"/>
        <v>0</v>
      </c>
    </row>
    <row r="420" spans="1:12" ht="15" customHeight="1" hidden="1">
      <c r="A420" s="310" t="s">
        <v>652</v>
      </c>
      <c r="B420" s="275" t="s">
        <v>1165</v>
      </c>
      <c r="C420" s="275" t="s">
        <v>1063</v>
      </c>
      <c r="D420" s="275" t="s">
        <v>1049</v>
      </c>
      <c r="E420" s="275" t="s">
        <v>653</v>
      </c>
      <c r="F420" s="284"/>
      <c r="G420" s="282">
        <f>G421</f>
        <v>0</v>
      </c>
      <c r="H420" s="442"/>
      <c r="I420" s="282">
        <f t="shared" si="15"/>
        <v>0</v>
      </c>
      <c r="J420" s="282">
        <f>J421</f>
        <v>0</v>
      </c>
      <c r="K420" s="442"/>
      <c r="L420" s="282">
        <f t="shared" si="16"/>
        <v>0</v>
      </c>
    </row>
    <row r="421" spans="1:12" ht="51.75" customHeight="1" hidden="1">
      <c r="A421" s="290" t="s">
        <v>522</v>
      </c>
      <c r="B421" s="275" t="s">
        <v>1165</v>
      </c>
      <c r="C421" s="275" t="s">
        <v>1063</v>
      </c>
      <c r="D421" s="275" t="s">
        <v>1049</v>
      </c>
      <c r="E421" s="275" t="s">
        <v>653</v>
      </c>
      <c r="F421" s="284" t="s">
        <v>523</v>
      </c>
      <c r="G421" s="282"/>
      <c r="H421" s="442"/>
      <c r="I421" s="282">
        <f t="shared" si="15"/>
        <v>0</v>
      </c>
      <c r="J421" s="282"/>
      <c r="K421" s="442"/>
      <c r="L421" s="282">
        <f t="shared" si="16"/>
        <v>0</v>
      </c>
    </row>
    <row r="422" spans="1:12" ht="27" customHeight="1">
      <c r="A422" s="288" t="s">
        <v>520</v>
      </c>
      <c r="B422" s="275" t="s">
        <v>1165</v>
      </c>
      <c r="C422" s="275" t="s">
        <v>1063</v>
      </c>
      <c r="D422" s="275" t="s">
        <v>1049</v>
      </c>
      <c r="E422" s="275" t="s">
        <v>654</v>
      </c>
      <c r="F422" s="284"/>
      <c r="G422" s="282">
        <f>G423+G424</f>
        <v>21498583</v>
      </c>
      <c r="H422" s="293">
        <f>H423+H424</f>
        <v>7257341</v>
      </c>
      <c r="I422" s="282">
        <f t="shared" si="15"/>
        <v>28755924</v>
      </c>
      <c r="J422" s="282">
        <f>J423+J424</f>
        <v>21498583</v>
      </c>
      <c r="K422" s="293">
        <f>K423+K424</f>
        <v>7257341</v>
      </c>
      <c r="L422" s="282">
        <f t="shared" si="16"/>
        <v>28755924</v>
      </c>
    </row>
    <row r="423" spans="1:12" ht="26.25">
      <c r="A423" s="290" t="s">
        <v>516</v>
      </c>
      <c r="B423" s="275" t="s">
        <v>1165</v>
      </c>
      <c r="C423" s="275" t="s">
        <v>1063</v>
      </c>
      <c r="D423" s="275" t="s">
        <v>1049</v>
      </c>
      <c r="E423" s="275" t="s">
        <v>654</v>
      </c>
      <c r="F423" s="284" t="s">
        <v>517</v>
      </c>
      <c r="G423" s="282">
        <v>19425845</v>
      </c>
      <c r="H423" s="293">
        <f>6327341+930000</f>
        <v>7257341</v>
      </c>
      <c r="I423" s="282">
        <f t="shared" si="15"/>
        <v>26683186</v>
      </c>
      <c r="J423" s="282">
        <v>19425845</v>
      </c>
      <c r="K423" s="293">
        <f>6327341+930000</f>
        <v>7257341</v>
      </c>
      <c r="L423" s="282">
        <f t="shared" si="16"/>
        <v>26683186</v>
      </c>
    </row>
    <row r="424" spans="1:12" ht="21" customHeight="1">
      <c r="A424" s="288" t="s">
        <v>524</v>
      </c>
      <c r="B424" s="275" t="s">
        <v>1165</v>
      </c>
      <c r="C424" s="275" t="s">
        <v>1063</v>
      </c>
      <c r="D424" s="275" t="s">
        <v>1049</v>
      </c>
      <c r="E424" s="275" t="s">
        <v>654</v>
      </c>
      <c r="F424" s="284" t="s">
        <v>525</v>
      </c>
      <c r="G424" s="282">
        <v>2072738</v>
      </c>
      <c r="H424" s="442"/>
      <c r="I424" s="282">
        <f t="shared" si="15"/>
        <v>2072738</v>
      </c>
      <c r="J424" s="282">
        <v>2072738</v>
      </c>
      <c r="K424" s="442"/>
      <c r="L424" s="282">
        <f t="shared" si="16"/>
        <v>2072738</v>
      </c>
    </row>
    <row r="425" spans="1:12" ht="15" customHeight="1" hidden="1">
      <c r="A425" s="290" t="s">
        <v>655</v>
      </c>
      <c r="B425" s="275" t="s">
        <v>1165</v>
      </c>
      <c r="C425" s="275" t="s">
        <v>1063</v>
      </c>
      <c r="D425" s="275" t="s">
        <v>1049</v>
      </c>
      <c r="E425" s="275" t="s">
        <v>656</v>
      </c>
      <c r="F425" s="284"/>
      <c r="G425" s="282">
        <f>G426</f>
        <v>0</v>
      </c>
      <c r="H425" s="442"/>
      <c r="I425" s="282">
        <f t="shared" si="15"/>
        <v>0</v>
      </c>
      <c r="J425" s="282">
        <f>J426</f>
        <v>0</v>
      </c>
      <c r="K425" s="442"/>
      <c r="L425" s="282">
        <f t="shared" si="16"/>
        <v>0</v>
      </c>
    </row>
    <row r="426" spans="1:12" ht="26.25" customHeight="1" hidden="1">
      <c r="A426" s="290" t="s">
        <v>516</v>
      </c>
      <c r="B426" s="275" t="s">
        <v>1165</v>
      </c>
      <c r="C426" s="275" t="s">
        <v>1063</v>
      </c>
      <c r="D426" s="275" t="s">
        <v>1049</v>
      </c>
      <c r="E426" s="275" t="s">
        <v>656</v>
      </c>
      <c r="F426" s="284" t="s">
        <v>517</v>
      </c>
      <c r="G426" s="282"/>
      <c r="H426" s="442"/>
      <c r="I426" s="282">
        <f t="shared" si="15"/>
        <v>0</v>
      </c>
      <c r="J426" s="282"/>
      <c r="K426" s="442"/>
      <c r="L426" s="282">
        <f t="shared" si="16"/>
        <v>0</v>
      </c>
    </row>
    <row r="427" spans="1:12" ht="25.5" customHeight="1" hidden="1">
      <c r="A427" s="288" t="s">
        <v>657</v>
      </c>
      <c r="B427" s="275" t="s">
        <v>1165</v>
      </c>
      <c r="C427" s="275" t="s">
        <v>1063</v>
      </c>
      <c r="D427" s="275" t="s">
        <v>1049</v>
      </c>
      <c r="E427" s="275" t="s">
        <v>658</v>
      </c>
      <c r="F427" s="284"/>
      <c r="G427" s="282">
        <f>G428+G430</f>
        <v>0</v>
      </c>
      <c r="H427" s="442"/>
      <c r="I427" s="282">
        <f t="shared" si="15"/>
        <v>0</v>
      </c>
      <c r="J427" s="282">
        <f>J428+J430</f>
        <v>0</v>
      </c>
      <c r="K427" s="442"/>
      <c r="L427" s="282">
        <f t="shared" si="16"/>
        <v>0</v>
      </c>
    </row>
    <row r="428" spans="1:12" ht="26.25" customHeight="1" hidden="1">
      <c r="A428" s="447" t="s">
        <v>659</v>
      </c>
      <c r="B428" s="275" t="s">
        <v>1165</v>
      </c>
      <c r="C428" s="275" t="s">
        <v>1063</v>
      </c>
      <c r="D428" s="275" t="s">
        <v>1049</v>
      </c>
      <c r="E428" s="275" t="s">
        <v>660</v>
      </c>
      <c r="F428" s="284"/>
      <c r="G428" s="282">
        <f>G429</f>
        <v>0</v>
      </c>
      <c r="H428" s="442"/>
      <c r="I428" s="282">
        <f t="shared" si="15"/>
        <v>0</v>
      </c>
      <c r="J428" s="282">
        <f>J429</f>
        <v>0</v>
      </c>
      <c r="K428" s="442"/>
      <c r="L428" s="282">
        <f t="shared" si="16"/>
        <v>0</v>
      </c>
    </row>
    <row r="429" spans="1:12" ht="51.75" customHeight="1" hidden="1">
      <c r="A429" s="290" t="s">
        <v>522</v>
      </c>
      <c r="B429" s="275" t="s">
        <v>1165</v>
      </c>
      <c r="C429" s="275" t="s">
        <v>1063</v>
      </c>
      <c r="D429" s="275" t="s">
        <v>1049</v>
      </c>
      <c r="E429" s="275" t="s">
        <v>660</v>
      </c>
      <c r="F429" s="284" t="s">
        <v>523</v>
      </c>
      <c r="G429" s="282"/>
      <c r="H429" s="442"/>
      <c r="I429" s="282">
        <f t="shared" si="15"/>
        <v>0</v>
      </c>
      <c r="J429" s="282"/>
      <c r="K429" s="442"/>
      <c r="L429" s="282">
        <f t="shared" si="16"/>
        <v>0</v>
      </c>
    </row>
    <row r="430" spans="1:12" ht="26.25" customHeight="1" hidden="1">
      <c r="A430" s="447" t="s">
        <v>661</v>
      </c>
      <c r="B430" s="275" t="s">
        <v>1165</v>
      </c>
      <c r="C430" s="275" t="s">
        <v>1063</v>
      </c>
      <c r="D430" s="275" t="s">
        <v>1049</v>
      </c>
      <c r="E430" s="275" t="s">
        <v>662</v>
      </c>
      <c r="F430" s="284"/>
      <c r="G430" s="282">
        <f>G431</f>
        <v>0</v>
      </c>
      <c r="H430" s="442"/>
      <c r="I430" s="282">
        <f t="shared" si="15"/>
        <v>0</v>
      </c>
      <c r="J430" s="282">
        <f>J431</f>
        <v>0</v>
      </c>
      <c r="K430" s="442"/>
      <c r="L430" s="282">
        <f t="shared" si="16"/>
        <v>0</v>
      </c>
    </row>
    <row r="431" spans="1:12" ht="51.75" customHeight="1" hidden="1">
      <c r="A431" s="290" t="s">
        <v>522</v>
      </c>
      <c r="B431" s="275" t="s">
        <v>1165</v>
      </c>
      <c r="C431" s="275" t="s">
        <v>1063</v>
      </c>
      <c r="D431" s="275" t="s">
        <v>1049</v>
      </c>
      <c r="E431" s="275" t="s">
        <v>662</v>
      </c>
      <c r="F431" s="284" t="s">
        <v>523</v>
      </c>
      <c r="G431" s="282">
        <f>100000-100000</f>
        <v>0</v>
      </c>
      <c r="H431" s="442"/>
      <c r="I431" s="282">
        <f t="shared" si="15"/>
        <v>0</v>
      </c>
      <c r="J431" s="282">
        <f>100000-100000</f>
        <v>0</v>
      </c>
      <c r="K431" s="442"/>
      <c r="L431" s="282">
        <f t="shared" si="16"/>
        <v>0</v>
      </c>
    </row>
    <row r="432" spans="1:12" ht="41.25" customHeight="1" hidden="1">
      <c r="A432" s="460" t="s">
        <v>1107</v>
      </c>
      <c r="B432" s="275" t="s">
        <v>1165</v>
      </c>
      <c r="C432" s="275" t="s">
        <v>1063</v>
      </c>
      <c r="D432" s="275" t="s">
        <v>1049</v>
      </c>
      <c r="E432" s="289" t="s">
        <v>722</v>
      </c>
      <c r="F432" s="284"/>
      <c r="G432" s="282">
        <f>G433</f>
        <v>0</v>
      </c>
      <c r="H432" s="442"/>
      <c r="I432" s="282">
        <f t="shared" si="15"/>
        <v>0</v>
      </c>
      <c r="J432" s="282">
        <f>J433</f>
        <v>0</v>
      </c>
      <c r="K432" s="442"/>
      <c r="L432" s="282">
        <f t="shared" si="16"/>
        <v>0</v>
      </c>
    </row>
    <row r="433" spans="1:12" ht="82.5" customHeight="1" hidden="1">
      <c r="A433" s="310" t="s">
        <v>1108</v>
      </c>
      <c r="B433" s="275" t="s">
        <v>1165</v>
      </c>
      <c r="C433" s="275" t="s">
        <v>1063</v>
      </c>
      <c r="D433" s="275" t="s">
        <v>1049</v>
      </c>
      <c r="E433" s="453" t="s">
        <v>1097</v>
      </c>
      <c r="F433" s="284"/>
      <c r="G433" s="282">
        <f>G434</f>
        <v>0</v>
      </c>
      <c r="H433" s="442"/>
      <c r="I433" s="282">
        <f t="shared" si="15"/>
        <v>0</v>
      </c>
      <c r="J433" s="282">
        <f>J434</f>
        <v>0</v>
      </c>
      <c r="K433" s="442"/>
      <c r="L433" s="282">
        <f t="shared" si="16"/>
        <v>0</v>
      </c>
    </row>
    <row r="434" spans="1:12" ht="38.25" customHeight="1" hidden="1">
      <c r="A434" s="288" t="s">
        <v>745</v>
      </c>
      <c r="B434" s="275" t="s">
        <v>1165</v>
      </c>
      <c r="C434" s="275" t="s">
        <v>1063</v>
      </c>
      <c r="D434" s="275" t="s">
        <v>1049</v>
      </c>
      <c r="E434" s="298" t="s">
        <v>746</v>
      </c>
      <c r="F434" s="284"/>
      <c r="G434" s="282">
        <f>G437+G435</f>
        <v>0</v>
      </c>
      <c r="H434" s="442"/>
      <c r="I434" s="282">
        <f t="shared" si="15"/>
        <v>0</v>
      </c>
      <c r="J434" s="282">
        <f>J437+J435</f>
        <v>0</v>
      </c>
      <c r="K434" s="442"/>
      <c r="L434" s="282">
        <f t="shared" si="16"/>
        <v>0</v>
      </c>
    </row>
    <row r="435" spans="1:12" ht="30" customHeight="1" hidden="1">
      <c r="A435" s="318" t="s">
        <v>747</v>
      </c>
      <c r="B435" s="275" t="s">
        <v>1165</v>
      </c>
      <c r="C435" s="275" t="s">
        <v>1063</v>
      </c>
      <c r="D435" s="275" t="s">
        <v>1049</v>
      </c>
      <c r="E435" s="298" t="s">
        <v>748</v>
      </c>
      <c r="F435" s="284"/>
      <c r="G435" s="282">
        <f>G436</f>
        <v>0</v>
      </c>
      <c r="H435" s="442"/>
      <c r="I435" s="282">
        <f t="shared" si="15"/>
        <v>0</v>
      </c>
      <c r="J435" s="282">
        <f>J436</f>
        <v>0</v>
      </c>
      <c r="K435" s="442"/>
      <c r="L435" s="282">
        <f t="shared" si="16"/>
        <v>0</v>
      </c>
    </row>
    <row r="436" spans="1:12" ht="26.25" customHeight="1" hidden="1">
      <c r="A436" s="290" t="s">
        <v>751</v>
      </c>
      <c r="B436" s="275" t="s">
        <v>1165</v>
      </c>
      <c r="C436" s="275" t="s">
        <v>1063</v>
      </c>
      <c r="D436" s="275" t="s">
        <v>1049</v>
      </c>
      <c r="E436" s="298" t="s">
        <v>748</v>
      </c>
      <c r="F436" s="284" t="s">
        <v>752</v>
      </c>
      <c r="G436" s="282"/>
      <c r="H436" s="442"/>
      <c r="I436" s="282">
        <f t="shared" si="15"/>
        <v>0</v>
      </c>
      <c r="J436" s="282"/>
      <c r="K436" s="442"/>
      <c r="L436" s="282">
        <f t="shared" si="16"/>
        <v>0</v>
      </c>
    </row>
    <row r="437" spans="1:12" ht="24" customHeight="1" hidden="1">
      <c r="A437" s="318" t="s">
        <v>749</v>
      </c>
      <c r="B437" s="275" t="s">
        <v>1165</v>
      </c>
      <c r="C437" s="275" t="s">
        <v>1063</v>
      </c>
      <c r="D437" s="275" t="s">
        <v>1049</v>
      </c>
      <c r="E437" s="298" t="s">
        <v>750</v>
      </c>
      <c r="F437" s="284"/>
      <c r="G437" s="282">
        <f>G438</f>
        <v>0</v>
      </c>
      <c r="H437" s="442"/>
      <c r="I437" s="282">
        <f t="shared" si="15"/>
        <v>0</v>
      </c>
      <c r="J437" s="282">
        <f>J438</f>
        <v>0</v>
      </c>
      <c r="K437" s="442"/>
      <c r="L437" s="282">
        <f t="shared" si="16"/>
        <v>0</v>
      </c>
    </row>
    <row r="438" spans="1:12" ht="26.25" customHeight="1" hidden="1">
      <c r="A438" s="290" t="s">
        <v>751</v>
      </c>
      <c r="B438" s="275" t="s">
        <v>1165</v>
      </c>
      <c r="C438" s="275" t="s">
        <v>1063</v>
      </c>
      <c r="D438" s="275" t="s">
        <v>1049</v>
      </c>
      <c r="E438" s="298" t="s">
        <v>750</v>
      </c>
      <c r="F438" s="284" t="s">
        <v>752</v>
      </c>
      <c r="G438" s="282"/>
      <c r="H438" s="442"/>
      <c r="I438" s="282">
        <f t="shared" si="15"/>
        <v>0</v>
      </c>
      <c r="J438" s="282"/>
      <c r="K438" s="442"/>
      <c r="L438" s="282">
        <f t="shared" si="16"/>
        <v>0</v>
      </c>
    </row>
    <row r="439" spans="1:12" ht="18.75" customHeight="1" hidden="1">
      <c r="A439" s="288" t="s">
        <v>771</v>
      </c>
      <c r="B439" s="275" t="s">
        <v>1165</v>
      </c>
      <c r="C439" s="275" t="s">
        <v>1063</v>
      </c>
      <c r="D439" s="275" t="s">
        <v>1049</v>
      </c>
      <c r="E439" s="289" t="s">
        <v>772</v>
      </c>
      <c r="F439" s="284"/>
      <c r="G439" s="282">
        <f>G440</f>
        <v>0</v>
      </c>
      <c r="H439" s="442"/>
      <c r="I439" s="282">
        <f t="shared" si="15"/>
        <v>0</v>
      </c>
      <c r="J439" s="282">
        <f>J440</f>
        <v>0</v>
      </c>
      <c r="K439" s="442"/>
      <c r="L439" s="282">
        <f t="shared" si="16"/>
        <v>0</v>
      </c>
    </row>
    <row r="440" spans="1:12" ht="63.75" customHeight="1" hidden="1">
      <c r="A440" s="451" t="s">
        <v>779</v>
      </c>
      <c r="B440" s="275" t="s">
        <v>1165</v>
      </c>
      <c r="C440" s="443" t="s">
        <v>1063</v>
      </c>
      <c r="D440" s="443" t="s">
        <v>1049</v>
      </c>
      <c r="E440" s="453" t="s">
        <v>780</v>
      </c>
      <c r="F440" s="448"/>
      <c r="G440" s="446">
        <f>G441</f>
        <v>0</v>
      </c>
      <c r="H440" s="442"/>
      <c r="I440" s="282">
        <f aca="true" t="shared" si="18" ref="I440:I503">G440+H440</f>
        <v>0</v>
      </c>
      <c r="J440" s="446">
        <f>J441</f>
        <v>0</v>
      </c>
      <c r="K440" s="442"/>
      <c r="L440" s="282">
        <f aca="true" t="shared" si="19" ref="L440:L503">J440+K440</f>
        <v>0</v>
      </c>
    </row>
    <row r="441" spans="1:12" ht="38.25" customHeight="1" hidden="1">
      <c r="A441" s="451" t="s">
        <v>785</v>
      </c>
      <c r="B441" s="275" t="s">
        <v>1165</v>
      </c>
      <c r="C441" s="275" t="s">
        <v>1063</v>
      </c>
      <c r="D441" s="275" t="s">
        <v>1049</v>
      </c>
      <c r="E441" s="289" t="s">
        <v>786</v>
      </c>
      <c r="F441" s="284"/>
      <c r="G441" s="282">
        <f>G442</f>
        <v>0</v>
      </c>
      <c r="H441" s="442"/>
      <c r="I441" s="282">
        <f t="shared" si="18"/>
        <v>0</v>
      </c>
      <c r="J441" s="282">
        <f>J442</f>
        <v>0</v>
      </c>
      <c r="K441" s="442"/>
      <c r="L441" s="282">
        <f t="shared" si="19"/>
        <v>0</v>
      </c>
    </row>
    <row r="442" spans="1:12" ht="25.5" customHeight="1" hidden="1">
      <c r="A442" s="288" t="s">
        <v>520</v>
      </c>
      <c r="B442" s="275" t="s">
        <v>1165</v>
      </c>
      <c r="C442" s="275" t="s">
        <v>1063</v>
      </c>
      <c r="D442" s="275" t="s">
        <v>1049</v>
      </c>
      <c r="E442" s="289" t="s">
        <v>787</v>
      </c>
      <c r="F442" s="284"/>
      <c r="G442" s="282">
        <f>G443+G444+G445</f>
        <v>0</v>
      </c>
      <c r="H442" s="442">
        <f>H443+H444</f>
        <v>0</v>
      </c>
      <c r="I442" s="282">
        <f t="shared" si="18"/>
        <v>0</v>
      </c>
      <c r="J442" s="282">
        <f>J443+J444+J445</f>
        <v>0</v>
      </c>
      <c r="K442" s="442">
        <f>K443+K444</f>
        <v>0</v>
      </c>
      <c r="L442" s="282">
        <f t="shared" si="19"/>
        <v>0</v>
      </c>
    </row>
    <row r="443" spans="1:12" ht="51.75" customHeight="1" hidden="1">
      <c r="A443" s="290" t="s">
        <v>522</v>
      </c>
      <c r="B443" s="275" t="s">
        <v>1165</v>
      </c>
      <c r="C443" s="275" t="s">
        <v>1063</v>
      </c>
      <c r="D443" s="275" t="s">
        <v>1049</v>
      </c>
      <c r="E443" s="289" t="s">
        <v>787</v>
      </c>
      <c r="F443" s="284" t="s">
        <v>523</v>
      </c>
      <c r="G443" s="282">
        <f>610000-610000</f>
        <v>0</v>
      </c>
      <c r="H443" s="442"/>
      <c r="I443" s="282">
        <f t="shared" si="18"/>
        <v>0</v>
      </c>
      <c r="J443" s="282">
        <f>610000-610000</f>
        <v>0</v>
      </c>
      <c r="K443" s="442"/>
      <c r="L443" s="282">
        <f t="shared" si="19"/>
        <v>0</v>
      </c>
    </row>
    <row r="444" spans="1:12" ht="26.25" customHeight="1" hidden="1">
      <c r="A444" s="290" t="s">
        <v>516</v>
      </c>
      <c r="B444" s="275" t="s">
        <v>1165</v>
      </c>
      <c r="C444" s="275" t="s">
        <v>1063</v>
      </c>
      <c r="D444" s="275" t="s">
        <v>1049</v>
      </c>
      <c r="E444" s="289" t="s">
        <v>787</v>
      </c>
      <c r="F444" s="284" t="s">
        <v>517</v>
      </c>
      <c r="G444" s="282"/>
      <c r="H444" s="442"/>
      <c r="I444" s="282">
        <f t="shared" si="18"/>
        <v>0</v>
      </c>
      <c r="J444" s="282"/>
      <c r="K444" s="442"/>
      <c r="L444" s="282">
        <f t="shared" si="19"/>
        <v>0</v>
      </c>
    </row>
    <row r="445" spans="1:12" ht="15" customHeight="1" hidden="1">
      <c r="A445" s="288" t="s">
        <v>524</v>
      </c>
      <c r="B445" s="275" t="s">
        <v>1165</v>
      </c>
      <c r="C445" s="275" t="s">
        <v>1063</v>
      </c>
      <c r="D445" s="275" t="s">
        <v>1049</v>
      </c>
      <c r="E445" s="289" t="s">
        <v>787</v>
      </c>
      <c r="F445" s="284" t="s">
        <v>525</v>
      </c>
      <c r="G445" s="282"/>
      <c r="H445" s="442"/>
      <c r="I445" s="282">
        <f t="shared" si="18"/>
        <v>0</v>
      </c>
      <c r="J445" s="282"/>
      <c r="K445" s="442"/>
      <c r="L445" s="282">
        <f t="shared" si="19"/>
        <v>0</v>
      </c>
    </row>
    <row r="446" spans="1:12" ht="54.75" customHeight="1">
      <c r="A446" s="455" t="s">
        <v>822</v>
      </c>
      <c r="B446" s="275" t="s">
        <v>1165</v>
      </c>
      <c r="C446" s="275" t="s">
        <v>1063</v>
      </c>
      <c r="D446" s="275" t="s">
        <v>1049</v>
      </c>
      <c r="E446" s="289" t="s">
        <v>823</v>
      </c>
      <c r="F446" s="284"/>
      <c r="G446" s="282">
        <f>G447</f>
        <v>167800</v>
      </c>
      <c r="H446" s="442"/>
      <c r="I446" s="282">
        <f t="shared" si="18"/>
        <v>167800</v>
      </c>
      <c r="J446" s="282">
        <f>J447</f>
        <v>167800</v>
      </c>
      <c r="K446" s="442"/>
      <c r="L446" s="282">
        <f t="shared" si="19"/>
        <v>167800</v>
      </c>
    </row>
    <row r="447" spans="1:12" ht="75.75" customHeight="1">
      <c r="A447" s="456" t="s">
        <v>843</v>
      </c>
      <c r="B447" s="275" t="s">
        <v>1165</v>
      </c>
      <c r="C447" s="443" t="s">
        <v>1063</v>
      </c>
      <c r="D447" s="443" t="s">
        <v>1049</v>
      </c>
      <c r="E447" s="453" t="s">
        <v>844</v>
      </c>
      <c r="F447" s="448"/>
      <c r="G447" s="446">
        <f>G448+G451</f>
        <v>167800</v>
      </c>
      <c r="H447" s="442"/>
      <c r="I447" s="282">
        <f t="shared" si="18"/>
        <v>167800</v>
      </c>
      <c r="J447" s="446">
        <f>J448+J451</f>
        <v>167800</v>
      </c>
      <c r="K447" s="442"/>
      <c r="L447" s="282">
        <f t="shared" si="19"/>
        <v>167800</v>
      </c>
    </row>
    <row r="448" spans="1:12" ht="25.5" customHeight="1" hidden="1">
      <c r="A448" s="457" t="s">
        <v>845</v>
      </c>
      <c r="B448" s="275" t="s">
        <v>1165</v>
      </c>
      <c r="C448" s="275" t="s">
        <v>1063</v>
      </c>
      <c r="D448" s="275" t="s">
        <v>1049</v>
      </c>
      <c r="E448" s="289" t="s">
        <v>846</v>
      </c>
      <c r="F448" s="284"/>
      <c r="G448" s="282">
        <f>G449</f>
        <v>0</v>
      </c>
      <c r="H448" s="442"/>
      <c r="I448" s="282">
        <f t="shared" si="18"/>
        <v>0</v>
      </c>
      <c r="J448" s="282">
        <f>J449</f>
        <v>0</v>
      </c>
      <c r="K448" s="442"/>
      <c r="L448" s="282">
        <f t="shared" si="19"/>
        <v>0</v>
      </c>
    </row>
    <row r="449" spans="1:12" ht="25.5" customHeight="1" hidden="1">
      <c r="A449" s="288" t="s">
        <v>847</v>
      </c>
      <c r="B449" s="275" t="s">
        <v>1165</v>
      </c>
      <c r="C449" s="275" t="s">
        <v>1063</v>
      </c>
      <c r="D449" s="275" t="s">
        <v>1049</v>
      </c>
      <c r="E449" s="289" t="s">
        <v>848</v>
      </c>
      <c r="F449" s="284"/>
      <c r="G449" s="282">
        <f>G450</f>
        <v>0</v>
      </c>
      <c r="H449" s="442"/>
      <c r="I449" s="282">
        <f t="shared" si="18"/>
        <v>0</v>
      </c>
      <c r="J449" s="282">
        <f>J450</f>
        <v>0</v>
      </c>
      <c r="K449" s="442"/>
      <c r="L449" s="282">
        <f t="shared" si="19"/>
        <v>0</v>
      </c>
    </row>
    <row r="450" spans="1:12" ht="26.25" customHeight="1" hidden="1">
      <c r="A450" s="290" t="s">
        <v>516</v>
      </c>
      <c r="B450" s="275" t="s">
        <v>1165</v>
      </c>
      <c r="C450" s="275" t="s">
        <v>1063</v>
      </c>
      <c r="D450" s="275" t="s">
        <v>1049</v>
      </c>
      <c r="E450" s="289" t="s">
        <v>848</v>
      </c>
      <c r="F450" s="284" t="s">
        <v>517</v>
      </c>
      <c r="G450" s="282"/>
      <c r="H450" s="442"/>
      <c r="I450" s="282">
        <f t="shared" si="18"/>
        <v>0</v>
      </c>
      <c r="J450" s="282"/>
      <c r="K450" s="442"/>
      <c r="L450" s="282">
        <f t="shared" si="19"/>
        <v>0</v>
      </c>
    </row>
    <row r="451" spans="1:12" ht="63.75" customHeight="1">
      <c r="A451" s="457" t="s">
        <v>849</v>
      </c>
      <c r="B451" s="275" t="s">
        <v>1165</v>
      </c>
      <c r="C451" s="275" t="s">
        <v>1063</v>
      </c>
      <c r="D451" s="275" t="s">
        <v>1049</v>
      </c>
      <c r="E451" s="289" t="s">
        <v>850</v>
      </c>
      <c r="F451" s="284"/>
      <c r="G451" s="282">
        <f>G452</f>
        <v>167800</v>
      </c>
      <c r="H451" s="442"/>
      <c r="I451" s="282">
        <f t="shared" si="18"/>
        <v>167800</v>
      </c>
      <c r="J451" s="282">
        <f>J452</f>
        <v>167800</v>
      </c>
      <c r="K451" s="442"/>
      <c r="L451" s="282">
        <f t="shared" si="19"/>
        <v>167800</v>
      </c>
    </row>
    <row r="452" spans="1:12" ht="30.75" customHeight="1">
      <c r="A452" s="288" t="s">
        <v>847</v>
      </c>
      <c r="B452" s="275" t="s">
        <v>1165</v>
      </c>
      <c r="C452" s="275" t="s">
        <v>1063</v>
      </c>
      <c r="D452" s="275" t="s">
        <v>1049</v>
      </c>
      <c r="E452" s="289" t="s">
        <v>851</v>
      </c>
      <c r="F452" s="284"/>
      <c r="G452" s="282">
        <f>G453</f>
        <v>167800</v>
      </c>
      <c r="H452" s="442"/>
      <c r="I452" s="282">
        <f t="shared" si="18"/>
        <v>167800</v>
      </c>
      <c r="J452" s="282">
        <f>J453</f>
        <v>167800</v>
      </c>
      <c r="K452" s="442"/>
      <c r="L452" s="282">
        <f t="shared" si="19"/>
        <v>167800</v>
      </c>
    </row>
    <row r="453" spans="1:12" ht="34.5" customHeight="1">
      <c r="A453" s="290" t="s">
        <v>516</v>
      </c>
      <c r="B453" s="275" t="s">
        <v>1165</v>
      </c>
      <c r="C453" s="275" t="s">
        <v>1063</v>
      </c>
      <c r="D453" s="275" t="s">
        <v>1049</v>
      </c>
      <c r="E453" s="289" t="s">
        <v>851</v>
      </c>
      <c r="F453" s="284" t="s">
        <v>517</v>
      </c>
      <c r="G453" s="282">
        <v>167800</v>
      </c>
      <c r="H453" s="442"/>
      <c r="I453" s="282">
        <f t="shared" si="18"/>
        <v>167800</v>
      </c>
      <c r="J453" s="282">
        <v>167800</v>
      </c>
      <c r="K453" s="442"/>
      <c r="L453" s="282">
        <f t="shared" si="19"/>
        <v>167800</v>
      </c>
    </row>
    <row r="454" spans="1:12" ht="42" customHeight="1">
      <c r="A454" s="311" t="s">
        <v>937</v>
      </c>
      <c r="B454" s="275" t="s">
        <v>1165</v>
      </c>
      <c r="C454" s="275" t="s">
        <v>1063</v>
      </c>
      <c r="D454" s="275" t="s">
        <v>1049</v>
      </c>
      <c r="E454" s="275" t="s">
        <v>938</v>
      </c>
      <c r="F454" s="303"/>
      <c r="G454" s="282">
        <f>G455</f>
        <v>10000</v>
      </c>
      <c r="H454" s="442"/>
      <c r="I454" s="282">
        <f t="shared" si="18"/>
        <v>10000</v>
      </c>
      <c r="J454" s="282">
        <f>J455</f>
        <v>10000</v>
      </c>
      <c r="K454" s="442"/>
      <c r="L454" s="282">
        <f t="shared" si="19"/>
        <v>10000</v>
      </c>
    </row>
    <row r="455" spans="1:12" s="308" customFormat="1" ht="60" customHeight="1">
      <c r="A455" s="287" t="s">
        <v>939</v>
      </c>
      <c r="B455" s="275" t="s">
        <v>1165</v>
      </c>
      <c r="C455" s="443" t="s">
        <v>1063</v>
      </c>
      <c r="D455" s="443" t="s">
        <v>1049</v>
      </c>
      <c r="E455" s="443" t="s">
        <v>940</v>
      </c>
      <c r="F455" s="445"/>
      <c r="G455" s="446">
        <f>G456</f>
        <v>10000</v>
      </c>
      <c r="H455" s="449"/>
      <c r="I455" s="446">
        <f t="shared" si="18"/>
        <v>10000</v>
      </c>
      <c r="J455" s="446">
        <f>J456</f>
        <v>10000</v>
      </c>
      <c r="K455" s="449"/>
      <c r="L455" s="446">
        <f t="shared" si="19"/>
        <v>10000</v>
      </c>
    </row>
    <row r="456" spans="1:12" ht="26.25">
      <c r="A456" s="318" t="s">
        <v>941</v>
      </c>
      <c r="B456" s="275" t="s">
        <v>1165</v>
      </c>
      <c r="C456" s="275" t="s">
        <v>1063</v>
      </c>
      <c r="D456" s="275" t="s">
        <v>1049</v>
      </c>
      <c r="E456" s="275" t="s">
        <v>942</v>
      </c>
      <c r="F456" s="303"/>
      <c r="G456" s="282">
        <f>G457</f>
        <v>10000</v>
      </c>
      <c r="H456" s="442"/>
      <c r="I456" s="282">
        <f t="shared" si="18"/>
        <v>10000</v>
      </c>
      <c r="J456" s="282">
        <f>J457</f>
        <v>10000</v>
      </c>
      <c r="K456" s="442"/>
      <c r="L456" s="282">
        <f t="shared" si="19"/>
        <v>10000</v>
      </c>
    </row>
    <row r="457" spans="1:12" ht="13.5">
      <c r="A457" s="318" t="s">
        <v>943</v>
      </c>
      <c r="B457" s="275" t="s">
        <v>1165</v>
      </c>
      <c r="C457" s="275" t="s">
        <v>1063</v>
      </c>
      <c r="D457" s="275" t="s">
        <v>1049</v>
      </c>
      <c r="E457" s="275" t="s">
        <v>944</v>
      </c>
      <c r="F457" s="303"/>
      <c r="G457" s="282">
        <f>G458</f>
        <v>10000</v>
      </c>
      <c r="H457" s="442"/>
      <c r="I457" s="282">
        <f t="shared" si="18"/>
        <v>10000</v>
      </c>
      <c r="J457" s="282">
        <f>J458</f>
        <v>10000</v>
      </c>
      <c r="K457" s="442"/>
      <c r="L457" s="282">
        <f t="shared" si="19"/>
        <v>10000</v>
      </c>
    </row>
    <row r="458" spans="1:12" ht="33.75" customHeight="1">
      <c r="A458" s="290" t="s">
        <v>516</v>
      </c>
      <c r="B458" s="275" t="s">
        <v>1165</v>
      </c>
      <c r="C458" s="275" t="s">
        <v>1063</v>
      </c>
      <c r="D458" s="275" t="s">
        <v>1049</v>
      </c>
      <c r="E458" s="275" t="s">
        <v>944</v>
      </c>
      <c r="F458" s="284" t="s">
        <v>517</v>
      </c>
      <c r="G458" s="282">
        <f>10000</f>
        <v>10000</v>
      </c>
      <c r="H458" s="442"/>
      <c r="I458" s="282">
        <f t="shared" si="18"/>
        <v>10000</v>
      </c>
      <c r="J458" s="282">
        <f>10000</f>
        <v>10000</v>
      </c>
      <c r="K458" s="442"/>
      <c r="L458" s="282">
        <f t="shared" si="19"/>
        <v>10000</v>
      </c>
    </row>
    <row r="459" spans="1:12" ht="36" customHeight="1">
      <c r="A459" s="290" t="s">
        <v>1111</v>
      </c>
      <c r="B459" s="275" t="s">
        <v>1165</v>
      </c>
      <c r="C459" s="275" t="s">
        <v>1063</v>
      </c>
      <c r="D459" s="275" t="s">
        <v>1051</v>
      </c>
      <c r="E459" s="275"/>
      <c r="F459" s="284"/>
      <c r="G459" s="282">
        <f>G460</f>
        <v>14612063</v>
      </c>
      <c r="H459" s="442"/>
      <c r="I459" s="282">
        <f t="shared" si="18"/>
        <v>14612063</v>
      </c>
      <c r="J459" s="282">
        <f>J460</f>
        <v>15160063</v>
      </c>
      <c r="K459" s="442"/>
      <c r="L459" s="282">
        <f t="shared" si="19"/>
        <v>15160063</v>
      </c>
    </row>
    <row r="460" spans="1:12" ht="39" customHeight="1">
      <c r="A460" s="281" t="s">
        <v>611</v>
      </c>
      <c r="B460" s="443" t="s">
        <v>1165</v>
      </c>
      <c r="C460" s="275" t="s">
        <v>1063</v>
      </c>
      <c r="D460" s="275" t="s">
        <v>1051</v>
      </c>
      <c r="E460" s="275" t="s">
        <v>612</v>
      </c>
      <c r="F460" s="284"/>
      <c r="G460" s="282">
        <f>G461</f>
        <v>14612063</v>
      </c>
      <c r="H460" s="442"/>
      <c r="I460" s="282">
        <f t="shared" si="18"/>
        <v>14612063</v>
      </c>
      <c r="J460" s="282">
        <f>J461</f>
        <v>15160063</v>
      </c>
      <c r="K460" s="442"/>
      <c r="L460" s="282">
        <f t="shared" si="19"/>
        <v>15160063</v>
      </c>
    </row>
    <row r="461" spans="1:12" s="308" customFormat="1" ht="52.5">
      <c r="A461" s="290" t="s">
        <v>665</v>
      </c>
      <c r="B461" s="275" t="s">
        <v>1165</v>
      </c>
      <c r="C461" s="443" t="s">
        <v>1063</v>
      </c>
      <c r="D461" s="443" t="s">
        <v>1051</v>
      </c>
      <c r="E461" s="443" t="s">
        <v>666</v>
      </c>
      <c r="F461" s="448"/>
      <c r="G461" s="446">
        <f>G462</f>
        <v>14612063</v>
      </c>
      <c r="H461" s="449"/>
      <c r="I461" s="446">
        <f t="shared" si="18"/>
        <v>14612063</v>
      </c>
      <c r="J461" s="446">
        <f>J462</f>
        <v>15160063</v>
      </c>
      <c r="K461" s="449"/>
      <c r="L461" s="446">
        <f t="shared" si="19"/>
        <v>15160063</v>
      </c>
    </row>
    <row r="462" spans="1:12" ht="26.25">
      <c r="A462" s="288" t="s">
        <v>667</v>
      </c>
      <c r="B462" s="275" t="s">
        <v>1165</v>
      </c>
      <c r="C462" s="275" t="s">
        <v>1063</v>
      </c>
      <c r="D462" s="275" t="s">
        <v>1051</v>
      </c>
      <c r="E462" s="275" t="s">
        <v>668</v>
      </c>
      <c r="F462" s="284"/>
      <c r="G462" s="282">
        <f>G463</f>
        <v>14612063</v>
      </c>
      <c r="H462" s="442"/>
      <c r="I462" s="282">
        <f t="shared" si="18"/>
        <v>14612063</v>
      </c>
      <c r="J462" s="282">
        <f>J463</f>
        <v>15160063</v>
      </c>
      <c r="K462" s="442"/>
      <c r="L462" s="282">
        <f t="shared" si="19"/>
        <v>15160063</v>
      </c>
    </row>
    <row r="463" spans="1:12" ht="38.25" customHeight="1">
      <c r="A463" s="288" t="s">
        <v>520</v>
      </c>
      <c r="B463" s="275" t="s">
        <v>1165</v>
      </c>
      <c r="C463" s="275" t="s">
        <v>1063</v>
      </c>
      <c r="D463" s="275" t="s">
        <v>1051</v>
      </c>
      <c r="E463" s="275" t="s">
        <v>669</v>
      </c>
      <c r="F463" s="284"/>
      <c r="G463" s="282">
        <f>G464+G465+G466</f>
        <v>14612063</v>
      </c>
      <c r="H463" s="442"/>
      <c r="I463" s="282">
        <f t="shared" si="18"/>
        <v>14612063</v>
      </c>
      <c r="J463" s="282">
        <f>J464+J465+J466</f>
        <v>15160063</v>
      </c>
      <c r="K463" s="442"/>
      <c r="L463" s="282">
        <f t="shared" si="19"/>
        <v>15160063</v>
      </c>
    </row>
    <row r="464" spans="1:12" ht="66" customHeight="1">
      <c r="A464" s="290" t="s">
        <v>522</v>
      </c>
      <c r="B464" s="275" t="s">
        <v>1165</v>
      </c>
      <c r="C464" s="275" t="s">
        <v>1063</v>
      </c>
      <c r="D464" s="275" t="s">
        <v>1051</v>
      </c>
      <c r="E464" s="275" t="s">
        <v>669</v>
      </c>
      <c r="F464" s="284" t="s">
        <v>523</v>
      </c>
      <c r="G464" s="282">
        <f>14400300-4000000+2452000+1000000</f>
        <v>13852300</v>
      </c>
      <c r="H464" s="442"/>
      <c r="I464" s="282">
        <f t="shared" si="18"/>
        <v>13852300</v>
      </c>
      <c r="J464" s="282">
        <f>14400300-4000000+4000000</f>
        <v>14400300</v>
      </c>
      <c r="K464" s="442"/>
      <c r="L464" s="282">
        <f t="shared" si="19"/>
        <v>14400300</v>
      </c>
    </row>
    <row r="465" spans="1:12" ht="26.25" customHeight="1">
      <c r="A465" s="290" t="s">
        <v>516</v>
      </c>
      <c r="B465" s="275" t="s">
        <v>1165</v>
      </c>
      <c r="C465" s="275" t="s">
        <v>1063</v>
      </c>
      <c r="D465" s="275" t="s">
        <v>1051</v>
      </c>
      <c r="E465" s="275" t="s">
        <v>669</v>
      </c>
      <c r="F465" s="284" t="s">
        <v>517</v>
      </c>
      <c r="G465" s="282">
        <v>644300</v>
      </c>
      <c r="H465" s="442"/>
      <c r="I465" s="282">
        <f t="shared" si="18"/>
        <v>644300</v>
      </c>
      <c r="J465" s="282">
        <v>644300</v>
      </c>
      <c r="K465" s="442"/>
      <c r="L465" s="282">
        <f t="shared" si="19"/>
        <v>644300</v>
      </c>
    </row>
    <row r="466" spans="1:12" ht="22.5" customHeight="1">
      <c r="A466" s="288" t="s">
        <v>524</v>
      </c>
      <c r="B466" s="443" t="s">
        <v>1165</v>
      </c>
      <c r="C466" s="275" t="s">
        <v>1063</v>
      </c>
      <c r="D466" s="275" t="s">
        <v>1051</v>
      </c>
      <c r="E466" s="275" t="s">
        <v>669</v>
      </c>
      <c r="F466" s="284" t="s">
        <v>525</v>
      </c>
      <c r="G466" s="282">
        <v>115463</v>
      </c>
      <c r="H466" s="442"/>
      <c r="I466" s="282">
        <f t="shared" si="18"/>
        <v>115463</v>
      </c>
      <c r="J466" s="282">
        <v>115463</v>
      </c>
      <c r="K466" s="442"/>
      <c r="L466" s="282">
        <f t="shared" si="19"/>
        <v>115463</v>
      </c>
    </row>
    <row r="467" spans="1:12" ht="13.5">
      <c r="A467" s="281" t="s">
        <v>1162</v>
      </c>
      <c r="B467" s="275" t="s">
        <v>1165</v>
      </c>
      <c r="C467" s="275" t="s">
        <v>1063</v>
      </c>
      <c r="D467" s="275" t="s">
        <v>1063</v>
      </c>
      <c r="E467" s="275"/>
      <c r="F467" s="284"/>
      <c r="G467" s="282">
        <f>G468</f>
        <v>1365943</v>
      </c>
      <c r="H467" s="442">
        <f>H468</f>
        <v>1231440</v>
      </c>
      <c r="I467" s="282">
        <f t="shared" si="18"/>
        <v>2597383</v>
      </c>
      <c r="J467" s="282">
        <f>J468</f>
        <v>1338630</v>
      </c>
      <c r="K467" s="442">
        <f>K468</f>
        <v>1231440</v>
      </c>
      <c r="L467" s="282">
        <f t="shared" si="19"/>
        <v>2570070</v>
      </c>
    </row>
    <row r="468" spans="1:12" ht="53.25" customHeight="1">
      <c r="A468" s="288" t="s">
        <v>771</v>
      </c>
      <c r="B468" s="275" t="s">
        <v>1165</v>
      </c>
      <c r="C468" s="275" t="s">
        <v>1063</v>
      </c>
      <c r="D468" s="275" t="s">
        <v>1063</v>
      </c>
      <c r="E468" s="289" t="s">
        <v>772</v>
      </c>
      <c r="F468" s="284"/>
      <c r="G468" s="282">
        <f>G469</f>
        <v>1365943</v>
      </c>
      <c r="H468" s="442">
        <f>H469</f>
        <v>1231440</v>
      </c>
      <c r="I468" s="282">
        <f t="shared" si="18"/>
        <v>2597383</v>
      </c>
      <c r="J468" s="282">
        <f>J469</f>
        <v>1338630</v>
      </c>
      <c r="K468" s="442">
        <f>K469</f>
        <v>1231440</v>
      </c>
      <c r="L468" s="282">
        <f t="shared" si="19"/>
        <v>2570070</v>
      </c>
    </row>
    <row r="469" spans="1:12" ht="60" customHeight="1">
      <c r="A469" s="451" t="s">
        <v>788</v>
      </c>
      <c r="B469" s="275" t="s">
        <v>1165</v>
      </c>
      <c r="C469" s="275" t="s">
        <v>1063</v>
      </c>
      <c r="D469" s="275" t="s">
        <v>1063</v>
      </c>
      <c r="E469" s="289" t="s">
        <v>789</v>
      </c>
      <c r="F469" s="324"/>
      <c r="G469" s="282">
        <f>G470+G478+G475</f>
        <v>1365943</v>
      </c>
      <c r="H469" s="442">
        <f>H471+H479</f>
        <v>1231440</v>
      </c>
      <c r="I469" s="282">
        <f t="shared" si="18"/>
        <v>2597383</v>
      </c>
      <c r="J469" s="282">
        <f>J470+J478+J475</f>
        <v>1338630</v>
      </c>
      <c r="K469" s="442">
        <f>K471+K479</f>
        <v>1231440</v>
      </c>
      <c r="L469" s="282">
        <f t="shared" si="19"/>
        <v>2570070</v>
      </c>
    </row>
    <row r="470" spans="1:12" ht="31.5" customHeight="1">
      <c r="A470" s="288" t="s">
        <v>790</v>
      </c>
      <c r="B470" s="275" t="s">
        <v>1165</v>
      </c>
      <c r="C470" s="275" t="s">
        <v>1063</v>
      </c>
      <c r="D470" s="275" t="s">
        <v>1063</v>
      </c>
      <c r="E470" s="289" t="s">
        <v>791</v>
      </c>
      <c r="F470" s="324"/>
      <c r="G470" s="282">
        <f>G471+G473</f>
        <v>520743</v>
      </c>
      <c r="H470" s="442"/>
      <c r="I470" s="282">
        <f t="shared" si="18"/>
        <v>520743</v>
      </c>
      <c r="J470" s="282">
        <f>J471+J473</f>
        <v>520743</v>
      </c>
      <c r="K470" s="442"/>
      <c r="L470" s="282">
        <f t="shared" si="19"/>
        <v>520743</v>
      </c>
    </row>
    <row r="471" spans="1:12" ht="15" customHeight="1" hidden="1">
      <c r="A471" s="281" t="s">
        <v>792</v>
      </c>
      <c r="B471" s="275" t="s">
        <v>1165</v>
      </c>
      <c r="C471" s="275" t="s">
        <v>1063</v>
      </c>
      <c r="D471" s="275" t="s">
        <v>1063</v>
      </c>
      <c r="E471" s="289" t="s">
        <v>793</v>
      </c>
      <c r="F471" s="284"/>
      <c r="G471" s="282">
        <f>G472</f>
        <v>0</v>
      </c>
      <c r="H471" s="442"/>
      <c r="I471" s="282">
        <f t="shared" si="18"/>
        <v>0</v>
      </c>
      <c r="J471" s="282">
        <f>J472</f>
        <v>0</v>
      </c>
      <c r="K471" s="442"/>
      <c r="L471" s="282">
        <f t="shared" si="19"/>
        <v>0</v>
      </c>
    </row>
    <row r="472" spans="1:12" ht="10.5" customHeight="1" hidden="1">
      <c r="A472" s="290" t="s">
        <v>516</v>
      </c>
      <c r="B472" s="275" t="s">
        <v>1165</v>
      </c>
      <c r="C472" s="275" t="s">
        <v>1063</v>
      </c>
      <c r="D472" s="275" t="s">
        <v>1063</v>
      </c>
      <c r="E472" s="289" t="s">
        <v>793</v>
      </c>
      <c r="F472" s="324" t="s">
        <v>517</v>
      </c>
      <c r="G472" s="282"/>
      <c r="H472" s="442"/>
      <c r="I472" s="282">
        <f t="shared" si="18"/>
        <v>0</v>
      </c>
      <c r="J472" s="282"/>
      <c r="K472" s="442"/>
      <c r="L472" s="282">
        <f t="shared" si="19"/>
        <v>0</v>
      </c>
    </row>
    <row r="473" spans="1:12" ht="18" customHeight="1" hidden="1">
      <c r="A473" s="447" t="s">
        <v>794</v>
      </c>
      <c r="B473" s="275" t="s">
        <v>1165</v>
      </c>
      <c r="C473" s="275" t="s">
        <v>1063</v>
      </c>
      <c r="D473" s="275" t="s">
        <v>1063</v>
      </c>
      <c r="E473" s="289" t="s">
        <v>795</v>
      </c>
      <c r="F473" s="284"/>
      <c r="G473" s="282">
        <f>G474</f>
        <v>520743</v>
      </c>
      <c r="H473" s="442"/>
      <c r="I473" s="282">
        <f t="shared" si="18"/>
        <v>520743</v>
      </c>
      <c r="J473" s="282">
        <f>J474</f>
        <v>520743</v>
      </c>
      <c r="K473" s="442"/>
      <c r="L473" s="282">
        <f t="shared" si="19"/>
        <v>520743</v>
      </c>
    </row>
    <row r="474" spans="1:12" ht="26.25">
      <c r="A474" s="290" t="s">
        <v>516</v>
      </c>
      <c r="B474" s="275" t="s">
        <v>1165</v>
      </c>
      <c r="C474" s="275" t="s">
        <v>1063</v>
      </c>
      <c r="D474" s="275" t="s">
        <v>1063</v>
      </c>
      <c r="E474" s="289" t="s">
        <v>795</v>
      </c>
      <c r="F474" s="324" t="s">
        <v>517</v>
      </c>
      <c r="G474" s="282">
        <v>520743</v>
      </c>
      <c r="H474" s="442"/>
      <c r="I474" s="282">
        <f t="shared" si="18"/>
        <v>520743</v>
      </c>
      <c r="J474" s="282">
        <v>520743</v>
      </c>
      <c r="K474" s="442"/>
      <c r="L474" s="282">
        <f t="shared" si="19"/>
        <v>520743</v>
      </c>
    </row>
    <row r="475" spans="1:12" ht="22.5" customHeight="1">
      <c r="A475" s="288" t="s">
        <v>796</v>
      </c>
      <c r="B475" s="275" t="s">
        <v>1165</v>
      </c>
      <c r="C475" s="275" t="s">
        <v>1063</v>
      </c>
      <c r="D475" s="275" t="s">
        <v>1063</v>
      </c>
      <c r="E475" s="289" t="s">
        <v>797</v>
      </c>
      <c r="F475" s="324"/>
      <c r="G475" s="282">
        <f>G476</f>
        <v>36000</v>
      </c>
      <c r="H475" s="442"/>
      <c r="I475" s="282">
        <f t="shared" si="18"/>
        <v>36000</v>
      </c>
      <c r="J475" s="282">
        <f>J476</f>
        <v>36000</v>
      </c>
      <c r="K475" s="442"/>
      <c r="L475" s="282">
        <f t="shared" si="19"/>
        <v>36000</v>
      </c>
    </row>
    <row r="476" spans="1:12" ht="15" customHeight="1">
      <c r="A476" s="290" t="s">
        <v>798</v>
      </c>
      <c r="B476" s="275" t="s">
        <v>1165</v>
      </c>
      <c r="C476" s="275" t="s">
        <v>1063</v>
      </c>
      <c r="D476" s="275" t="s">
        <v>1063</v>
      </c>
      <c r="E476" s="289" t="s">
        <v>799</v>
      </c>
      <c r="F476" s="324"/>
      <c r="G476" s="282">
        <f>G477</f>
        <v>36000</v>
      </c>
      <c r="H476" s="442"/>
      <c r="I476" s="282">
        <f t="shared" si="18"/>
        <v>36000</v>
      </c>
      <c r="J476" s="282">
        <f>J477</f>
        <v>36000</v>
      </c>
      <c r="K476" s="442"/>
      <c r="L476" s="282">
        <f t="shared" si="19"/>
        <v>36000</v>
      </c>
    </row>
    <row r="477" spans="1:12" ht="26.25">
      <c r="A477" s="290" t="s">
        <v>516</v>
      </c>
      <c r="B477" s="275" t="s">
        <v>1165</v>
      </c>
      <c r="C477" s="275" t="s">
        <v>1063</v>
      </c>
      <c r="D477" s="275" t="s">
        <v>1063</v>
      </c>
      <c r="E477" s="289" t="s">
        <v>799</v>
      </c>
      <c r="F477" s="324" t="s">
        <v>517</v>
      </c>
      <c r="G477" s="282">
        <f>36000</f>
        <v>36000</v>
      </c>
      <c r="H477" s="442"/>
      <c r="I477" s="282">
        <f t="shared" si="18"/>
        <v>36000</v>
      </c>
      <c r="J477" s="282">
        <f>36000</f>
        <v>36000</v>
      </c>
      <c r="K477" s="442"/>
      <c r="L477" s="282">
        <f t="shared" si="19"/>
        <v>36000</v>
      </c>
    </row>
    <row r="478" spans="1:12" ht="52.5" customHeight="1">
      <c r="A478" s="288" t="s">
        <v>800</v>
      </c>
      <c r="B478" s="275" t="s">
        <v>1165</v>
      </c>
      <c r="C478" s="275" t="s">
        <v>1063</v>
      </c>
      <c r="D478" s="275" t="s">
        <v>1063</v>
      </c>
      <c r="E478" s="289" t="s">
        <v>801</v>
      </c>
      <c r="F478" s="324"/>
      <c r="G478" s="282">
        <f>G479</f>
        <v>809200</v>
      </c>
      <c r="H478" s="442">
        <f>H479</f>
        <v>1231440</v>
      </c>
      <c r="I478" s="282">
        <f t="shared" si="18"/>
        <v>2040640</v>
      </c>
      <c r="J478" s="282">
        <f>J479</f>
        <v>781887</v>
      </c>
      <c r="K478" s="442">
        <f>K479</f>
        <v>1231440</v>
      </c>
      <c r="L478" s="282">
        <f t="shared" si="19"/>
        <v>2013327</v>
      </c>
    </row>
    <row r="479" spans="1:12" ht="29.25" customHeight="1">
      <c r="A479" s="296" t="s">
        <v>520</v>
      </c>
      <c r="B479" s="275" t="s">
        <v>1165</v>
      </c>
      <c r="C479" s="275" t="s">
        <v>1063</v>
      </c>
      <c r="D479" s="275" t="s">
        <v>1063</v>
      </c>
      <c r="E479" s="289" t="s">
        <v>802</v>
      </c>
      <c r="F479" s="324"/>
      <c r="G479" s="282">
        <f>G480+G481+G482</f>
        <v>809200</v>
      </c>
      <c r="H479" s="442">
        <f>H480+H481+H482</f>
        <v>1231440</v>
      </c>
      <c r="I479" s="282">
        <f t="shared" si="18"/>
        <v>2040640</v>
      </c>
      <c r="J479" s="282">
        <f>J480+J481+J482</f>
        <v>781887</v>
      </c>
      <c r="K479" s="442">
        <f>K480+K481+K482</f>
        <v>1231440</v>
      </c>
      <c r="L479" s="282">
        <f t="shared" si="19"/>
        <v>2013327</v>
      </c>
    </row>
    <row r="480" spans="1:12" ht="27.75" customHeight="1">
      <c r="A480" s="281" t="s">
        <v>803</v>
      </c>
      <c r="B480" s="275" t="s">
        <v>1165</v>
      </c>
      <c r="C480" s="275" t="s">
        <v>1063</v>
      </c>
      <c r="D480" s="275" t="s">
        <v>1063</v>
      </c>
      <c r="E480" s="289" t="s">
        <v>802</v>
      </c>
      <c r="F480" s="284" t="s">
        <v>523</v>
      </c>
      <c r="G480" s="282">
        <v>616000</v>
      </c>
      <c r="H480" s="442"/>
      <c r="I480" s="282">
        <f t="shared" si="18"/>
        <v>616000</v>
      </c>
      <c r="J480" s="282">
        <f>616000-27313</f>
        <v>588687</v>
      </c>
      <c r="K480" s="442"/>
      <c r="L480" s="282">
        <f t="shared" si="19"/>
        <v>588687</v>
      </c>
    </row>
    <row r="481" spans="1:12" ht="29.25" customHeight="1">
      <c r="A481" s="290" t="s">
        <v>516</v>
      </c>
      <c r="B481" s="275" t="s">
        <v>1165</v>
      </c>
      <c r="C481" s="275" t="s">
        <v>1063</v>
      </c>
      <c r="D481" s="275" t="s">
        <v>1063</v>
      </c>
      <c r="E481" s="289" t="s">
        <v>802</v>
      </c>
      <c r="F481" s="324" t="s">
        <v>517</v>
      </c>
      <c r="G481" s="282">
        <v>123200</v>
      </c>
      <c r="H481" s="462">
        <f>1231440</f>
        <v>1231440</v>
      </c>
      <c r="I481" s="282">
        <f t="shared" si="18"/>
        <v>1354640</v>
      </c>
      <c r="J481" s="282">
        <v>123200</v>
      </c>
      <c r="K481" s="462">
        <f>1231440</f>
        <v>1231440</v>
      </c>
      <c r="L481" s="282">
        <f t="shared" si="19"/>
        <v>1354640</v>
      </c>
    </row>
    <row r="482" spans="1:12" ht="13.5">
      <c r="A482" s="288" t="s">
        <v>524</v>
      </c>
      <c r="B482" s="275" t="s">
        <v>1165</v>
      </c>
      <c r="C482" s="275" t="s">
        <v>1063</v>
      </c>
      <c r="D482" s="275" t="s">
        <v>1063</v>
      </c>
      <c r="E482" s="289" t="s">
        <v>802</v>
      </c>
      <c r="F482" s="324" t="s">
        <v>525</v>
      </c>
      <c r="G482" s="282">
        <v>70000</v>
      </c>
      <c r="H482" s="442"/>
      <c r="I482" s="282">
        <f t="shared" si="18"/>
        <v>70000</v>
      </c>
      <c r="J482" s="282">
        <v>70000</v>
      </c>
      <c r="K482" s="442"/>
      <c r="L482" s="282">
        <f t="shared" si="19"/>
        <v>70000</v>
      </c>
    </row>
    <row r="483" spans="1:12" ht="13.5">
      <c r="A483" s="281" t="s">
        <v>1113</v>
      </c>
      <c r="B483" s="275" t="s">
        <v>1165</v>
      </c>
      <c r="C483" s="275" t="s">
        <v>1063</v>
      </c>
      <c r="D483" s="275" t="s">
        <v>1079</v>
      </c>
      <c r="E483" s="275"/>
      <c r="F483" s="284"/>
      <c r="G483" s="282">
        <f>G484+G496</f>
        <v>6348866</v>
      </c>
      <c r="H483" s="442"/>
      <c r="I483" s="282">
        <f t="shared" si="18"/>
        <v>6348866</v>
      </c>
      <c r="J483" s="282">
        <f>J484+J496</f>
        <v>6348866</v>
      </c>
      <c r="K483" s="442"/>
      <c r="L483" s="282">
        <f t="shared" si="19"/>
        <v>6348866</v>
      </c>
    </row>
    <row r="484" spans="1:12" ht="36" customHeight="1">
      <c r="A484" s="281" t="s">
        <v>611</v>
      </c>
      <c r="B484" s="275" t="s">
        <v>1165</v>
      </c>
      <c r="C484" s="275" t="s">
        <v>1063</v>
      </c>
      <c r="D484" s="275" t="s">
        <v>1079</v>
      </c>
      <c r="E484" s="275" t="s">
        <v>612</v>
      </c>
      <c r="F484" s="284"/>
      <c r="G484" s="282">
        <f>G485</f>
        <v>6348866</v>
      </c>
      <c r="H484" s="442"/>
      <c r="I484" s="282">
        <f t="shared" si="18"/>
        <v>6348866</v>
      </c>
      <c r="J484" s="282">
        <f>J485</f>
        <v>6348866</v>
      </c>
      <c r="K484" s="442"/>
      <c r="L484" s="282">
        <f t="shared" si="19"/>
        <v>6348866</v>
      </c>
    </row>
    <row r="485" spans="1:12" ht="58.5" customHeight="1">
      <c r="A485" s="311" t="s">
        <v>677</v>
      </c>
      <c r="B485" s="275" t="s">
        <v>1165</v>
      </c>
      <c r="C485" s="443" t="s">
        <v>1063</v>
      </c>
      <c r="D485" s="443" t="s">
        <v>1079</v>
      </c>
      <c r="E485" s="443" t="s">
        <v>678</v>
      </c>
      <c r="F485" s="448"/>
      <c r="G485" s="446">
        <f>G486+G491</f>
        <v>6348866</v>
      </c>
      <c r="H485" s="442"/>
      <c r="I485" s="282">
        <f t="shared" si="18"/>
        <v>6348866</v>
      </c>
      <c r="J485" s="446">
        <f>J486+J491</f>
        <v>6348866</v>
      </c>
      <c r="K485" s="442"/>
      <c r="L485" s="282">
        <f t="shared" si="19"/>
        <v>6348866</v>
      </c>
    </row>
    <row r="486" spans="1:12" ht="32.25" customHeight="1">
      <c r="A486" s="288" t="s">
        <v>679</v>
      </c>
      <c r="B486" s="275" t="s">
        <v>1165</v>
      </c>
      <c r="C486" s="275" t="s">
        <v>1063</v>
      </c>
      <c r="D486" s="275" t="s">
        <v>1079</v>
      </c>
      <c r="E486" s="275" t="s">
        <v>680</v>
      </c>
      <c r="F486" s="284"/>
      <c r="G486" s="282">
        <f>G487</f>
        <v>6125814</v>
      </c>
      <c r="H486" s="442"/>
      <c r="I486" s="282">
        <f t="shared" si="18"/>
        <v>6125814</v>
      </c>
      <c r="J486" s="282">
        <f>J487</f>
        <v>6125814</v>
      </c>
      <c r="K486" s="442"/>
      <c r="L486" s="282">
        <f t="shared" si="19"/>
        <v>6125814</v>
      </c>
    </row>
    <row r="487" spans="1:12" ht="28.5" customHeight="1">
      <c r="A487" s="288" t="s">
        <v>520</v>
      </c>
      <c r="B487" s="275" t="s">
        <v>1165</v>
      </c>
      <c r="C487" s="275" t="s">
        <v>1063</v>
      </c>
      <c r="D487" s="275" t="s">
        <v>1079</v>
      </c>
      <c r="E487" s="275" t="s">
        <v>681</v>
      </c>
      <c r="F487" s="284"/>
      <c r="G487" s="282">
        <f>G488+G489+G490</f>
        <v>6125814</v>
      </c>
      <c r="H487" s="442"/>
      <c r="I487" s="282">
        <f t="shared" si="18"/>
        <v>6125814</v>
      </c>
      <c r="J487" s="282">
        <f>J488+J489+J490</f>
        <v>6125814</v>
      </c>
      <c r="K487" s="442"/>
      <c r="L487" s="282">
        <f t="shared" si="19"/>
        <v>6125814</v>
      </c>
    </row>
    <row r="488" spans="1:12" ht="42.75" customHeight="1">
      <c r="A488" s="290" t="s">
        <v>522</v>
      </c>
      <c r="B488" s="275" t="s">
        <v>1165</v>
      </c>
      <c r="C488" s="275" t="s">
        <v>1063</v>
      </c>
      <c r="D488" s="275" t="s">
        <v>1079</v>
      </c>
      <c r="E488" s="275" t="s">
        <v>681</v>
      </c>
      <c r="F488" s="284" t="s">
        <v>523</v>
      </c>
      <c r="G488" s="282">
        <f>7573300-2000000</f>
        <v>5573300</v>
      </c>
      <c r="H488" s="442"/>
      <c r="I488" s="282">
        <f t="shared" si="18"/>
        <v>5573300</v>
      </c>
      <c r="J488" s="282">
        <f>7573300-2000000</f>
        <v>5573300</v>
      </c>
      <c r="K488" s="442"/>
      <c r="L488" s="282">
        <f t="shared" si="19"/>
        <v>5573300</v>
      </c>
    </row>
    <row r="489" spans="1:12" ht="26.25">
      <c r="A489" s="290" t="s">
        <v>516</v>
      </c>
      <c r="B489" s="275" t="s">
        <v>1165</v>
      </c>
      <c r="C489" s="275" t="s">
        <v>1063</v>
      </c>
      <c r="D489" s="275" t="s">
        <v>1079</v>
      </c>
      <c r="E489" s="275" t="s">
        <v>681</v>
      </c>
      <c r="F489" s="284" t="s">
        <v>517</v>
      </c>
      <c r="G489" s="282">
        <v>517200</v>
      </c>
      <c r="H489" s="442"/>
      <c r="I489" s="282">
        <f t="shared" si="18"/>
        <v>517200</v>
      </c>
      <c r="J489" s="282">
        <v>517200</v>
      </c>
      <c r="K489" s="442"/>
      <c r="L489" s="282">
        <f t="shared" si="19"/>
        <v>517200</v>
      </c>
    </row>
    <row r="490" spans="1:12" ht="15.75" customHeight="1">
      <c r="A490" s="288" t="s">
        <v>524</v>
      </c>
      <c r="B490" s="275" t="s">
        <v>1165</v>
      </c>
      <c r="C490" s="275" t="s">
        <v>1063</v>
      </c>
      <c r="D490" s="275" t="s">
        <v>1079</v>
      </c>
      <c r="E490" s="275" t="s">
        <v>681</v>
      </c>
      <c r="F490" s="284" t="s">
        <v>525</v>
      </c>
      <c r="G490" s="282">
        <v>35314</v>
      </c>
      <c r="H490" s="442"/>
      <c r="I490" s="282">
        <f t="shared" si="18"/>
        <v>35314</v>
      </c>
      <c r="J490" s="282">
        <v>35314</v>
      </c>
      <c r="K490" s="442"/>
      <c r="L490" s="282">
        <f t="shared" si="19"/>
        <v>35314</v>
      </c>
    </row>
    <row r="491" spans="1:12" ht="29.25" customHeight="1">
      <c r="A491" s="288" t="s">
        <v>682</v>
      </c>
      <c r="B491" s="275" t="s">
        <v>1165</v>
      </c>
      <c r="C491" s="275" t="s">
        <v>1063</v>
      </c>
      <c r="D491" s="275" t="s">
        <v>1079</v>
      </c>
      <c r="E491" s="275" t="s">
        <v>683</v>
      </c>
      <c r="F491" s="284"/>
      <c r="G491" s="282">
        <f>G492+G494</f>
        <v>223052</v>
      </c>
      <c r="H491" s="442"/>
      <c r="I491" s="282">
        <f t="shared" si="18"/>
        <v>223052</v>
      </c>
      <c r="J491" s="282">
        <f>J492+J494</f>
        <v>223052</v>
      </c>
      <c r="K491" s="442"/>
      <c r="L491" s="282">
        <f t="shared" si="19"/>
        <v>223052</v>
      </c>
    </row>
    <row r="492" spans="1:12" ht="43.5" customHeight="1">
      <c r="A492" s="296" t="s">
        <v>684</v>
      </c>
      <c r="B492" s="275" t="s">
        <v>1165</v>
      </c>
      <c r="C492" s="275" t="s">
        <v>1063</v>
      </c>
      <c r="D492" s="275" t="s">
        <v>1079</v>
      </c>
      <c r="E492" s="275" t="s">
        <v>685</v>
      </c>
      <c r="F492" s="284"/>
      <c r="G492" s="282">
        <f>G493</f>
        <v>223052</v>
      </c>
      <c r="H492" s="442"/>
      <c r="I492" s="282">
        <f t="shared" si="18"/>
        <v>223052</v>
      </c>
      <c r="J492" s="282">
        <f>J493</f>
        <v>223052</v>
      </c>
      <c r="K492" s="442"/>
      <c r="L492" s="282">
        <f t="shared" si="19"/>
        <v>223052</v>
      </c>
    </row>
    <row r="493" spans="1:12" ht="64.5" customHeight="1">
      <c r="A493" s="290" t="s">
        <v>522</v>
      </c>
      <c r="B493" s="275" t="s">
        <v>1165</v>
      </c>
      <c r="C493" s="275" t="s">
        <v>1063</v>
      </c>
      <c r="D493" s="275" t="s">
        <v>1079</v>
      </c>
      <c r="E493" s="275" t="s">
        <v>685</v>
      </c>
      <c r="F493" s="284" t="s">
        <v>523</v>
      </c>
      <c r="G493" s="282">
        <v>223052</v>
      </c>
      <c r="H493" s="442"/>
      <c r="I493" s="282">
        <f t="shared" si="18"/>
        <v>223052</v>
      </c>
      <c r="J493" s="282">
        <v>223052</v>
      </c>
      <c r="K493" s="442"/>
      <c r="L493" s="282">
        <f t="shared" si="19"/>
        <v>223052</v>
      </c>
    </row>
    <row r="494" spans="1:12" ht="15" customHeight="1" hidden="1">
      <c r="A494" s="290" t="s">
        <v>655</v>
      </c>
      <c r="B494" s="275" t="s">
        <v>1165</v>
      </c>
      <c r="C494" s="275" t="s">
        <v>1063</v>
      </c>
      <c r="D494" s="275" t="s">
        <v>1079</v>
      </c>
      <c r="E494" s="275" t="s">
        <v>686</v>
      </c>
      <c r="F494" s="284"/>
      <c r="G494" s="282">
        <f>G495</f>
        <v>0</v>
      </c>
      <c r="H494" s="442"/>
      <c r="I494" s="282">
        <f t="shared" si="18"/>
        <v>0</v>
      </c>
      <c r="J494" s="282">
        <f>J495</f>
        <v>0</v>
      </c>
      <c r="K494" s="442"/>
      <c r="L494" s="282">
        <f t="shared" si="19"/>
        <v>0</v>
      </c>
    </row>
    <row r="495" spans="1:12" ht="26.25" customHeight="1" hidden="1">
      <c r="A495" s="290" t="s">
        <v>516</v>
      </c>
      <c r="B495" s="275" t="s">
        <v>1165</v>
      </c>
      <c r="C495" s="275" t="s">
        <v>1063</v>
      </c>
      <c r="D495" s="275" t="s">
        <v>1079</v>
      </c>
      <c r="E495" s="275" t="s">
        <v>686</v>
      </c>
      <c r="F495" s="284" t="s">
        <v>517</v>
      </c>
      <c r="G495" s="282"/>
      <c r="H495" s="442"/>
      <c r="I495" s="282">
        <f t="shared" si="18"/>
        <v>0</v>
      </c>
      <c r="J495" s="282"/>
      <c r="K495" s="442"/>
      <c r="L495" s="282">
        <f t="shared" si="19"/>
        <v>0</v>
      </c>
    </row>
    <row r="496" spans="1:12" ht="25.5" customHeight="1" hidden="1">
      <c r="A496" s="288" t="s">
        <v>1114</v>
      </c>
      <c r="B496" s="275" t="s">
        <v>1165</v>
      </c>
      <c r="C496" s="275" t="s">
        <v>1063</v>
      </c>
      <c r="D496" s="275" t="s">
        <v>1079</v>
      </c>
      <c r="E496" s="302" t="s">
        <v>1028</v>
      </c>
      <c r="F496" s="284"/>
      <c r="G496" s="282">
        <f>G497</f>
        <v>0</v>
      </c>
      <c r="H496" s="442"/>
      <c r="I496" s="282">
        <f t="shared" si="18"/>
        <v>0</v>
      </c>
      <c r="J496" s="282">
        <f>J497</f>
        <v>0</v>
      </c>
      <c r="K496" s="442"/>
      <c r="L496" s="282">
        <f t="shared" si="19"/>
        <v>0</v>
      </c>
    </row>
    <row r="497" spans="1:12" ht="26.25" customHeight="1" hidden="1">
      <c r="A497" s="288" t="s">
        <v>1029</v>
      </c>
      <c r="B497" s="275" t="s">
        <v>1165</v>
      </c>
      <c r="C497" s="275" t="s">
        <v>1063</v>
      </c>
      <c r="D497" s="275" t="s">
        <v>1079</v>
      </c>
      <c r="E497" s="302" t="s">
        <v>1030</v>
      </c>
      <c r="F497" s="284"/>
      <c r="G497" s="282">
        <f>G498</f>
        <v>0</v>
      </c>
      <c r="H497" s="442"/>
      <c r="I497" s="282">
        <f t="shared" si="18"/>
        <v>0</v>
      </c>
      <c r="J497" s="282">
        <f>J498</f>
        <v>0</v>
      </c>
      <c r="K497" s="442"/>
      <c r="L497" s="282">
        <f t="shared" si="19"/>
        <v>0</v>
      </c>
    </row>
    <row r="498" spans="1:12" ht="17.25" customHeight="1" hidden="1">
      <c r="A498" s="288" t="s">
        <v>1031</v>
      </c>
      <c r="B498" s="275" t="s">
        <v>1165</v>
      </c>
      <c r="C498" s="275" t="s">
        <v>1063</v>
      </c>
      <c r="D498" s="275" t="s">
        <v>1079</v>
      </c>
      <c r="E498" s="410" t="s">
        <v>1032</v>
      </c>
      <c r="F498" s="284"/>
      <c r="G498" s="282">
        <f>G499</f>
        <v>0</v>
      </c>
      <c r="H498" s="442"/>
      <c r="I498" s="282">
        <f t="shared" si="18"/>
        <v>0</v>
      </c>
      <c r="J498" s="282">
        <f>J499</f>
        <v>0</v>
      </c>
      <c r="K498" s="442"/>
      <c r="L498" s="282">
        <f t="shared" si="19"/>
        <v>0</v>
      </c>
    </row>
    <row r="499" spans="1:12" ht="11.25" customHeight="1" hidden="1">
      <c r="A499" s="290" t="s">
        <v>516</v>
      </c>
      <c r="B499" s="275" t="s">
        <v>1165</v>
      </c>
      <c r="C499" s="275" t="s">
        <v>1063</v>
      </c>
      <c r="D499" s="275" t="s">
        <v>1079</v>
      </c>
      <c r="E499" s="302" t="s">
        <v>1032</v>
      </c>
      <c r="F499" s="284" t="s">
        <v>517</v>
      </c>
      <c r="G499" s="282"/>
      <c r="H499" s="442"/>
      <c r="I499" s="282">
        <f t="shared" si="18"/>
        <v>0</v>
      </c>
      <c r="J499" s="282"/>
      <c r="K499" s="442"/>
      <c r="L499" s="282">
        <f t="shared" si="19"/>
        <v>0</v>
      </c>
    </row>
    <row r="500" spans="1:12" ht="17.25" customHeight="1">
      <c r="A500" s="281" t="s">
        <v>1127</v>
      </c>
      <c r="B500" s="275" t="s">
        <v>1165</v>
      </c>
      <c r="C500" s="275">
        <v>10</v>
      </c>
      <c r="D500" s="275"/>
      <c r="E500" s="275"/>
      <c r="F500" s="284"/>
      <c r="G500" s="282">
        <f>G501+G513</f>
        <v>30500985</v>
      </c>
      <c r="H500" s="442"/>
      <c r="I500" s="282">
        <f t="shared" si="18"/>
        <v>30500985</v>
      </c>
      <c r="J500" s="282">
        <f>J501+J513</f>
        <v>30500985</v>
      </c>
      <c r="K500" s="442"/>
      <c r="L500" s="282">
        <f t="shared" si="19"/>
        <v>30500985</v>
      </c>
    </row>
    <row r="501" spans="1:12" ht="16.5" customHeight="1">
      <c r="A501" s="281" t="s">
        <v>1133</v>
      </c>
      <c r="B501" s="275" t="s">
        <v>1165</v>
      </c>
      <c r="C501" s="275">
        <v>10</v>
      </c>
      <c r="D501" s="275" t="s">
        <v>1051</v>
      </c>
      <c r="E501" s="275"/>
      <c r="F501" s="284"/>
      <c r="G501" s="282">
        <f>G502</f>
        <v>19366008</v>
      </c>
      <c r="H501" s="442"/>
      <c r="I501" s="282">
        <f t="shared" si="18"/>
        <v>19366008</v>
      </c>
      <c r="J501" s="282">
        <f>J502</f>
        <v>19366008</v>
      </c>
      <c r="K501" s="442"/>
      <c r="L501" s="282">
        <f t="shared" si="19"/>
        <v>19366008</v>
      </c>
    </row>
    <row r="502" spans="1:12" ht="27.75" customHeight="1">
      <c r="A502" s="281" t="s">
        <v>611</v>
      </c>
      <c r="B502" s="275" t="s">
        <v>1165</v>
      </c>
      <c r="C502" s="275">
        <v>10</v>
      </c>
      <c r="D502" s="275" t="s">
        <v>1051</v>
      </c>
      <c r="E502" s="275" t="s">
        <v>612</v>
      </c>
      <c r="F502" s="284"/>
      <c r="G502" s="282">
        <f>G503+G508</f>
        <v>19366008</v>
      </c>
      <c r="H502" s="442"/>
      <c r="I502" s="282">
        <f t="shared" si="18"/>
        <v>19366008</v>
      </c>
      <c r="J502" s="282">
        <f>J503+J508</f>
        <v>19366008</v>
      </c>
      <c r="K502" s="442"/>
      <c r="L502" s="282">
        <f t="shared" si="19"/>
        <v>19366008</v>
      </c>
    </row>
    <row r="503" spans="1:12" ht="45" customHeight="1">
      <c r="A503" s="274" t="s">
        <v>613</v>
      </c>
      <c r="B503" s="275" t="s">
        <v>1165</v>
      </c>
      <c r="C503" s="443">
        <v>10</v>
      </c>
      <c r="D503" s="443" t="s">
        <v>1051</v>
      </c>
      <c r="E503" s="443" t="s">
        <v>614</v>
      </c>
      <c r="F503" s="448"/>
      <c r="G503" s="446">
        <f>G504</f>
        <v>18966008</v>
      </c>
      <c r="H503" s="442"/>
      <c r="I503" s="282">
        <f t="shared" si="18"/>
        <v>18966008</v>
      </c>
      <c r="J503" s="446">
        <f>J504</f>
        <v>18966008</v>
      </c>
      <c r="K503" s="442"/>
      <c r="L503" s="282">
        <f t="shared" si="19"/>
        <v>18966008</v>
      </c>
    </row>
    <row r="504" spans="1:12" ht="28.5" customHeight="1">
      <c r="A504" s="288" t="s">
        <v>657</v>
      </c>
      <c r="B504" s="275" t="s">
        <v>1165</v>
      </c>
      <c r="C504" s="275">
        <v>10</v>
      </c>
      <c r="D504" s="275" t="s">
        <v>1051</v>
      </c>
      <c r="E504" s="275" t="s">
        <v>658</v>
      </c>
      <c r="F504" s="284"/>
      <c r="G504" s="282">
        <f>G505</f>
        <v>18966008</v>
      </c>
      <c r="H504" s="442"/>
      <c r="I504" s="282">
        <f aca="true" t="shared" si="20" ref="I504:I529">G504+H504</f>
        <v>18966008</v>
      </c>
      <c r="J504" s="282">
        <f>J505</f>
        <v>18966008</v>
      </c>
      <c r="K504" s="442"/>
      <c r="L504" s="282">
        <f aca="true" t="shared" si="21" ref="L504:L529">J504+K504</f>
        <v>18966008</v>
      </c>
    </row>
    <row r="505" spans="1:12" ht="53.25" customHeight="1">
      <c r="A505" s="447" t="s">
        <v>663</v>
      </c>
      <c r="B505" s="275" t="s">
        <v>1165</v>
      </c>
      <c r="C505" s="275">
        <v>10</v>
      </c>
      <c r="D505" s="275" t="s">
        <v>1051</v>
      </c>
      <c r="E505" s="275" t="s">
        <v>664</v>
      </c>
      <c r="F505" s="284"/>
      <c r="G505" s="282">
        <f>G506+G507</f>
        <v>18966008</v>
      </c>
      <c r="H505" s="442"/>
      <c r="I505" s="282">
        <f t="shared" si="20"/>
        <v>18966008</v>
      </c>
      <c r="J505" s="282">
        <f>J506+J507</f>
        <v>18966008</v>
      </c>
      <c r="K505" s="442"/>
      <c r="L505" s="282">
        <f t="shared" si="21"/>
        <v>18966008</v>
      </c>
    </row>
    <row r="506" spans="1:12" ht="26.25" customHeight="1" hidden="1">
      <c r="A506" s="290" t="s">
        <v>516</v>
      </c>
      <c r="B506" s="275" t="s">
        <v>1165</v>
      </c>
      <c r="C506" s="275">
        <v>10</v>
      </c>
      <c r="D506" s="275" t="s">
        <v>1051</v>
      </c>
      <c r="E506" s="275" t="s">
        <v>664</v>
      </c>
      <c r="F506" s="284" t="s">
        <v>517</v>
      </c>
      <c r="G506" s="282"/>
      <c r="H506" s="442"/>
      <c r="I506" s="282">
        <f t="shared" si="20"/>
        <v>0</v>
      </c>
      <c r="J506" s="282"/>
      <c r="K506" s="442"/>
      <c r="L506" s="282">
        <f t="shared" si="21"/>
        <v>0</v>
      </c>
    </row>
    <row r="507" spans="1:12" ht="19.5" customHeight="1">
      <c r="A507" s="301" t="s">
        <v>550</v>
      </c>
      <c r="B507" s="275" t="s">
        <v>1165</v>
      </c>
      <c r="C507" s="275">
        <v>10</v>
      </c>
      <c r="D507" s="275" t="s">
        <v>1051</v>
      </c>
      <c r="E507" s="275" t="s">
        <v>664</v>
      </c>
      <c r="F507" s="284" t="s">
        <v>551</v>
      </c>
      <c r="G507" s="282">
        <v>18966008</v>
      </c>
      <c r="H507" s="442"/>
      <c r="I507" s="282">
        <f t="shared" si="20"/>
        <v>18966008</v>
      </c>
      <c r="J507" s="282">
        <v>18966008</v>
      </c>
      <c r="K507" s="442"/>
      <c r="L507" s="282">
        <f t="shared" si="21"/>
        <v>18966008</v>
      </c>
    </row>
    <row r="508" spans="1:12" ht="57.75" customHeight="1">
      <c r="A508" s="290" t="s">
        <v>665</v>
      </c>
      <c r="B508" s="275" t="s">
        <v>1165</v>
      </c>
      <c r="C508" s="443">
        <v>10</v>
      </c>
      <c r="D508" s="443" t="s">
        <v>1051</v>
      </c>
      <c r="E508" s="443" t="s">
        <v>666</v>
      </c>
      <c r="F508" s="448"/>
      <c r="G508" s="446">
        <f>G509</f>
        <v>400000</v>
      </c>
      <c r="H508" s="442"/>
      <c r="I508" s="282">
        <f t="shared" si="20"/>
        <v>400000</v>
      </c>
      <c r="J508" s="446">
        <f>J509</f>
        <v>400000</v>
      </c>
      <c r="K508" s="442"/>
      <c r="L508" s="282">
        <f t="shared" si="21"/>
        <v>400000</v>
      </c>
    </row>
    <row r="509" spans="1:12" ht="29.25" customHeight="1">
      <c r="A509" s="300" t="s">
        <v>673</v>
      </c>
      <c r="B509" s="275" t="s">
        <v>1165</v>
      </c>
      <c r="C509" s="275">
        <v>10</v>
      </c>
      <c r="D509" s="275" t="s">
        <v>1051</v>
      </c>
      <c r="E509" s="275" t="s">
        <v>674</v>
      </c>
      <c r="F509" s="284"/>
      <c r="G509" s="282">
        <f>G510</f>
        <v>400000</v>
      </c>
      <c r="H509" s="442"/>
      <c r="I509" s="282">
        <f t="shared" si="20"/>
        <v>400000</v>
      </c>
      <c r="J509" s="282">
        <f>J510</f>
        <v>400000</v>
      </c>
      <c r="K509" s="442"/>
      <c r="L509" s="282">
        <f t="shared" si="21"/>
        <v>400000</v>
      </c>
    </row>
    <row r="510" spans="1:12" ht="52.5" customHeight="1">
      <c r="A510" s="310" t="s">
        <v>675</v>
      </c>
      <c r="B510" s="275" t="s">
        <v>1165</v>
      </c>
      <c r="C510" s="275">
        <v>10</v>
      </c>
      <c r="D510" s="275" t="s">
        <v>1051</v>
      </c>
      <c r="E510" s="275" t="s">
        <v>676</v>
      </c>
      <c r="F510" s="284"/>
      <c r="G510" s="282">
        <f>G512</f>
        <v>400000</v>
      </c>
      <c r="H510" s="442"/>
      <c r="I510" s="282">
        <f t="shared" si="20"/>
        <v>400000</v>
      </c>
      <c r="J510" s="282">
        <f>J512</f>
        <v>400000</v>
      </c>
      <c r="K510" s="442"/>
      <c r="L510" s="282">
        <f t="shared" si="21"/>
        <v>400000</v>
      </c>
    </row>
    <row r="511" spans="1:12" ht="26.25" customHeight="1" hidden="1">
      <c r="A511" s="290" t="s">
        <v>516</v>
      </c>
      <c r="B511" s="275" t="s">
        <v>1165</v>
      </c>
      <c r="C511" s="275">
        <v>10</v>
      </c>
      <c r="D511" s="275" t="s">
        <v>1051</v>
      </c>
      <c r="E511" s="275" t="s">
        <v>676</v>
      </c>
      <c r="F511" s="284" t="s">
        <v>517</v>
      </c>
      <c r="G511" s="282"/>
      <c r="H511" s="442"/>
      <c r="I511" s="282">
        <f t="shared" si="20"/>
        <v>0</v>
      </c>
      <c r="J511" s="282"/>
      <c r="K511" s="442"/>
      <c r="L511" s="282">
        <f t="shared" si="21"/>
        <v>0</v>
      </c>
    </row>
    <row r="512" spans="1:12" ht="19.5" customHeight="1">
      <c r="A512" s="301" t="s">
        <v>550</v>
      </c>
      <c r="B512" s="275" t="s">
        <v>1165</v>
      </c>
      <c r="C512" s="275">
        <v>10</v>
      </c>
      <c r="D512" s="275" t="s">
        <v>1051</v>
      </c>
      <c r="E512" s="275" t="s">
        <v>676</v>
      </c>
      <c r="F512" s="284" t="s">
        <v>551</v>
      </c>
      <c r="G512" s="325">
        <v>400000</v>
      </c>
      <c r="H512" s="442"/>
      <c r="I512" s="282">
        <f t="shared" si="20"/>
        <v>400000</v>
      </c>
      <c r="J512" s="325">
        <v>400000</v>
      </c>
      <c r="K512" s="442"/>
      <c r="L512" s="282">
        <f t="shared" si="21"/>
        <v>400000</v>
      </c>
    </row>
    <row r="513" spans="1:12" ht="19.5" customHeight="1">
      <c r="A513" s="281" t="s">
        <v>1135</v>
      </c>
      <c r="B513" s="275" t="s">
        <v>1165</v>
      </c>
      <c r="C513" s="275">
        <v>10</v>
      </c>
      <c r="D513" s="275" t="s">
        <v>1054</v>
      </c>
      <c r="E513" s="275"/>
      <c r="F513" s="284"/>
      <c r="G513" s="282">
        <f>G519+G514</f>
        <v>11134977</v>
      </c>
      <c r="H513" s="442"/>
      <c r="I513" s="282">
        <f t="shared" si="20"/>
        <v>11134977</v>
      </c>
      <c r="J513" s="282">
        <f>J519+J514</f>
        <v>11134977</v>
      </c>
      <c r="K513" s="442"/>
      <c r="L513" s="282">
        <f t="shared" si="21"/>
        <v>11134977</v>
      </c>
    </row>
    <row r="514" spans="1:12" ht="47.25" customHeight="1">
      <c r="A514" s="281" t="s">
        <v>1169</v>
      </c>
      <c r="B514" s="275" t="s">
        <v>1165</v>
      </c>
      <c r="C514" s="275">
        <v>10</v>
      </c>
      <c r="D514" s="275" t="s">
        <v>1054</v>
      </c>
      <c r="E514" s="309" t="s">
        <v>556</v>
      </c>
      <c r="F514" s="284"/>
      <c r="G514" s="282">
        <f>G515</f>
        <v>9054167</v>
      </c>
      <c r="H514" s="442"/>
      <c r="I514" s="282">
        <f t="shared" si="20"/>
        <v>9054167</v>
      </c>
      <c r="J514" s="282">
        <f>J515</f>
        <v>9054167</v>
      </c>
      <c r="K514" s="442"/>
      <c r="L514" s="282">
        <f t="shared" si="21"/>
        <v>9054167</v>
      </c>
    </row>
    <row r="515" spans="1:12" ht="81" customHeight="1">
      <c r="A515" s="451" t="s">
        <v>579</v>
      </c>
      <c r="B515" s="275" t="s">
        <v>1165</v>
      </c>
      <c r="C515" s="275">
        <v>10</v>
      </c>
      <c r="D515" s="275" t="s">
        <v>1054</v>
      </c>
      <c r="E515" s="275" t="s">
        <v>580</v>
      </c>
      <c r="F515" s="284"/>
      <c r="G515" s="282">
        <f>G517</f>
        <v>9054167</v>
      </c>
      <c r="H515" s="442"/>
      <c r="I515" s="282">
        <f t="shared" si="20"/>
        <v>9054167</v>
      </c>
      <c r="J515" s="282">
        <f>J517</f>
        <v>9054167</v>
      </c>
      <c r="K515" s="442"/>
      <c r="L515" s="282">
        <f t="shared" si="21"/>
        <v>9054167</v>
      </c>
    </row>
    <row r="516" spans="1:12" ht="40.5" customHeight="1">
      <c r="A516" s="288" t="s">
        <v>581</v>
      </c>
      <c r="B516" s="275" t="s">
        <v>1165</v>
      </c>
      <c r="C516" s="275">
        <v>10</v>
      </c>
      <c r="D516" s="275" t="s">
        <v>1054</v>
      </c>
      <c r="E516" s="275" t="s">
        <v>582</v>
      </c>
      <c r="F516" s="284"/>
      <c r="G516" s="282">
        <f>G517</f>
        <v>9054167</v>
      </c>
      <c r="H516" s="442"/>
      <c r="I516" s="282">
        <f t="shared" si="20"/>
        <v>9054167</v>
      </c>
      <c r="J516" s="282">
        <f>J517</f>
        <v>9054167</v>
      </c>
      <c r="K516" s="442"/>
      <c r="L516" s="282">
        <f t="shared" si="21"/>
        <v>9054167</v>
      </c>
    </row>
    <row r="517" spans="1:12" ht="30.75" customHeight="1">
      <c r="A517" s="296" t="s">
        <v>583</v>
      </c>
      <c r="B517" s="275" t="s">
        <v>1165</v>
      </c>
      <c r="C517" s="275">
        <v>10</v>
      </c>
      <c r="D517" s="275" t="s">
        <v>1054</v>
      </c>
      <c r="E517" s="275" t="s">
        <v>584</v>
      </c>
      <c r="F517" s="284"/>
      <c r="G517" s="282">
        <f>G518</f>
        <v>9054167</v>
      </c>
      <c r="H517" s="442"/>
      <c r="I517" s="282">
        <f t="shared" si="20"/>
        <v>9054167</v>
      </c>
      <c r="J517" s="282">
        <f>J518</f>
        <v>9054167</v>
      </c>
      <c r="K517" s="442"/>
      <c r="L517" s="282">
        <f t="shared" si="21"/>
        <v>9054167</v>
      </c>
    </row>
    <row r="518" spans="1:12" ht="19.5" customHeight="1">
      <c r="A518" s="301" t="s">
        <v>550</v>
      </c>
      <c r="B518" s="275" t="s">
        <v>1165</v>
      </c>
      <c r="C518" s="275">
        <v>10</v>
      </c>
      <c r="D518" s="275" t="s">
        <v>1054</v>
      </c>
      <c r="E518" s="275" t="s">
        <v>584</v>
      </c>
      <c r="F518" s="284" t="s">
        <v>551</v>
      </c>
      <c r="G518" s="282">
        <v>9054167</v>
      </c>
      <c r="H518" s="442"/>
      <c r="I518" s="282">
        <f t="shared" si="20"/>
        <v>9054167</v>
      </c>
      <c r="J518" s="282">
        <v>9054167</v>
      </c>
      <c r="K518" s="442"/>
      <c r="L518" s="282">
        <f t="shared" si="21"/>
        <v>9054167</v>
      </c>
    </row>
    <row r="519" spans="1:12" ht="32.25" customHeight="1">
      <c r="A519" s="281" t="s">
        <v>1136</v>
      </c>
      <c r="B519" s="275" t="s">
        <v>1165</v>
      </c>
      <c r="C519" s="275">
        <v>10</v>
      </c>
      <c r="D519" s="275" t="s">
        <v>1054</v>
      </c>
      <c r="E519" s="309" t="s">
        <v>612</v>
      </c>
      <c r="F519" s="284"/>
      <c r="G519" s="282">
        <f>G520</f>
        <v>2080810</v>
      </c>
      <c r="H519" s="442"/>
      <c r="I519" s="282">
        <f t="shared" si="20"/>
        <v>2080810</v>
      </c>
      <c r="J519" s="282">
        <f>J520</f>
        <v>2080810</v>
      </c>
      <c r="K519" s="442"/>
      <c r="L519" s="282">
        <f t="shared" si="21"/>
        <v>2080810</v>
      </c>
    </row>
    <row r="520" spans="1:12" ht="48.75" customHeight="1">
      <c r="A520" s="274" t="s">
        <v>613</v>
      </c>
      <c r="B520" s="275" t="s">
        <v>1165</v>
      </c>
      <c r="C520" s="275">
        <v>10</v>
      </c>
      <c r="D520" s="275" t="s">
        <v>1054</v>
      </c>
      <c r="E520" s="309" t="s">
        <v>614</v>
      </c>
      <c r="F520" s="284"/>
      <c r="G520" s="282">
        <f>G522</f>
        <v>2080810</v>
      </c>
      <c r="H520" s="442"/>
      <c r="I520" s="282">
        <f t="shared" si="20"/>
        <v>2080810</v>
      </c>
      <c r="J520" s="282">
        <f>J522</f>
        <v>2080810</v>
      </c>
      <c r="K520" s="442"/>
      <c r="L520" s="282">
        <f t="shared" si="21"/>
        <v>2080810</v>
      </c>
    </row>
    <row r="521" spans="1:12" ht="29.25" customHeight="1">
      <c r="A521" s="288" t="s">
        <v>615</v>
      </c>
      <c r="B521" s="275" t="s">
        <v>1165</v>
      </c>
      <c r="C521" s="275">
        <v>10</v>
      </c>
      <c r="D521" s="275" t="s">
        <v>1054</v>
      </c>
      <c r="E521" s="309" t="s">
        <v>616</v>
      </c>
      <c r="F521" s="284"/>
      <c r="G521" s="282">
        <f>G522</f>
        <v>2080810</v>
      </c>
      <c r="H521" s="442"/>
      <c r="I521" s="282">
        <f t="shared" si="20"/>
        <v>2080810</v>
      </c>
      <c r="J521" s="282">
        <f>J522</f>
        <v>2080810</v>
      </c>
      <c r="K521" s="442"/>
      <c r="L521" s="282">
        <f t="shared" si="21"/>
        <v>2080810</v>
      </c>
    </row>
    <row r="522" spans="1:12" ht="14.25" customHeight="1">
      <c r="A522" s="296" t="s">
        <v>617</v>
      </c>
      <c r="B522" s="275" t="s">
        <v>1165</v>
      </c>
      <c r="C522" s="275">
        <v>10</v>
      </c>
      <c r="D522" s="275" t="s">
        <v>1054</v>
      </c>
      <c r="E522" s="309" t="s">
        <v>618</v>
      </c>
      <c r="F522" s="284"/>
      <c r="G522" s="282">
        <f>G524+G523</f>
        <v>2080810</v>
      </c>
      <c r="H522" s="442"/>
      <c r="I522" s="282">
        <f t="shared" si="20"/>
        <v>2080810</v>
      </c>
      <c r="J522" s="282">
        <f>J524+J523</f>
        <v>2080810</v>
      </c>
      <c r="K522" s="442"/>
      <c r="L522" s="282">
        <f t="shared" si="21"/>
        <v>2080810</v>
      </c>
    </row>
    <row r="523" spans="1:12" ht="28.5" customHeight="1" hidden="1">
      <c r="A523" s="290" t="s">
        <v>516</v>
      </c>
      <c r="B523" s="275" t="s">
        <v>1165</v>
      </c>
      <c r="C523" s="275">
        <v>10</v>
      </c>
      <c r="D523" s="275" t="s">
        <v>1054</v>
      </c>
      <c r="E523" s="309" t="s">
        <v>618</v>
      </c>
      <c r="F523" s="284" t="s">
        <v>517</v>
      </c>
      <c r="G523" s="282"/>
      <c r="H523" s="442"/>
      <c r="I523" s="282">
        <f t="shared" si="20"/>
        <v>0</v>
      </c>
      <c r="J523" s="282"/>
      <c r="K523" s="442"/>
      <c r="L523" s="282">
        <f t="shared" si="21"/>
        <v>0</v>
      </c>
    </row>
    <row r="524" spans="1:12" ht="16.5" customHeight="1">
      <c r="A524" s="301" t="s">
        <v>550</v>
      </c>
      <c r="B524" s="275" t="s">
        <v>1165</v>
      </c>
      <c r="C524" s="275">
        <v>10</v>
      </c>
      <c r="D524" s="275" t="s">
        <v>1054</v>
      </c>
      <c r="E524" s="309" t="s">
        <v>618</v>
      </c>
      <c r="F524" s="284" t="s">
        <v>551</v>
      </c>
      <c r="G524" s="282">
        <v>2080810</v>
      </c>
      <c r="H524" s="442"/>
      <c r="I524" s="282">
        <f t="shared" si="20"/>
        <v>2080810</v>
      </c>
      <c r="J524" s="282">
        <v>2080810</v>
      </c>
      <c r="K524" s="442"/>
      <c r="L524" s="282">
        <f t="shared" si="21"/>
        <v>2080810</v>
      </c>
    </row>
    <row r="525" spans="1:12" ht="33.75" customHeight="1">
      <c r="A525" s="274" t="s">
        <v>1170</v>
      </c>
      <c r="B525" s="275" t="s">
        <v>1171</v>
      </c>
      <c r="C525" s="275"/>
      <c r="D525" s="275"/>
      <c r="E525" s="275"/>
      <c r="F525" s="284"/>
      <c r="G525" s="282">
        <f>G533+G545+G582+G526</f>
        <v>41200326</v>
      </c>
      <c r="H525" s="442">
        <f>H533+H545+H582+H526</f>
        <v>646648</v>
      </c>
      <c r="I525" s="282">
        <f t="shared" si="20"/>
        <v>41846974</v>
      </c>
      <c r="J525" s="282">
        <f>J533+J545+J582+J526</f>
        <v>43930452</v>
      </c>
      <c r="K525" s="442">
        <f>K533+K545+K582+K526</f>
        <v>646648</v>
      </c>
      <c r="L525" s="282">
        <f t="shared" si="21"/>
        <v>44577100</v>
      </c>
    </row>
    <row r="526" spans="1:12" ht="15" customHeight="1" hidden="1">
      <c r="A526" s="281" t="s">
        <v>1080</v>
      </c>
      <c r="B526" s="275" t="s">
        <v>1171</v>
      </c>
      <c r="C526" s="275" t="s">
        <v>1054</v>
      </c>
      <c r="D526" s="275"/>
      <c r="E526" s="275"/>
      <c r="F526" s="284"/>
      <c r="G526" s="282">
        <f>G527</f>
        <v>0</v>
      </c>
      <c r="H526" s="442">
        <f>H527</f>
        <v>0</v>
      </c>
      <c r="I526" s="282">
        <f t="shared" si="20"/>
        <v>0</v>
      </c>
      <c r="J526" s="282">
        <f>J527</f>
        <v>0</v>
      </c>
      <c r="K526" s="442">
        <f>K527</f>
        <v>0</v>
      </c>
      <c r="L526" s="282">
        <f t="shared" si="21"/>
        <v>0</v>
      </c>
    </row>
    <row r="527" spans="1:12" ht="15" customHeight="1" hidden="1">
      <c r="A527" s="281" t="s">
        <v>1084</v>
      </c>
      <c r="B527" s="275" t="s">
        <v>1171</v>
      </c>
      <c r="C527" s="275" t="s">
        <v>1054</v>
      </c>
      <c r="D527" s="275" t="s">
        <v>1085</v>
      </c>
      <c r="E527" s="275"/>
      <c r="F527" s="284"/>
      <c r="G527" s="282">
        <f>G528</f>
        <v>0</v>
      </c>
      <c r="H527" s="442"/>
      <c r="I527" s="282">
        <f t="shared" si="20"/>
        <v>0</v>
      </c>
      <c r="J527" s="282">
        <f>J528</f>
        <v>0</v>
      </c>
      <c r="K527" s="442"/>
      <c r="L527" s="282">
        <f t="shared" si="21"/>
        <v>0</v>
      </c>
    </row>
    <row r="528" spans="1:12" ht="54" customHeight="1" hidden="1">
      <c r="A528" s="458" t="s">
        <v>697</v>
      </c>
      <c r="B528" s="275" t="s">
        <v>1171</v>
      </c>
      <c r="C528" s="275" t="s">
        <v>1054</v>
      </c>
      <c r="D528" s="275" t="s">
        <v>1085</v>
      </c>
      <c r="E528" s="400" t="s">
        <v>698</v>
      </c>
      <c r="F528" s="284"/>
      <c r="G528" s="282">
        <f>G529</f>
        <v>0</v>
      </c>
      <c r="H528" s="442"/>
      <c r="I528" s="282">
        <f t="shared" si="20"/>
        <v>0</v>
      </c>
      <c r="J528" s="282">
        <f>J529</f>
        <v>0</v>
      </c>
      <c r="K528" s="442"/>
      <c r="L528" s="282">
        <f t="shared" si="21"/>
        <v>0</v>
      </c>
    </row>
    <row r="529" spans="1:12" ht="75.75" customHeight="1" hidden="1">
      <c r="A529" s="451" t="s">
        <v>699</v>
      </c>
      <c r="B529" s="275" t="s">
        <v>1171</v>
      </c>
      <c r="C529" s="275" t="s">
        <v>1054</v>
      </c>
      <c r="D529" s="275" t="s">
        <v>1085</v>
      </c>
      <c r="E529" s="400" t="s">
        <v>700</v>
      </c>
      <c r="F529" s="284"/>
      <c r="G529" s="282">
        <f>G531</f>
        <v>0</v>
      </c>
      <c r="H529" s="442"/>
      <c r="I529" s="282">
        <f t="shared" si="20"/>
        <v>0</v>
      </c>
      <c r="J529" s="282">
        <f>J531</f>
        <v>0</v>
      </c>
      <c r="K529" s="442"/>
      <c r="L529" s="282">
        <f t="shared" si="21"/>
        <v>0</v>
      </c>
    </row>
    <row r="530" spans="1:12" ht="27" customHeight="1" hidden="1">
      <c r="A530" s="288" t="s">
        <v>701</v>
      </c>
      <c r="B530" s="275" t="s">
        <v>1171</v>
      </c>
      <c r="C530" s="275" t="s">
        <v>1054</v>
      </c>
      <c r="D530" s="275" t="s">
        <v>1085</v>
      </c>
      <c r="E530" s="400" t="s">
        <v>702</v>
      </c>
      <c r="F530" s="284"/>
      <c r="G530" s="282"/>
      <c r="H530" s="442"/>
      <c r="I530" s="282">
        <f>I531</f>
        <v>0</v>
      </c>
      <c r="J530" s="282"/>
      <c r="K530" s="442"/>
      <c r="L530" s="282">
        <f>L531</f>
        <v>0</v>
      </c>
    </row>
    <row r="531" spans="1:12" ht="15.75" customHeight="1" hidden="1">
      <c r="A531" s="274" t="s">
        <v>703</v>
      </c>
      <c r="B531" s="275" t="s">
        <v>1171</v>
      </c>
      <c r="C531" s="275" t="s">
        <v>1054</v>
      </c>
      <c r="D531" s="275" t="s">
        <v>1085</v>
      </c>
      <c r="E531" s="400" t="s">
        <v>704</v>
      </c>
      <c r="F531" s="284"/>
      <c r="G531" s="282">
        <f>G532</f>
        <v>0</v>
      </c>
      <c r="H531" s="442"/>
      <c r="I531" s="282">
        <f aca="true" t="shared" si="22" ref="I531:I542">G531+H531</f>
        <v>0</v>
      </c>
      <c r="J531" s="282">
        <f>J532</f>
        <v>0</v>
      </c>
      <c r="K531" s="442"/>
      <c r="L531" s="282">
        <f aca="true" t="shared" si="23" ref="L531:L542">J531+K531</f>
        <v>0</v>
      </c>
    </row>
    <row r="532" spans="1:12" ht="28.5" customHeight="1" hidden="1">
      <c r="A532" s="290" t="s">
        <v>516</v>
      </c>
      <c r="B532" s="275" t="s">
        <v>1171</v>
      </c>
      <c r="C532" s="275" t="s">
        <v>1054</v>
      </c>
      <c r="D532" s="275" t="s">
        <v>1085</v>
      </c>
      <c r="E532" s="400" t="s">
        <v>704</v>
      </c>
      <c r="F532" s="284" t="s">
        <v>517</v>
      </c>
      <c r="G532" s="282"/>
      <c r="H532" s="442"/>
      <c r="I532" s="282">
        <f t="shared" si="22"/>
        <v>0</v>
      </c>
      <c r="J532" s="282"/>
      <c r="K532" s="442"/>
      <c r="L532" s="282">
        <f t="shared" si="23"/>
        <v>0</v>
      </c>
    </row>
    <row r="533" spans="1:12" ht="15" customHeight="1">
      <c r="A533" s="281" t="s">
        <v>1101</v>
      </c>
      <c r="B533" s="275" t="s">
        <v>1171</v>
      </c>
      <c r="C533" s="275" t="s">
        <v>1063</v>
      </c>
      <c r="D533" s="275"/>
      <c r="E533" s="275"/>
      <c r="F533" s="284"/>
      <c r="G533" s="282">
        <f aca="true" t="shared" si="24" ref="G533:K535">G534</f>
        <v>16671400</v>
      </c>
      <c r="H533" s="442">
        <f t="shared" si="24"/>
        <v>0</v>
      </c>
      <c r="I533" s="282">
        <f t="shared" si="22"/>
        <v>16671400</v>
      </c>
      <c r="J533" s="282">
        <f t="shared" si="24"/>
        <v>18671400</v>
      </c>
      <c r="K533" s="442">
        <f t="shared" si="24"/>
        <v>0</v>
      </c>
      <c r="L533" s="282">
        <f t="shared" si="23"/>
        <v>18671400</v>
      </c>
    </row>
    <row r="534" spans="1:12" s="253" customFormat="1" ht="15">
      <c r="A534" s="290" t="s">
        <v>1111</v>
      </c>
      <c r="B534" s="275" t="s">
        <v>1171</v>
      </c>
      <c r="C534" s="275" t="s">
        <v>1063</v>
      </c>
      <c r="D534" s="275" t="s">
        <v>1051</v>
      </c>
      <c r="E534" s="275"/>
      <c r="F534" s="284"/>
      <c r="G534" s="282">
        <f t="shared" si="24"/>
        <v>16671400</v>
      </c>
      <c r="H534" s="442">
        <f t="shared" si="24"/>
        <v>0</v>
      </c>
      <c r="I534" s="282">
        <f t="shared" si="22"/>
        <v>16671400</v>
      </c>
      <c r="J534" s="282">
        <f t="shared" si="24"/>
        <v>18671400</v>
      </c>
      <c r="K534" s="442">
        <f t="shared" si="24"/>
        <v>0</v>
      </c>
      <c r="L534" s="282">
        <f t="shared" si="23"/>
        <v>18671400</v>
      </c>
    </row>
    <row r="535" spans="1:12" ht="42" customHeight="1">
      <c r="A535" s="281" t="s">
        <v>611</v>
      </c>
      <c r="B535" s="275" t="s">
        <v>1171</v>
      </c>
      <c r="C535" s="275" t="s">
        <v>1063</v>
      </c>
      <c r="D535" s="275" t="s">
        <v>1051</v>
      </c>
      <c r="E535" s="275" t="s">
        <v>612</v>
      </c>
      <c r="F535" s="284"/>
      <c r="G535" s="282">
        <f t="shared" si="24"/>
        <v>16671400</v>
      </c>
      <c r="H535" s="442">
        <f t="shared" si="24"/>
        <v>0</v>
      </c>
      <c r="I535" s="282">
        <f t="shared" si="22"/>
        <v>16671400</v>
      </c>
      <c r="J535" s="282">
        <f t="shared" si="24"/>
        <v>18671400</v>
      </c>
      <c r="K535" s="442">
        <f t="shared" si="24"/>
        <v>0</v>
      </c>
      <c r="L535" s="282">
        <f t="shared" si="23"/>
        <v>18671400</v>
      </c>
    </row>
    <row r="536" spans="1:12" ht="66" customHeight="1">
      <c r="A536" s="290" t="s">
        <v>665</v>
      </c>
      <c r="B536" s="275" t="s">
        <v>1171</v>
      </c>
      <c r="C536" s="275" t="s">
        <v>1063</v>
      </c>
      <c r="D536" s="275" t="s">
        <v>1051</v>
      </c>
      <c r="E536" s="275" t="s">
        <v>666</v>
      </c>
      <c r="F536" s="284"/>
      <c r="G536" s="282">
        <f>G537</f>
        <v>16671400</v>
      </c>
      <c r="H536" s="442">
        <f>H537</f>
        <v>0</v>
      </c>
      <c r="I536" s="282">
        <f t="shared" si="22"/>
        <v>16671400</v>
      </c>
      <c r="J536" s="282">
        <f>J537</f>
        <v>18671400</v>
      </c>
      <c r="K536" s="442">
        <f>K537</f>
        <v>0</v>
      </c>
      <c r="L536" s="282">
        <f t="shared" si="23"/>
        <v>18671400</v>
      </c>
    </row>
    <row r="537" spans="1:12" ht="18.75" customHeight="1">
      <c r="A537" s="288" t="s">
        <v>670</v>
      </c>
      <c r="B537" s="275" t="s">
        <v>1171</v>
      </c>
      <c r="C537" s="275" t="s">
        <v>1063</v>
      </c>
      <c r="D537" s="275" t="s">
        <v>1051</v>
      </c>
      <c r="E537" s="275" t="s">
        <v>671</v>
      </c>
      <c r="F537" s="284"/>
      <c r="G537" s="282">
        <f>G538</f>
        <v>16671400</v>
      </c>
      <c r="H537" s="442">
        <f>H538</f>
        <v>0</v>
      </c>
      <c r="I537" s="282">
        <f t="shared" si="22"/>
        <v>16671400</v>
      </c>
      <c r="J537" s="282">
        <f>J538</f>
        <v>18671400</v>
      </c>
      <c r="K537" s="442">
        <f>K538</f>
        <v>0</v>
      </c>
      <c r="L537" s="282">
        <f t="shared" si="23"/>
        <v>18671400</v>
      </c>
    </row>
    <row r="538" spans="1:12" ht="29.25" customHeight="1">
      <c r="A538" s="288" t="s">
        <v>520</v>
      </c>
      <c r="B538" s="275" t="s">
        <v>1171</v>
      </c>
      <c r="C538" s="275" t="s">
        <v>1063</v>
      </c>
      <c r="D538" s="275" t="s">
        <v>1051</v>
      </c>
      <c r="E538" s="275" t="s">
        <v>672</v>
      </c>
      <c r="F538" s="284"/>
      <c r="G538" s="282">
        <f>G539+G540+G541</f>
        <v>16671400</v>
      </c>
      <c r="H538" s="442">
        <f>H539+H540+H541</f>
        <v>0</v>
      </c>
      <c r="I538" s="282">
        <f t="shared" si="22"/>
        <v>16671400</v>
      </c>
      <c r="J538" s="282">
        <f>J539+J540+J541</f>
        <v>18671400</v>
      </c>
      <c r="K538" s="442">
        <f>K539+K540+K541</f>
        <v>0</v>
      </c>
      <c r="L538" s="282">
        <f t="shared" si="23"/>
        <v>18671400</v>
      </c>
    </row>
    <row r="539" spans="1:12" ht="72.75" customHeight="1">
      <c r="A539" s="290" t="s">
        <v>522</v>
      </c>
      <c r="B539" s="275" t="s">
        <v>1171</v>
      </c>
      <c r="C539" s="275" t="s">
        <v>1063</v>
      </c>
      <c r="D539" s="275" t="s">
        <v>1051</v>
      </c>
      <c r="E539" s="275" t="s">
        <v>672</v>
      </c>
      <c r="F539" s="284" t="s">
        <v>523</v>
      </c>
      <c r="G539" s="282">
        <f>17937600-2000000</f>
        <v>15937600</v>
      </c>
      <c r="H539" s="442"/>
      <c r="I539" s="282">
        <f t="shared" si="22"/>
        <v>15937600</v>
      </c>
      <c r="J539" s="282">
        <f>17937600-2000000+2000000</f>
        <v>17937600</v>
      </c>
      <c r="K539" s="442"/>
      <c r="L539" s="282">
        <f t="shared" si="23"/>
        <v>17937600</v>
      </c>
    </row>
    <row r="540" spans="1:12" ht="40.5" customHeight="1">
      <c r="A540" s="290" t="s">
        <v>516</v>
      </c>
      <c r="B540" s="275" t="s">
        <v>1171</v>
      </c>
      <c r="C540" s="275" t="s">
        <v>1063</v>
      </c>
      <c r="D540" s="275" t="s">
        <v>1051</v>
      </c>
      <c r="E540" s="275" t="s">
        <v>672</v>
      </c>
      <c r="F540" s="284" t="s">
        <v>517</v>
      </c>
      <c r="G540" s="282">
        <v>688100</v>
      </c>
      <c r="H540" s="442"/>
      <c r="I540" s="282">
        <f t="shared" si="22"/>
        <v>688100</v>
      </c>
      <c r="J540" s="282">
        <v>688100</v>
      </c>
      <c r="K540" s="442"/>
      <c r="L540" s="282">
        <f t="shared" si="23"/>
        <v>688100</v>
      </c>
    </row>
    <row r="541" spans="1:12" ht="24.75" customHeight="1">
      <c r="A541" s="288" t="s">
        <v>524</v>
      </c>
      <c r="B541" s="275" t="s">
        <v>1171</v>
      </c>
      <c r="C541" s="275" t="s">
        <v>1063</v>
      </c>
      <c r="D541" s="275" t="s">
        <v>1051</v>
      </c>
      <c r="E541" s="275" t="s">
        <v>672</v>
      </c>
      <c r="F541" s="284" t="s">
        <v>525</v>
      </c>
      <c r="G541" s="282">
        <v>45700</v>
      </c>
      <c r="H541" s="442"/>
      <c r="I541" s="282">
        <f t="shared" si="22"/>
        <v>45700</v>
      </c>
      <c r="J541" s="282">
        <v>45700</v>
      </c>
      <c r="K541" s="442"/>
      <c r="L541" s="282">
        <f t="shared" si="23"/>
        <v>45700</v>
      </c>
    </row>
    <row r="542" spans="1:12" ht="15" customHeight="1" hidden="1">
      <c r="A542" s="288" t="s">
        <v>1172</v>
      </c>
      <c r="B542" s="275" t="s">
        <v>1171</v>
      </c>
      <c r="C542" s="275" t="s">
        <v>1063</v>
      </c>
      <c r="D542" s="275" t="s">
        <v>1049</v>
      </c>
      <c r="E542" s="275" t="s">
        <v>1173</v>
      </c>
      <c r="F542" s="284"/>
      <c r="G542" s="282">
        <f>G544+G543</f>
        <v>0</v>
      </c>
      <c r="H542" s="442">
        <f>H544+H543</f>
        <v>0</v>
      </c>
      <c r="I542" s="282">
        <f t="shared" si="22"/>
        <v>0</v>
      </c>
      <c r="J542" s="282">
        <f>J544+J543</f>
        <v>0</v>
      </c>
      <c r="K542" s="442">
        <f>K544+K543</f>
        <v>0</v>
      </c>
      <c r="L542" s="282">
        <f t="shared" si="23"/>
        <v>0</v>
      </c>
    </row>
    <row r="543" spans="1:12" ht="39.75" customHeight="1" hidden="1">
      <c r="A543" s="290" t="s">
        <v>522</v>
      </c>
      <c r="B543" s="275" t="s">
        <v>1171</v>
      </c>
      <c r="C543" s="275" t="s">
        <v>1063</v>
      </c>
      <c r="D543" s="275" t="s">
        <v>1049</v>
      </c>
      <c r="E543" s="275" t="s">
        <v>1173</v>
      </c>
      <c r="F543" s="284" t="s">
        <v>523</v>
      </c>
      <c r="G543" s="282"/>
      <c r="H543" s="442"/>
      <c r="I543" s="282"/>
      <c r="J543" s="282"/>
      <c r="K543" s="442"/>
      <c r="L543" s="282"/>
    </row>
    <row r="544" spans="1:12" ht="15" customHeight="1" hidden="1">
      <c r="A544" s="290" t="s">
        <v>554</v>
      </c>
      <c r="B544" s="275" t="s">
        <v>1171</v>
      </c>
      <c r="C544" s="275" t="s">
        <v>1063</v>
      </c>
      <c r="D544" s="275" t="s">
        <v>1049</v>
      </c>
      <c r="E544" s="275" t="s">
        <v>1173</v>
      </c>
      <c r="F544" s="284" t="s">
        <v>517</v>
      </c>
      <c r="G544" s="282"/>
      <c r="H544" s="442"/>
      <c r="I544" s="282">
        <f>G544+H544</f>
        <v>0</v>
      </c>
      <c r="J544" s="282"/>
      <c r="K544" s="442"/>
      <c r="L544" s="282">
        <f>J544+K544</f>
        <v>0</v>
      </c>
    </row>
    <row r="545" spans="1:12" ht="15.75" customHeight="1">
      <c r="A545" s="281" t="s">
        <v>1115</v>
      </c>
      <c r="B545" s="275" t="s">
        <v>1171</v>
      </c>
      <c r="C545" s="275" t="s">
        <v>1082</v>
      </c>
      <c r="D545" s="275"/>
      <c r="E545" s="275"/>
      <c r="F545" s="284"/>
      <c r="G545" s="282">
        <f>G546+G571</f>
        <v>22012446</v>
      </c>
      <c r="H545" s="442">
        <f>H546+H571</f>
        <v>646648</v>
      </c>
      <c r="I545" s="282">
        <f>G545+H545</f>
        <v>22659094</v>
      </c>
      <c r="J545" s="282">
        <f>J546+J571</f>
        <v>22742572</v>
      </c>
      <c r="K545" s="442">
        <f>K546+K571</f>
        <v>646648</v>
      </c>
      <c r="L545" s="282">
        <f>J545+K545</f>
        <v>23389220</v>
      </c>
    </row>
    <row r="546" spans="1:12" ht="13.5">
      <c r="A546" s="281" t="s">
        <v>1174</v>
      </c>
      <c r="B546" s="275" t="s">
        <v>1171</v>
      </c>
      <c r="C546" s="275" t="s">
        <v>1082</v>
      </c>
      <c r="D546" s="275" t="s">
        <v>1047</v>
      </c>
      <c r="E546" s="275"/>
      <c r="F546" s="284"/>
      <c r="G546" s="282">
        <f aca="true" t="shared" si="25" ref="G546:L546">G547+G558</f>
        <v>18316274</v>
      </c>
      <c r="H546" s="282">
        <f t="shared" si="25"/>
        <v>646648</v>
      </c>
      <c r="I546" s="282">
        <f t="shared" si="25"/>
        <v>18962922</v>
      </c>
      <c r="J546" s="282">
        <f t="shared" si="25"/>
        <v>20046400</v>
      </c>
      <c r="K546" s="282">
        <f t="shared" si="25"/>
        <v>646648</v>
      </c>
      <c r="L546" s="282">
        <f t="shared" si="25"/>
        <v>20693048</v>
      </c>
    </row>
    <row r="547" spans="1:12" ht="31.5" customHeight="1">
      <c r="A547" s="281" t="s">
        <v>508</v>
      </c>
      <c r="B547" s="275" t="s">
        <v>1171</v>
      </c>
      <c r="C547" s="275" t="s">
        <v>1082</v>
      </c>
      <c r="D547" s="275" t="s">
        <v>1047</v>
      </c>
      <c r="E547" s="275" t="s">
        <v>1117</v>
      </c>
      <c r="F547" s="284"/>
      <c r="G547" s="282">
        <f>G548+G563</f>
        <v>18311274</v>
      </c>
      <c r="H547" s="442">
        <f>H548+H563</f>
        <v>646648</v>
      </c>
      <c r="I547" s="282">
        <f>G547+H547</f>
        <v>18957922</v>
      </c>
      <c r="J547" s="282">
        <f>J548+J563</f>
        <v>20041400</v>
      </c>
      <c r="K547" s="442">
        <f>K548+K563</f>
        <v>646648</v>
      </c>
      <c r="L547" s="282">
        <f>J547+K547</f>
        <v>20688048</v>
      </c>
    </row>
    <row r="548" spans="1:12" s="308" customFormat="1" ht="45.75" customHeight="1">
      <c r="A548" s="281" t="s">
        <v>510</v>
      </c>
      <c r="B548" s="275" t="s">
        <v>1171</v>
      </c>
      <c r="C548" s="443" t="s">
        <v>1118</v>
      </c>
      <c r="D548" s="443" t="s">
        <v>1047</v>
      </c>
      <c r="E548" s="443" t="s">
        <v>511</v>
      </c>
      <c r="F548" s="448"/>
      <c r="G548" s="446">
        <f aca="true" t="shared" si="26" ref="G548:L548">G549</f>
        <v>10111974</v>
      </c>
      <c r="H548" s="446">
        <f t="shared" si="26"/>
        <v>646648</v>
      </c>
      <c r="I548" s="446">
        <f t="shared" si="26"/>
        <v>10768622</v>
      </c>
      <c r="J548" s="446">
        <f t="shared" si="26"/>
        <v>11842100</v>
      </c>
      <c r="K548" s="446">
        <f t="shared" si="26"/>
        <v>646648</v>
      </c>
      <c r="L548" s="446">
        <f t="shared" si="26"/>
        <v>12498748</v>
      </c>
    </row>
    <row r="549" spans="1:12" ht="39.75" customHeight="1">
      <c r="A549" s="287" t="s">
        <v>512</v>
      </c>
      <c r="B549" s="275" t="s">
        <v>1171</v>
      </c>
      <c r="C549" s="275" t="s">
        <v>1118</v>
      </c>
      <c r="D549" s="275" t="s">
        <v>1047</v>
      </c>
      <c r="E549" s="275" t="s">
        <v>513</v>
      </c>
      <c r="F549" s="284"/>
      <c r="G549" s="282">
        <f>G550+G554+G552</f>
        <v>10111974</v>
      </c>
      <c r="H549" s="282">
        <f>H550+H554+H562+H552+H558</f>
        <v>646648</v>
      </c>
      <c r="I549" s="282">
        <f>I550+I554+I562+I552+I558</f>
        <v>10768622</v>
      </c>
      <c r="J549" s="282">
        <f>J550+J554+J552</f>
        <v>11842100</v>
      </c>
      <c r="K549" s="282">
        <f>K550+K554+K562+K552+K558</f>
        <v>646648</v>
      </c>
      <c r="L549" s="282">
        <f>L550+L554+L562+L552+L558</f>
        <v>12498748</v>
      </c>
    </row>
    <row r="550" spans="1:12" ht="15" customHeight="1" hidden="1">
      <c r="A550" s="288" t="s">
        <v>514</v>
      </c>
      <c r="B550" s="275" t="s">
        <v>1171</v>
      </c>
      <c r="C550" s="275" t="s">
        <v>1118</v>
      </c>
      <c r="D550" s="275" t="s">
        <v>1047</v>
      </c>
      <c r="E550" s="275" t="s">
        <v>1119</v>
      </c>
      <c r="F550" s="284"/>
      <c r="G550" s="282">
        <f aca="true" t="shared" si="27" ref="G550:L550">G551</f>
        <v>0</v>
      </c>
      <c r="H550" s="282">
        <f t="shared" si="27"/>
        <v>0</v>
      </c>
      <c r="I550" s="282">
        <f t="shared" si="27"/>
        <v>0</v>
      </c>
      <c r="J550" s="282">
        <f t="shared" si="27"/>
        <v>0</v>
      </c>
      <c r="K550" s="282">
        <f t="shared" si="27"/>
        <v>0</v>
      </c>
      <c r="L550" s="282">
        <f t="shared" si="27"/>
        <v>0</v>
      </c>
    </row>
    <row r="551" spans="1:12" ht="24.75" customHeight="1" hidden="1">
      <c r="A551" s="290" t="s">
        <v>516</v>
      </c>
      <c r="B551" s="275" t="s">
        <v>1171</v>
      </c>
      <c r="C551" s="275" t="s">
        <v>1118</v>
      </c>
      <c r="D551" s="275" t="s">
        <v>1047</v>
      </c>
      <c r="E551" s="275" t="s">
        <v>1119</v>
      </c>
      <c r="F551" s="284" t="s">
        <v>517</v>
      </c>
      <c r="G551" s="282"/>
      <c r="H551" s="282"/>
      <c r="I551" s="282"/>
      <c r="J551" s="282"/>
      <c r="K551" s="282"/>
      <c r="L551" s="282"/>
    </row>
    <row r="552" spans="1:12" ht="26.25" customHeight="1" hidden="1">
      <c r="A552" s="447" t="s">
        <v>518</v>
      </c>
      <c r="B552" s="275" t="s">
        <v>1171</v>
      </c>
      <c r="C552" s="275" t="s">
        <v>1118</v>
      </c>
      <c r="D552" s="275" t="s">
        <v>1047</v>
      </c>
      <c r="E552" s="275" t="s">
        <v>1120</v>
      </c>
      <c r="F552" s="284"/>
      <c r="G552" s="282">
        <f aca="true" t="shared" si="28" ref="G552:L552">G553</f>
        <v>0</v>
      </c>
      <c r="H552" s="282">
        <f t="shared" si="28"/>
        <v>0</v>
      </c>
      <c r="I552" s="282">
        <f t="shared" si="28"/>
        <v>0</v>
      </c>
      <c r="J552" s="282">
        <f t="shared" si="28"/>
        <v>0</v>
      </c>
      <c r="K552" s="282">
        <f t="shared" si="28"/>
        <v>0</v>
      </c>
      <c r="L552" s="282">
        <f t="shared" si="28"/>
        <v>0</v>
      </c>
    </row>
    <row r="553" spans="1:12" ht="26.25" customHeight="1" hidden="1">
      <c r="A553" s="290" t="s">
        <v>516</v>
      </c>
      <c r="B553" s="443" t="s">
        <v>1171</v>
      </c>
      <c r="C553" s="275" t="s">
        <v>1118</v>
      </c>
      <c r="D553" s="275" t="s">
        <v>1047</v>
      </c>
      <c r="E553" s="275" t="s">
        <v>1120</v>
      </c>
      <c r="F553" s="284" t="s">
        <v>517</v>
      </c>
      <c r="G553" s="282"/>
      <c r="H553" s="282"/>
      <c r="I553" s="282"/>
      <c r="J553" s="282"/>
      <c r="K553" s="282"/>
      <c r="L553" s="282"/>
    </row>
    <row r="554" spans="1:12" ht="26.25">
      <c r="A554" s="281" t="s">
        <v>520</v>
      </c>
      <c r="B554" s="275" t="s">
        <v>1171</v>
      </c>
      <c r="C554" s="275" t="s">
        <v>1118</v>
      </c>
      <c r="D554" s="275" t="s">
        <v>1047</v>
      </c>
      <c r="E554" s="275" t="s">
        <v>1121</v>
      </c>
      <c r="F554" s="284"/>
      <c r="G554" s="282">
        <f aca="true" t="shared" si="29" ref="G554:L554">G555+G556+G557</f>
        <v>10111974</v>
      </c>
      <c r="H554" s="282">
        <f t="shared" si="29"/>
        <v>646648</v>
      </c>
      <c r="I554" s="282">
        <f t="shared" si="29"/>
        <v>10758622</v>
      </c>
      <c r="J554" s="282">
        <f t="shared" si="29"/>
        <v>11842100</v>
      </c>
      <c r="K554" s="282">
        <f t="shared" si="29"/>
        <v>646648</v>
      </c>
      <c r="L554" s="282">
        <f t="shared" si="29"/>
        <v>12488748</v>
      </c>
    </row>
    <row r="555" spans="1:12" ht="65.25" customHeight="1">
      <c r="A555" s="290" t="s">
        <v>522</v>
      </c>
      <c r="B555" s="275" t="s">
        <v>1171</v>
      </c>
      <c r="C555" s="275" t="s">
        <v>1118</v>
      </c>
      <c r="D555" s="275" t="s">
        <v>1047</v>
      </c>
      <c r="E555" s="275" t="s">
        <v>1121</v>
      </c>
      <c r="F555" s="284" t="s">
        <v>523</v>
      </c>
      <c r="G555" s="282">
        <f>10765600-1000000-730126</f>
        <v>9035474</v>
      </c>
      <c r="H555" s="442">
        <f>14000</f>
        <v>14000</v>
      </c>
      <c r="I555" s="282">
        <f aca="true" t="shared" si="30" ref="I555:I594">G555+H555</f>
        <v>9049474</v>
      </c>
      <c r="J555" s="282">
        <f>10765600-2000000+2000000</f>
        <v>10765600</v>
      </c>
      <c r="K555" s="442">
        <f>14000</f>
        <v>14000</v>
      </c>
      <c r="L555" s="282">
        <f aca="true" t="shared" si="31" ref="L555:L594">J555+K555</f>
        <v>10779600</v>
      </c>
    </row>
    <row r="556" spans="1:12" ht="26.25" customHeight="1">
      <c r="A556" s="290" t="s">
        <v>516</v>
      </c>
      <c r="B556" s="275" t="s">
        <v>1171</v>
      </c>
      <c r="C556" s="275" t="s">
        <v>1118</v>
      </c>
      <c r="D556" s="275" t="s">
        <v>1047</v>
      </c>
      <c r="E556" s="275" t="s">
        <v>1121</v>
      </c>
      <c r="F556" s="284" t="s">
        <v>517</v>
      </c>
      <c r="G556" s="282">
        <v>1009100</v>
      </c>
      <c r="H556" s="442">
        <f>174848+52000+405800</f>
        <v>632648</v>
      </c>
      <c r="I556" s="282">
        <f t="shared" si="30"/>
        <v>1641748</v>
      </c>
      <c r="J556" s="282">
        <v>1009100</v>
      </c>
      <c r="K556" s="442">
        <f>174848+52000+405800</f>
        <v>632648</v>
      </c>
      <c r="L556" s="282">
        <f t="shared" si="31"/>
        <v>1641748</v>
      </c>
    </row>
    <row r="557" spans="1:12" ht="21" customHeight="1">
      <c r="A557" s="292" t="s">
        <v>524</v>
      </c>
      <c r="B557" s="275" t="s">
        <v>1171</v>
      </c>
      <c r="C557" s="275" t="s">
        <v>1118</v>
      </c>
      <c r="D557" s="275" t="s">
        <v>1047</v>
      </c>
      <c r="E557" s="275" t="s">
        <v>1121</v>
      </c>
      <c r="F557" s="284" t="s">
        <v>525</v>
      </c>
      <c r="G557" s="282">
        <v>67400</v>
      </c>
      <c r="H557" s="442"/>
      <c r="I557" s="282">
        <f t="shared" si="30"/>
        <v>67400</v>
      </c>
      <c r="J557" s="282">
        <v>67400</v>
      </c>
      <c r="K557" s="442"/>
      <c r="L557" s="282">
        <f t="shared" si="31"/>
        <v>67400</v>
      </c>
    </row>
    <row r="558" spans="1:12" ht="46.5" customHeight="1">
      <c r="A558" s="311" t="s">
        <v>1122</v>
      </c>
      <c r="B558" s="275" t="s">
        <v>1171</v>
      </c>
      <c r="C558" s="275" t="s">
        <v>1118</v>
      </c>
      <c r="D558" s="275" t="s">
        <v>1047</v>
      </c>
      <c r="E558" s="275" t="s">
        <v>938</v>
      </c>
      <c r="F558" s="303"/>
      <c r="G558" s="282">
        <f>G559</f>
        <v>5000</v>
      </c>
      <c r="H558" s="442"/>
      <c r="I558" s="282">
        <f t="shared" si="30"/>
        <v>5000</v>
      </c>
      <c r="J558" s="282">
        <f>J559</f>
        <v>5000</v>
      </c>
      <c r="K558" s="442"/>
      <c r="L558" s="282">
        <f t="shared" si="31"/>
        <v>5000</v>
      </c>
    </row>
    <row r="559" spans="1:12" ht="63.75" customHeight="1">
      <c r="A559" s="287" t="s">
        <v>939</v>
      </c>
      <c r="B559" s="275" t="s">
        <v>1171</v>
      </c>
      <c r="C559" s="275" t="s">
        <v>1118</v>
      </c>
      <c r="D559" s="275" t="s">
        <v>1047</v>
      </c>
      <c r="E559" s="275" t="s">
        <v>940</v>
      </c>
      <c r="F559" s="303"/>
      <c r="G559" s="282">
        <f>G560</f>
        <v>5000</v>
      </c>
      <c r="H559" s="442"/>
      <c r="I559" s="282">
        <f t="shared" si="30"/>
        <v>5000</v>
      </c>
      <c r="J559" s="282">
        <f>J560</f>
        <v>5000</v>
      </c>
      <c r="K559" s="442"/>
      <c r="L559" s="282">
        <f t="shared" si="31"/>
        <v>5000</v>
      </c>
    </row>
    <row r="560" spans="1:12" ht="35.25" customHeight="1">
      <c r="A560" s="318" t="s">
        <v>941</v>
      </c>
      <c r="B560" s="275" t="s">
        <v>1171</v>
      </c>
      <c r="C560" s="275" t="s">
        <v>1118</v>
      </c>
      <c r="D560" s="275" t="s">
        <v>1047</v>
      </c>
      <c r="E560" s="275" t="s">
        <v>942</v>
      </c>
      <c r="F560" s="303"/>
      <c r="G560" s="282">
        <f>G561</f>
        <v>5000</v>
      </c>
      <c r="H560" s="442"/>
      <c r="I560" s="282">
        <f t="shared" si="30"/>
        <v>5000</v>
      </c>
      <c r="J560" s="282">
        <f>J561</f>
        <v>5000</v>
      </c>
      <c r="K560" s="442"/>
      <c r="L560" s="282">
        <f t="shared" si="31"/>
        <v>5000</v>
      </c>
    </row>
    <row r="561" spans="1:12" ht="24" customHeight="1">
      <c r="A561" s="318" t="s">
        <v>943</v>
      </c>
      <c r="B561" s="275" t="s">
        <v>1171</v>
      </c>
      <c r="C561" s="275" t="s">
        <v>1118</v>
      </c>
      <c r="D561" s="275" t="s">
        <v>1047</v>
      </c>
      <c r="E561" s="275" t="s">
        <v>944</v>
      </c>
      <c r="F561" s="303"/>
      <c r="G561" s="282">
        <f>G562</f>
        <v>5000</v>
      </c>
      <c r="H561" s="442"/>
      <c r="I561" s="282">
        <f t="shared" si="30"/>
        <v>5000</v>
      </c>
      <c r="J561" s="282">
        <f>J562</f>
        <v>5000</v>
      </c>
      <c r="K561" s="442"/>
      <c r="L561" s="282">
        <f t="shared" si="31"/>
        <v>5000</v>
      </c>
    </row>
    <row r="562" spans="1:12" ht="35.25" customHeight="1">
      <c r="A562" s="290" t="s">
        <v>516</v>
      </c>
      <c r="B562" s="275" t="s">
        <v>1171</v>
      </c>
      <c r="C562" s="275" t="s">
        <v>1118</v>
      </c>
      <c r="D562" s="275" t="s">
        <v>1047</v>
      </c>
      <c r="E562" s="275" t="s">
        <v>944</v>
      </c>
      <c r="F562" s="284" t="s">
        <v>517</v>
      </c>
      <c r="G562" s="282">
        <v>5000</v>
      </c>
      <c r="H562" s="442"/>
      <c r="I562" s="282">
        <f t="shared" si="30"/>
        <v>5000</v>
      </c>
      <c r="J562" s="282">
        <v>5000</v>
      </c>
      <c r="K562" s="442"/>
      <c r="L562" s="282">
        <f t="shared" si="31"/>
        <v>5000</v>
      </c>
    </row>
    <row r="563" spans="1:12" ht="38.25" customHeight="1">
      <c r="A563" s="281" t="s">
        <v>530</v>
      </c>
      <c r="B563" s="275" t="s">
        <v>1171</v>
      </c>
      <c r="C563" s="275" t="s">
        <v>1118</v>
      </c>
      <c r="D563" s="275" t="s">
        <v>1047</v>
      </c>
      <c r="E563" s="289" t="s">
        <v>531</v>
      </c>
      <c r="F563" s="284"/>
      <c r="G563" s="282">
        <f>G564</f>
        <v>8199300</v>
      </c>
      <c r="H563" s="442">
        <f>H565+H569</f>
        <v>0</v>
      </c>
      <c r="I563" s="282">
        <f t="shared" si="30"/>
        <v>8199300</v>
      </c>
      <c r="J563" s="282">
        <f>J564</f>
        <v>8199300</v>
      </c>
      <c r="K563" s="442">
        <f>K565+K569</f>
        <v>0</v>
      </c>
      <c r="L563" s="282">
        <f t="shared" si="31"/>
        <v>8199300</v>
      </c>
    </row>
    <row r="564" spans="1:12" ht="28.5" customHeight="1">
      <c r="A564" s="288" t="s">
        <v>532</v>
      </c>
      <c r="B564" s="275" t="s">
        <v>1171</v>
      </c>
      <c r="C564" s="275" t="s">
        <v>1118</v>
      </c>
      <c r="D564" s="275" t="s">
        <v>1047</v>
      </c>
      <c r="E564" s="289" t="s">
        <v>533</v>
      </c>
      <c r="F564" s="284"/>
      <c r="G564" s="282">
        <f>G565+G569</f>
        <v>8199300</v>
      </c>
      <c r="H564" s="442"/>
      <c r="I564" s="282">
        <f t="shared" si="30"/>
        <v>8199300</v>
      </c>
      <c r="J564" s="282">
        <f>J565+J569</f>
        <v>8199300</v>
      </c>
      <c r="K564" s="442"/>
      <c r="L564" s="282">
        <f t="shared" si="31"/>
        <v>8199300</v>
      </c>
    </row>
    <row r="565" spans="1:12" ht="26.25">
      <c r="A565" s="281" t="s">
        <v>520</v>
      </c>
      <c r="B565" s="275" t="s">
        <v>1171</v>
      </c>
      <c r="C565" s="275" t="s">
        <v>1118</v>
      </c>
      <c r="D565" s="275" t="s">
        <v>1047</v>
      </c>
      <c r="E565" s="289" t="s">
        <v>534</v>
      </c>
      <c r="F565" s="284"/>
      <c r="G565" s="282">
        <f>G566+G567+G568</f>
        <v>8199300</v>
      </c>
      <c r="H565" s="442">
        <f>H566+H567+H568</f>
        <v>0</v>
      </c>
      <c r="I565" s="282">
        <f t="shared" si="30"/>
        <v>8199300</v>
      </c>
      <c r="J565" s="282">
        <f>J566+J567+J568</f>
        <v>8199300</v>
      </c>
      <c r="K565" s="442">
        <f>K566+K567+K568</f>
        <v>0</v>
      </c>
      <c r="L565" s="282">
        <f t="shared" si="31"/>
        <v>8199300</v>
      </c>
    </row>
    <row r="566" spans="1:12" ht="40.5" customHeight="1">
      <c r="A566" s="290" t="s">
        <v>522</v>
      </c>
      <c r="B566" s="275" t="s">
        <v>1171</v>
      </c>
      <c r="C566" s="275" t="s">
        <v>1118</v>
      </c>
      <c r="D566" s="275" t="s">
        <v>1047</v>
      </c>
      <c r="E566" s="289" t="s">
        <v>534</v>
      </c>
      <c r="F566" s="284" t="s">
        <v>523</v>
      </c>
      <c r="G566" s="282">
        <f>8967000-1000000</f>
        <v>7967000</v>
      </c>
      <c r="H566" s="442"/>
      <c r="I566" s="282">
        <f t="shared" si="30"/>
        <v>7967000</v>
      </c>
      <c r="J566" s="282">
        <f>8967000-1000000</f>
        <v>7967000</v>
      </c>
      <c r="K566" s="442"/>
      <c r="L566" s="282">
        <f t="shared" si="31"/>
        <v>7967000</v>
      </c>
    </row>
    <row r="567" spans="1:12" ht="27" customHeight="1">
      <c r="A567" s="290" t="s">
        <v>516</v>
      </c>
      <c r="B567" s="275" t="s">
        <v>1171</v>
      </c>
      <c r="C567" s="275" t="s">
        <v>1118</v>
      </c>
      <c r="D567" s="275" t="s">
        <v>1047</v>
      </c>
      <c r="E567" s="289" t="s">
        <v>534</v>
      </c>
      <c r="F567" s="284" t="s">
        <v>517</v>
      </c>
      <c r="G567" s="282">
        <v>230200</v>
      </c>
      <c r="H567" s="442"/>
      <c r="I567" s="282">
        <f t="shared" si="30"/>
        <v>230200</v>
      </c>
      <c r="J567" s="282">
        <v>230200</v>
      </c>
      <c r="K567" s="442"/>
      <c r="L567" s="282">
        <f t="shared" si="31"/>
        <v>230200</v>
      </c>
    </row>
    <row r="568" spans="1:12" ht="13.5">
      <c r="A568" s="292" t="s">
        <v>524</v>
      </c>
      <c r="B568" s="275" t="s">
        <v>1171</v>
      </c>
      <c r="C568" s="275" t="s">
        <v>1118</v>
      </c>
      <c r="D568" s="275" t="s">
        <v>1047</v>
      </c>
      <c r="E568" s="289" t="s">
        <v>534</v>
      </c>
      <c r="F568" s="284" t="s">
        <v>525</v>
      </c>
      <c r="G568" s="282">
        <v>2100</v>
      </c>
      <c r="H568" s="442"/>
      <c r="I568" s="282">
        <f t="shared" si="30"/>
        <v>2100</v>
      </c>
      <c r="J568" s="282">
        <v>2100</v>
      </c>
      <c r="K568" s="442"/>
      <c r="L568" s="282">
        <f t="shared" si="31"/>
        <v>2100</v>
      </c>
    </row>
    <row r="569" spans="1:12" ht="15" customHeight="1" hidden="1">
      <c r="A569" s="292" t="s">
        <v>535</v>
      </c>
      <c r="B569" s="275" t="s">
        <v>1171</v>
      </c>
      <c r="C569" s="275" t="s">
        <v>1118</v>
      </c>
      <c r="D569" s="275" t="s">
        <v>1047</v>
      </c>
      <c r="E569" s="289" t="s">
        <v>536</v>
      </c>
      <c r="F569" s="284"/>
      <c r="G569" s="282">
        <f>G570</f>
        <v>0</v>
      </c>
      <c r="H569" s="442">
        <f>H570</f>
        <v>0</v>
      </c>
      <c r="I569" s="282">
        <f t="shared" si="30"/>
        <v>0</v>
      </c>
      <c r="J569" s="282">
        <f>J570</f>
        <v>0</v>
      </c>
      <c r="K569" s="442">
        <f>K570</f>
        <v>0</v>
      </c>
      <c r="L569" s="282">
        <f t="shared" si="31"/>
        <v>0</v>
      </c>
    </row>
    <row r="570" spans="1:12" ht="13.5">
      <c r="A570" s="290" t="s">
        <v>554</v>
      </c>
      <c r="B570" s="275" t="s">
        <v>1171</v>
      </c>
      <c r="C570" s="275" t="s">
        <v>1118</v>
      </c>
      <c r="D570" s="275" t="s">
        <v>1047</v>
      </c>
      <c r="E570" s="289" t="s">
        <v>536</v>
      </c>
      <c r="F570" s="284" t="s">
        <v>517</v>
      </c>
      <c r="G570" s="282">
        <f>20000-20000</f>
        <v>0</v>
      </c>
      <c r="H570" s="442"/>
      <c r="I570" s="282">
        <f t="shared" si="30"/>
        <v>0</v>
      </c>
      <c r="J570" s="282">
        <f>20000-20000</f>
        <v>0</v>
      </c>
      <c r="K570" s="442"/>
      <c r="L570" s="282">
        <f t="shared" si="31"/>
        <v>0</v>
      </c>
    </row>
    <row r="571" spans="1:12" ht="13.5">
      <c r="A571" s="281" t="s">
        <v>1123</v>
      </c>
      <c r="B571" s="275" t="s">
        <v>1171</v>
      </c>
      <c r="C571" s="275" t="s">
        <v>1082</v>
      </c>
      <c r="D571" s="275" t="s">
        <v>1054</v>
      </c>
      <c r="E571" s="275"/>
      <c r="F571" s="284"/>
      <c r="G571" s="282">
        <f>G572</f>
        <v>3696172</v>
      </c>
      <c r="H571" s="442"/>
      <c r="I571" s="282">
        <f t="shared" si="30"/>
        <v>3696172</v>
      </c>
      <c r="J571" s="282">
        <f>J572</f>
        <v>2696172</v>
      </c>
      <c r="K571" s="442"/>
      <c r="L571" s="282">
        <f t="shared" si="31"/>
        <v>2696172</v>
      </c>
    </row>
    <row r="572" spans="1:12" ht="31.5" customHeight="1">
      <c r="A572" s="281" t="s">
        <v>508</v>
      </c>
      <c r="B572" s="275" t="s">
        <v>1171</v>
      </c>
      <c r="C572" s="275" t="s">
        <v>1082</v>
      </c>
      <c r="D572" s="275" t="s">
        <v>1054</v>
      </c>
      <c r="E572" s="275" t="s">
        <v>1117</v>
      </c>
      <c r="F572" s="284"/>
      <c r="G572" s="282">
        <f>G573</f>
        <v>3696172</v>
      </c>
      <c r="H572" s="442"/>
      <c r="I572" s="282">
        <f t="shared" si="30"/>
        <v>3696172</v>
      </c>
      <c r="J572" s="282">
        <f>J573</f>
        <v>2696172</v>
      </c>
      <c r="K572" s="442"/>
      <c r="L572" s="282">
        <f t="shared" si="31"/>
        <v>2696172</v>
      </c>
    </row>
    <row r="573" spans="1:12" ht="58.5" customHeight="1">
      <c r="A573" s="281" t="s">
        <v>537</v>
      </c>
      <c r="B573" s="275" t="s">
        <v>1171</v>
      </c>
      <c r="C573" s="275" t="s">
        <v>1082</v>
      </c>
      <c r="D573" s="275" t="s">
        <v>1054</v>
      </c>
      <c r="E573" s="275" t="s">
        <v>538</v>
      </c>
      <c r="F573" s="284"/>
      <c r="G573" s="282">
        <f>G574+G579</f>
        <v>3696172</v>
      </c>
      <c r="H573" s="442"/>
      <c r="I573" s="282">
        <f t="shared" si="30"/>
        <v>3696172</v>
      </c>
      <c r="J573" s="282">
        <f>J574+J579</f>
        <v>2696172</v>
      </c>
      <c r="K573" s="442"/>
      <c r="L573" s="282">
        <f t="shared" si="31"/>
        <v>2696172</v>
      </c>
    </row>
    <row r="574" spans="1:12" ht="32.25" customHeight="1">
      <c r="A574" s="294" t="s">
        <v>539</v>
      </c>
      <c r="B574" s="275" t="s">
        <v>1171</v>
      </c>
      <c r="C574" s="275" t="s">
        <v>1082</v>
      </c>
      <c r="D574" s="275" t="s">
        <v>1054</v>
      </c>
      <c r="E574" s="275" t="s">
        <v>540</v>
      </c>
      <c r="F574" s="284"/>
      <c r="G574" s="282">
        <f>G575</f>
        <v>3643300</v>
      </c>
      <c r="H574" s="442"/>
      <c r="I574" s="282">
        <f t="shared" si="30"/>
        <v>3643300</v>
      </c>
      <c r="J574" s="282">
        <f>J575</f>
        <v>2643300</v>
      </c>
      <c r="K574" s="442"/>
      <c r="L574" s="282">
        <f t="shared" si="31"/>
        <v>2643300</v>
      </c>
    </row>
    <row r="575" spans="1:12" ht="32.25" customHeight="1">
      <c r="A575" s="281" t="s">
        <v>520</v>
      </c>
      <c r="B575" s="275" t="s">
        <v>1171</v>
      </c>
      <c r="C575" s="275" t="s">
        <v>1082</v>
      </c>
      <c r="D575" s="275" t="s">
        <v>1054</v>
      </c>
      <c r="E575" s="275" t="s">
        <v>541</v>
      </c>
      <c r="F575" s="284"/>
      <c r="G575" s="282">
        <f>G576+G577+G578</f>
        <v>3643300</v>
      </c>
      <c r="H575" s="442"/>
      <c r="I575" s="282">
        <f t="shared" si="30"/>
        <v>3643300</v>
      </c>
      <c r="J575" s="282">
        <f>J576+J577+J578</f>
        <v>2643300</v>
      </c>
      <c r="K575" s="442"/>
      <c r="L575" s="282">
        <f t="shared" si="31"/>
        <v>2643300</v>
      </c>
    </row>
    <row r="576" spans="1:12" ht="60" customHeight="1">
      <c r="A576" s="290" t="s">
        <v>522</v>
      </c>
      <c r="B576" s="275" t="s">
        <v>1171</v>
      </c>
      <c r="C576" s="275" t="s">
        <v>1082</v>
      </c>
      <c r="D576" s="275" t="s">
        <v>1054</v>
      </c>
      <c r="E576" s="275" t="s">
        <v>541</v>
      </c>
      <c r="F576" s="284" t="s">
        <v>523</v>
      </c>
      <c r="G576" s="282">
        <v>3411200</v>
      </c>
      <c r="H576" s="442"/>
      <c r="I576" s="282">
        <f t="shared" si="30"/>
        <v>3411200</v>
      </c>
      <c r="J576" s="282">
        <f>3411200-1000000</f>
        <v>2411200</v>
      </c>
      <c r="K576" s="442"/>
      <c r="L576" s="282">
        <f t="shared" si="31"/>
        <v>2411200</v>
      </c>
    </row>
    <row r="577" spans="1:12" ht="26.25" customHeight="1">
      <c r="A577" s="290" t="s">
        <v>516</v>
      </c>
      <c r="B577" s="275" t="s">
        <v>1171</v>
      </c>
      <c r="C577" s="275" t="s">
        <v>1082</v>
      </c>
      <c r="D577" s="275" t="s">
        <v>1054</v>
      </c>
      <c r="E577" s="275" t="s">
        <v>541</v>
      </c>
      <c r="F577" s="284" t="s">
        <v>517</v>
      </c>
      <c r="G577" s="282">
        <v>230100</v>
      </c>
      <c r="H577" s="442"/>
      <c r="I577" s="282">
        <f t="shared" si="30"/>
        <v>230100</v>
      </c>
      <c r="J577" s="282">
        <v>230100</v>
      </c>
      <c r="K577" s="442"/>
      <c r="L577" s="282">
        <f t="shared" si="31"/>
        <v>230100</v>
      </c>
    </row>
    <row r="578" spans="1:12" ht="16.5" customHeight="1">
      <c r="A578" s="292" t="s">
        <v>524</v>
      </c>
      <c r="B578" s="275" t="s">
        <v>1171</v>
      </c>
      <c r="C578" s="275" t="s">
        <v>1082</v>
      </c>
      <c r="D578" s="275" t="s">
        <v>1054</v>
      </c>
      <c r="E578" s="275" t="s">
        <v>541</v>
      </c>
      <c r="F578" s="284" t="s">
        <v>525</v>
      </c>
      <c r="G578" s="282">
        <v>2000</v>
      </c>
      <c r="H578" s="442"/>
      <c r="I578" s="282">
        <f t="shared" si="30"/>
        <v>2000</v>
      </c>
      <c r="J578" s="282">
        <v>2000</v>
      </c>
      <c r="K578" s="442"/>
      <c r="L578" s="282">
        <f t="shared" si="31"/>
        <v>2000</v>
      </c>
    </row>
    <row r="579" spans="1:12" ht="41.25" customHeight="1">
      <c r="A579" s="295" t="s">
        <v>542</v>
      </c>
      <c r="B579" s="275" t="s">
        <v>1171</v>
      </c>
      <c r="C579" s="275" t="s">
        <v>1082</v>
      </c>
      <c r="D579" s="275" t="s">
        <v>1054</v>
      </c>
      <c r="E579" s="275" t="s">
        <v>543</v>
      </c>
      <c r="F579" s="284"/>
      <c r="G579" s="282">
        <f>G580</f>
        <v>52872</v>
      </c>
      <c r="H579" s="442"/>
      <c r="I579" s="282">
        <f t="shared" si="30"/>
        <v>52872</v>
      </c>
      <c r="J579" s="282">
        <f>J580</f>
        <v>52872</v>
      </c>
      <c r="K579" s="442"/>
      <c r="L579" s="282">
        <f t="shared" si="31"/>
        <v>52872</v>
      </c>
    </row>
    <row r="580" spans="1:12" ht="42.75" customHeight="1">
      <c r="A580" s="296" t="s">
        <v>544</v>
      </c>
      <c r="B580" s="275" t="s">
        <v>1171</v>
      </c>
      <c r="C580" s="275" t="s">
        <v>1082</v>
      </c>
      <c r="D580" s="275" t="s">
        <v>1054</v>
      </c>
      <c r="E580" s="275" t="s">
        <v>545</v>
      </c>
      <c r="F580" s="284"/>
      <c r="G580" s="282">
        <f>G581</f>
        <v>52872</v>
      </c>
      <c r="H580" s="442"/>
      <c r="I580" s="282">
        <f t="shared" si="30"/>
        <v>52872</v>
      </c>
      <c r="J580" s="282">
        <f>J581</f>
        <v>52872</v>
      </c>
      <c r="K580" s="442"/>
      <c r="L580" s="282">
        <f t="shared" si="31"/>
        <v>52872</v>
      </c>
    </row>
    <row r="581" spans="1:12" ht="59.25" customHeight="1">
      <c r="A581" s="290" t="s">
        <v>522</v>
      </c>
      <c r="B581" s="275" t="s">
        <v>1171</v>
      </c>
      <c r="C581" s="275" t="s">
        <v>1082</v>
      </c>
      <c r="D581" s="275" t="s">
        <v>1054</v>
      </c>
      <c r="E581" s="275" t="s">
        <v>545</v>
      </c>
      <c r="F581" s="284" t="s">
        <v>523</v>
      </c>
      <c r="G581" s="282">
        <v>52872</v>
      </c>
      <c r="H581" s="442"/>
      <c r="I581" s="282">
        <f t="shared" si="30"/>
        <v>52872</v>
      </c>
      <c r="J581" s="282">
        <v>52872</v>
      </c>
      <c r="K581" s="442"/>
      <c r="L581" s="282">
        <f t="shared" si="31"/>
        <v>52872</v>
      </c>
    </row>
    <row r="582" spans="1:12" ht="13.5">
      <c r="A582" s="281" t="s">
        <v>1127</v>
      </c>
      <c r="B582" s="275" t="s">
        <v>1171</v>
      </c>
      <c r="C582" s="275">
        <v>10</v>
      </c>
      <c r="D582" s="275"/>
      <c r="E582" s="275"/>
      <c r="F582" s="284"/>
      <c r="G582" s="282">
        <f>G583</f>
        <v>2516480</v>
      </c>
      <c r="H582" s="442"/>
      <c r="I582" s="282">
        <f t="shared" si="30"/>
        <v>2516480</v>
      </c>
      <c r="J582" s="282">
        <f>J583</f>
        <v>2516480</v>
      </c>
      <c r="K582" s="442"/>
      <c r="L582" s="282">
        <f t="shared" si="31"/>
        <v>2516480</v>
      </c>
    </row>
    <row r="583" spans="1:12" ht="13.5">
      <c r="A583" s="281" t="s">
        <v>1133</v>
      </c>
      <c r="B583" s="275" t="s">
        <v>1171</v>
      </c>
      <c r="C583" s="275">
        <v>10</v>
      </c>
      <c r="D583" s="275" t="s">
        <v>1051</v>
      </c>
      <c r="E583" s="275"/>
      <c r="F583" s="284"/>
      <c r="G583" s="282">
        <f>G589+G584</f>
        <v>2516480</v>
      </c>
      <c r="H583" s="442"/>
      <c r="I583" s="282">
        <f t="shared" si="30"/>
        <v>2516480</v>
      </c>
      <c r="J583" s="282">
        <f>J589+J584</f>
        <v>2516480</v>
      </c>
      <c r="K583" s="442"/>
      <c r="L583" s="282">
        <f t="shared" si="31"/>
        <v>2516480</v>
      </c>
    </row>
    <row r="584" spans="1:12" ht="33.75" customHeight="1">
      <c r="A584" s="281" t="s">
        <v>508</v>
      </c>
      <c r="B584" s="275" t="s">
        <v>1171</v>
      </c>
      <c r="C584" s="275">
        <v>10</v>
      </c>
      <c r="D584" s="275" t="s">
        <v>1051</v>
      </c>
      <c r="E584" s="275" t="s">
        <v>1117</v>
      </c>
      <c r="F584" s="284"/>
      <c r="G584" s="282">
        <f>G585</f>
        <v>1416480</v>
      </c>
      <c r="H584" s="442"/>
      <c r="I584" s="282">
        <f t="shared" si="30"/>
        <v>1416480</v>
      </c>
      <c r="J584" s="282">
        <f>J585</f>
        <v>1416480</v>
      </c>
      <c r="K584" s="442"/>
      <c r="L584" s="282">
        <f t="shared" si="31"/>
        <v>1416480</v>
      </c>
    </row>
    <row r="585" spans="1:12" ht="57.75" customHeight="1">
      <c r="A585" s="281" t="s">
        <v>537</v>
      </c>
      <c r="B585" s="275" t="s">
        <v>1171</v>
      </c>
      <c r="C585" s="275">
        <v>10</v>
      </c>
      <c r="D585" s="275" t="s">
        <v>1051</v>
      </c>
      <c r="E585" s="275" t="s">
        <v>538</v>
      </c>
      <c r="F585" s="284"/>
      <c r="G585" s="282">
        <f>G586</f>
        <v>1416480</v>
      </c>
      <c r="H585" s="442"/>
      <c r="I585" s="282">
        <f t="shared" si="30"/>
        <v>1416480</v>
      </c>
      <c r="J585" s="282">
        <f>J586</f>
        <v>1416480</v>
      </c>
      <c r="K585" s="442"/>
      <c r="L585" s="282">
        <f t="shared" si="31"/>
        <v>1416480</v>
      </c>
    </row>
    <row r="586" spans="1:12" ht="30" customHeight="1">
      <c r="A586" s="297" t="s">
        <v>546</v>
      </c>
      <c r="B586" s="275" t="s">
        <v>1171</v>
      </c>
      <c r="C586" s="275">
        <v>10</v>
      </c>
      <c r="D586" s="275" t="s">
        <v>1051</v>
      </c>
      <c r="E586" s="275" t="s">
        <v>547</v>
      </c>
      <c r="F586" s="284"/>
      <c r="G586" s="282">
        <f>G587</f>
        <v>1416480</v>
      </c>
      <c r="H586" s="442"/>
      <c r="I586" s="282">
        <f t="shared" si="30"/>
        <v>1416480</v>
      </c>
      <c r="J586" s="282">
        <f>J587</f>
        <v>1416480</v>
      </c>
      <c r="K586" s="442"/>
      <c r="L586" s="282">
        <f t="shared" si="31"/>
        <v>1416480</v>
      </c>
    </row>
    <row r="587" spans="1:12" ht="47.25" customHeight="1">
      <c r="A587" s="447" t="s">
        <v>548</v>
      </c>
      <c r="B587" s="275" t="s">
        <v>1171</v>
      </c>
      <c r="C587" s="275">
        <v>10</v>
      </c>
      <c r="D587" s="275" t="s">
        <v>1051</v>
      </c>
      <c r="E587" s="298" t="s">
        <v>549</v>
      </c>
      <c r="F587" s="284"/>
      <c r="G587" s="282">
        <f>G588</f>
        <v>1416480</v>
      </c>
      <c r="H587" s="442"/>
      <c r="I587" s="282">
        <f t="shared" si="30"/>
        <v>1416480</v>
      </c>
      <c r="J587" s="282">
        <f>J588</f>
        <v>1416480</v>
      </c>
      <c r="K587" s="442"/>
      <c r="L587" s="282">
        <f t="shared" si="31"/>
        <v>1416480</v>
      </c>
    </row>
    <row r="588" spans="1:12" ht="18" customHeight="1">
      <c r="A588" s="292" t="s">
        <v>550</v>
      </c>
      <c r="B588" s="275" t="s">
        <v>1171</v>
      </c>
      <c r="C588" s="275">
        <v>10</v>
      </c>
      <c r="D588" s="275" t="s">
        <v>1051</v>
      </c>
      <c r="E588" s="298" t="s">
        <v>549</v>
      </c>
      <c r="F588" s="284" t="s">
        <v>551</v>
      </c>
      <c r="G588" s="282">
        <v>1416480</v>
      </c>
      <c r="H588" s="442"/>
      <c r="I588" s="282">
        <f t="shared" si="30"/>
        <v>1416480</v>
      </c>
      <c r="J588" s="282">
        <v>1416480</v>
      </c>
      <c r="K588" s="442"/>
      <c r="L588" s="282">
        <f t="shared" si="31"/>
        <v>1416480</v>
      </c>
    </row>
    <row r="589" spans="1:12" ht="31.5" customHeight="1">
      <c r="A589" s="288" t="s">
        <v>611</v>
      </c>
      <c r="B589" s="275" t="s">
        <v>1171</v>
      </c>
      <c r="C589" s="275">
        <v>10</v>
      </c>
      <c r="D589" s="275" t="s">
        <v>1051</v>
      </c>
      <c r="E589" s="275" t="s">
        <v>612</v>
      </c>
      <c r="F589" s="284"/>
      <c r="G589" s="282">
        <f>G590</f>
        <v>1100000</v>
      </c>
      <c r="H589" s="442"/>
      <c r="I589" s="282">
        <f t="shared" si="30"/>
        <v>1100000</v>
      </c>
      <c r="J589" s="282">
        <f>J590</f>
        <v>1100000</v>
      </c>
      <c r="K589" s="442"/>
      <c r="L589" s="282">
        <f t="shared" si="31"/>
        <v>1100000</v>
      </c>
    </row>
    <row r="590" spans="1:12" ht="54.75" customHeight="1">
      <c r="A590" s="290" t="s">
        <v>665</v>
      </c>
      <c r="B590" s="275" t="s">
        <v>1171</v>
      </c>
      <c r="C590" s="275" t="s">
        <v>1128</v>
      </c>
      <c r="D590" s="275" t="s">
        <v>1051</v>
      </c>
      <c r="E590" s="275" t="s">
        <v>666</v>
      </c>
      <c r="F590" s="284"/>
      <c r="G590" s="282">
        <f>G591</f>
        <v>1100000</v>
      </c>
      <c r="H590" s="442"/>
      <c r="I590" s="282">
        <f t="shared" si="30"/>
        <v>1100000</v>
      </c>
      <c r="J590" s="282">
        <f>J591</f>
        <v>1100000</v>
      </c>
      <c r="K590" s="442"/>
      <c r="L590" s="282">
        <f t="shared" si="31"/>
        <v>1100000</v>
      </c>
    </row>
    <row r="591" spans="1:12" ht="29.25" customHeight="1">
      <c r="A591" s="300" t="s">
        <v>673</v>
      </c>
      <c r="B591" s="275" t="s">
        <v>1171</v>
      </c>
      <c r="C591" s="275" t="s">
        <v>1128</v>
      </c>
      <c r="D591" s="275" t="s">
        <v>1051</v>
      </c>
      <c r="E591" s="275" t="s">
        <v>674</v>
      </c>
      <c r="F591" s="284"/>
      <c r="G591" s="282">
        <f>G592</f>
        <v>1100000</v>
      </c>
      <c r="H591" s="442"/>
      <c r="I591" s="282">
        <f t="shared" si="30"/>
        <v>1100000</v>
      </c>
      <c r="J591" s="282">
        <f>J592</f>
        <v>1100000</v>
      </c>
      <c r="K591" s="442"/>
      <c r="L591" s="282">
        <f t="shared" si="31"/>
        <v>1100000</v>
      </c>
    </row>
    <row r="592" spans="1:12" ht="53.25" customHeight="1">
      <c r="A592" s="310" t="s">
        <v>675</v>
      </c>
      <c r="B592" s="275" t="s">
        <v>1171</v>
      </c>
      <c r="C592" s="275" t="s">
        <v>1128</v>
      </c>
      <c r="D592" s="275" t="s">
        <v>1051</v>
      </c>
      <c r="E592" s="275" t="s">
        <v>676</v>
      </c>
      <c r="F592" s="284"/>
      <c r="G592" s="282">
        <f>G593+G594</f>
        <v>1100000</v>
      </c>
      <c r="H592" s="442"/>
      <c r="I592" s="282">
        <f t="shared" si="30"/>
        <v>1100000</v>
      </c>
      <c r="J592" s="282">
        <f>J593+J594</f>
        <v>1100000</v>
      </c>
      <c r="K592" s="442"/>
      <c r="L592" s="282">
        <f t="shared" si="31"/>
        <v>1100000</v>
      </c>
    </row>
    <row r="593" spans="1:12" ht="20.25" customHeight="1" hidden="1">
      <c r="A593" s="290" t="s">
        <v>554</v>
      </c>
      <c r="B593" s="275" t="s">
        <v>1171</v>
      </c>
      <c r="C593" s="275">
        <v>10</v>
      </c>
      <c r="D593" s="275" t="s">
        <v>1051</v>
      </c>
      <c r="E593" s="275" t="s">
        <v>1175</v>
      </c>
      <c r="F593" s="284" t="s">
        <v>517</v>
      </c>
      <c r="G593" s="282"/>
      <c r="H593" s="442"/>
      <c r="I593" s="282">
        <f t="shared" si="30"/>
        <v>0</v>
      </c>
      <c r="J593" s="282"/>
      <c r="K593" s="442"/>
      <c r="L593" s="282">
        <f t="shared" si="31"/>
        <v>0</v>
      </c>
    </row>
    <row r="594" spans="1:12" ht="19.5" customHeight="1">
      <c r="A594" s="301" t="s">
        <v>550</v>
      </c>
      <c r="B594" s="275" t="s">
        <v>1171</v>
      </c>
      <c r="C594" s="275">
        <v>10</v>
      </c>
      <c r="D594" s="275" t="s">
        <v>1051</v>
      </c>
      <c r="E594" s="275" t="s">
        <v>676</v>
      </c>
      <c r="F594" s="284" t="s">
        <v>551</v>
      </c>
      <c r="G594" s="282">
        <v>1100000</v>
      </c>
      <c r="H594" s="442"/>
      <c r="I594" s="282">
        <f t="shared" si="30"/>
        <v>1100000</v>
      </c>
      <c r="J594" s="282">
        <v>1100000</v>
      </c>
      <c r="K594" s="442"/>
      <c r="L594" s="282">
        <f t="shared" si="31"/>
        <v>1100000</v>
      </c>
    </row>
    <row r="595" spans="2:6" ht="13.5">
      <c r="B595" s="263"/>
      <c r="C595" s="263"/>
      <c r="D595" s="263"/>
      <c r="E595" s="263"/>
      <c r="F595" s="425"/>
    </row>
    <row r="596" spans="2:6" ht="13.5">
      <c r="B596" s="263"/>
      <c r="C596" s="263"/>
      <c r="D596" s="263"/>
      <c r="E596" s="263"/>
      <c r="F596" s="425"/>
    </row>
    <row r="597" spans="2:6" ht="13.5">
      <c r="B597" s="263"/>
      <c r="C597" s="263"/>
      <c r="D597" s="263"/>
      <c r="E597" s="263"/>
      <c r="F597" s="425"/>
    </row>
    <row r="598" spans="2:6" ht="13.5">
      <c r="B598" s="263"/>
      <c r="C598" s="263"/>
      <c r="D598" s="263"/>
      <c r="E598" s="263"/>
      <c r="F598" s="425"/>
    </row>
    <row r="599" spans="2:6" ht="13.5">
      <c r="B599" s="263"/>
      <c r="C599" s="263"/>
      <c r="D599" s="263"/>
      <c r="E599" s="263"/>
      <c r="F599" s="425"/>
    </row>
    <row r="600" spans="2:6" ht="13.5">
      <c r="B600" s="263"/>
      <c r="C600" s="263"/>
      <c r="D600" s="263"/>
      <c r="E600" s="263"/>
      <c r="F600" s="425"/>
    </row>
    <row r="601" spans="2:6" ht="13.5">
      <c r="B601" s="263"/>
      <c r="C601" s="263"/>
      <c r="D601" s="263"/>
      <c r="E601" s="263"/>
      <c r="F601" s="425"/>
    </row>
    <row r="602" spans="2:6" ht="13.5">
      <c r="B602" s="263"/>
      <c r="C602" s="263"/>
      <c r="D602" s="263"/>
      <c r="E602" s="263"/>
      <c r="F602" s="425"/>
    </row>
    <row r="603" spans="2:6" ht="13.5">
      <c r="B603" s="263"/>
      <c r="C603" s="263"/>
      <c r="D603" s="263"/>
      <c r="E603" s="263"/>
      <c r="F603" s="425"/>
    </row>
    <row r="604" spans="2:6" ht="13.5">
      <c r="B604" s="263"/>
      <c r="C604" s="263"/>
      <c r="D604" s="263"/>
      <c r="E604" s="263"/>
      <c r="F604" s="425"/>
    </row>
    <row r="605" spans="2:6" ht="13.5">
      <c r="B605" s="263"/>
      <c r="C605" s="263"/>
      <c r="D605" s="263"/>
      <c r="E605" s="263"/>
      <c r="F605" s="425"/>
    </row>
    <row r="606" ht="13.5">
      <c r="B606" s="263"/>
    </row>
    <row r="607" ht="13.5">
      <c r="B607" s="263"/>
    </row>
    <row r="608" ht="13.5">
      <c r="B608" s="263"/>
    </row>
    <row r="609" ht="13.5">
      <c r="B609" s="263"/>
    </row>
    <row r="610" ht="13.5">
      <c r="B610" s="263"/>
    </row>
  </sheetData>
  <sheetProtection/>
  <mergeCells count="15"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B2:L2"/>
    <mergeCell ref="B3:L3"/>
    <mergeCell ref="A6:L6"/>
    <mergeCell ref="A8:A9"/>
    <mergeCell ref="B8:B9"/>
    <mergeCell ref="C8:C9"/>
  </mergeCells>
  <hyperlinks>
    <hyperlink ref="A250" r:id="rId1" display="consultantplus://offline/ref=C6EF3AE28B6C46D1117CBBA251A07B11C6C7C5768D606C8B0E322DA1BBA42282C9440EEF08E6CC43400230U6VFM"/>
  </hyperlinks>
  <printOptions/>
  <pageMargins left="0.7" right="0.7" top="0.75" bottom="0.75" header="0.3" footer="0.3"/>
  <pageSetup horizontalDpi="600" verticalDpi="600" orientation="portrait" paperSize="9" scale="6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9"/>
  <sheetViews>
    <sheetView tabSelected="1" view="pageBreakPreview" zoomScale="60" zoomScalePageLayoutView="0" workbookViewId="0" topLeftCell="A376">
      <selection activeCell="D401" sqref="D401:D402"/>
    </sheetView>
  </sheetViews>
  <sheetFormatPr defaultColWidth="9.140625" defaultRowHeight="15"/>
  <cols>
    <col min="1" max="1" width="68.57421875" style="248" customWidth="1"/>
    <col min="2" max="2" width="20.140625" style="263" customWidth="1"/>
    <col min="3" max="3" width="6.421875" style="354" customWidth="1"/>
    <col min="4" max="4" width="19.421875" style="251" customWidth="1"/>
    <col min="5" max="5" width="24.421875" style="252" customWidth="1"/>
    <col min="6" max="6" width="18.140625" style="252" customWidth="1"/>
    <col min="7" max="7" width="13.7109375" style="252" customWidth="1"/>
    <col min="8" max="8" width="18.421875" style="252" customWidth="1"/>
    <col min="9" max="16384" width="9.140625" style="252" customWidth="1"/>
  </cols>
  <sheetData>
    <row r="1" spans="2:5" ht="15">
      <c r="B1" s="249" t="s">
        <v>1228</v>
      </c>
      <c r="C1" s="250"/>
      <c r="E1" s="352"/>
    </row>
    <row r="2" spans="2:7" ht="15.75" customHeight="1">
      <c r="B2" s="249" t="s">
        <v>491</v>
      </c>
      <c r="C2" s="250"/>
      <c r="E2" s="352"/>
      <c r="F2" s="253"/>
      <c r="G2" s="253"/>
    </row>
    <row r="3" spans="2:7" ht="15">
      <c r="B3" s="254" t="s">
        <v>492</v>
      </c>
      <c r="C3" s="255"/>
      <c r="E3" s="431"/>
      <c r="F3" s="253"/>
      <c r="G3" s="253"/>
    </row>
    <row r="4" spans="1:7" ht="18" customHeight="1">
      <c r="A4" s="256"/>
      <c r="B4" s="254" t="s">
        <v>1229</v>
      </c>
      <c r="C4" s="255"/>
      <c r="E4" s="431"/>
      <c r="F4" s="253"/>
      <c r="G4" s="253"/>
    </row>
    <row r="5" spans="1:9" ht="46.5" customHeight="1">
      <c r="A5" s="257"/>
      <c r="B5" s="582" t="s">
        <v>494</v>
      </c>
      <c r="C5" s="582"/>
      <c r="D5" s="582"/>
      <c r="E5" s="257"/>
      <c r="F5" s="257"/>
      <c r="G5" s="257"/>
      <c r="H5" s="257"/>
      <c r="I5" s="257"/>
    </row>
    <row r="6" spans="1:11" ht="39" customHeight="1">
      <c r="A6" s="258"/>
      <c r="B6" s="583" t="s">
        <v>1230</v>
      </c>
      <c r="C6" s="583"/>
      <c r="D6" s="583"/>
      <c r="E6" s="248"/>
      <c r="F6" s="248"/>
      <c r="G6" s="248"/>
      <c r="H6" s="248"/>
      <c r="I6" s="248"/>
      <c r="J6" s="257"/>
      <c r="K6" s="257"/>
    </row>
    <row r="7" spans="2:9" ht="7.5" customHeight="1">
      <c r="B7" s="259"/>
      <c r="C7" s="260"/>
      <c r="D7" s="261"/>
      <c r="E7" s="248"/>
      <c r="F7" s="262"/>
      <c r="G7" s="248"/>
      <c r="H7" s="248"/>
      <c r="I7" s="248"/>
    </row>
    <row r="8" spans="1:11" ht="54" customHeight="1">
      <c r="A8" s="611" t="s">
        <v>1231</v>
      </c>
      <c r="B8" s="611"/>
      <c r="C8" s="611"/>
      <c r="D8" s="611"/>
      <c r="F8" s="611"/>
      <c r="G8" s="611"/>
      <c r="H8" s="611"/>
      <c r="I8" s="611"/>
      <c r="J8" s="611"/>
      <c r="K8" s="611"/>
    </row>
    <row r="9" spans="3:4" ht="17.25" customHeight="1" thickBot="1">
      <c r="C9" s="264"/>
      <c r="D9" s="265" t="s">
        <v>497</v>
      </c>
    </row>
    <row r="10" spans="1:6" ht="27" customHeight="1">
      <c r="A10" s="612" t="s">
        <v>498</v>
      </c>
      <c r="B10" s="614" t="s">
        <v>499</v>
      </c>
      <c r="C10" s="616" t="s">
        <v>500</v>
      </c>
      <c r="D10" s="591" t="s">
        <v>1232</v>
      </c>
      <c r="E10" s="306"/>
      <c r="F10" s="266"/>
    </row>
    <row r="11" spans="1:4" ht="3.75" customHeight="1" thickBot="1">
      <c r="A11" s="613"/>
      <c r="B11" s="615"/>
      <c r="C11" s="617"/>
      <c r="D11" s="592"/>
    </row>
    <row r="12" spans="1:6" s="273" customFormat="1" ht="12.75" customHeight="1">
      <c r="A12" s="504">
        <v>1</v>
      </c>
      <c r="B12" s="505" t="s">
        <v>503</v>
      </c>
      <c r="C12" s="505" t="s">
        <v>504</v>
      </c>
      <c r="D12" s="506" t="s">
        <v>505</v>
      </c>
      <c r="E12" s="507"/>
      <c r="F12" s="508"/>
    </row>
    <row r="13" spans="1:6" s="280" customFormat="1" ht="21">
      <c r="A13" s="367" t="s">
        <v>506</v>
      </c>
      <c r="B13" s="275"/>
      <c r="C13" s="276"/>
      <c r="D13" s="347">
        <f>D14+D50+D99+D187+D194+D199+D208+D244+D278+D284+D292+D320+D349+D358+D367+D397+D403+D407+D416+D422+D431+D437+D464+D472+D383++D335+D388+D468</f>
        <v>662542768.36</v>
      </c>
      <c r="E13" s="306"/>
      <c r="F13" s="509"/>
    </row>
    <row r="14" spans="1:7" ht="34.5" customHeight="1">
      <c r="A14" s="370" t="s">
        <v>508</v>
      </c>
      <c r="B14" s="275" t="s">
        <v>509</v>
      </c>
      <c r="C14" s="284"/>
      <c r="D14" s="347">
        <f>D15+D28+D36</f>
        <v>35744525.33</v>
      </c>
      <c r="E14" s="335"/>
      <c r="G14" s="306"/>
    </row>
    <row r="15" spans="1:5" ht="30" customHeight="1">
      <c r="A15" s="370" t="s">
        <v>510</v>
      </c>
      <c r="B15" s="275" t="s">
        <v>511</v>
      </c>
      <c r="C15" s="284"/>
      <c r="D15" s="347">
        <f>D16</f>
        <v>19571985.33</v>
      </c>
      <c r="E15" s="335"/>
    </row>
    <row r="16" spans="1:5" ht="39" customHeight="1">
      <c r="A16" s="376" t="s">
        <v>512</v>
      </c>
      <c r="B16" s="275" t="s">
        <v>513</v>
      </c>
      <c r="C16" s="284"/>
      <c r="D16" s="347">
        <f>D17+D21+D19+D26</f>
        <v>19571985.33</v>
      </c>
      <c r="E16" s="335"/>
    </row>
    <row r="17" spans="1:5" ht="15" hidden="1">
      <c r="A17" s="373" t="s">
        <v>514</v>
      </c>
      <c r="B17" s="289" t="s">
        <v>515</v>
      </c>
      <c r="C17" s="284"/>
      <c r="D17" s="347">
        <f>D18</f>
        <v>0</v>
      </c>
      <c r="E17" s="335"/>
    </row>
    <row r="18" spans="1:5" ht="27" hidden="1">
      <c r="A18" s="343" t="s">
        <v>516</v>
      </c>
      <c r="B18" s="289" t="s">
        <v>515</v>
      </c>
      <c r="C18" s="284" t="s">
        <v>517</v>
      </c>
      <c r="D18" s="347"/>
      <c r="E18" s="335"/>
    </row>
    <row r="19" spans="1:5" ht="15" hidden="1">
      <c r="A19" s="375" t="s">
        <v>518</v>
      </c>
      <c r="B19" s="289" t="s">
        <v>519</v>
      </c>
      <c r="C19" s="284"/>
      <c r="D19" s="347">
        <f>D20</f>
        <v>0</v>
      </c>
      <c r="E19" s="335"/>
    </row>
    <row r="20" spans="1:5" ht="27" hidden="1">
      <c r="A20" s="343" t="s">
        <v>516</v>
      </c>
      <c r="B20" s="289" t="s">
        <v>519</v>
      </c>
      <c r="C20" s="284" t="s">
        <v>517</v>
      </c>
      <c r="D20" s="347"/>
      <c r="E20" s="335"/>
    </row>
    <row r="21" spans="1:5" ht="27" customHeight="1">
      <c r="A21" s="370" t="s">
        <v>520</v>
      </c>
      <c r="B21" s="289" t="s">
        <v>521</v>
      </c>
      <c r="C21" s="284"/>
      <c r="D21" s="347">
        <f>D22+D23+D24+D25</f>
        <v>18200985.33</v>
      </c>
      <c r="E21" s="335"/>
    </row>
    <row r="22" spans="1:5" ht="39.75" customHeight="1">
      <c r="A22" s="343" t="s">
        <v>522</v>
      </c>
      <c r="B22" s="289" t="s">
        <v>521</v>
      </c>
      <c r="C22" s="284" t="s">
        <v>523</v>
      </c>
      <c r="D22" s="371">
        <f>10775600+213161</f>
        <v>10988761</v>
      </c>
      <c r="E22" s="335"/>
    </row>
    <row r="23" spans="1:5" ht="27" customHeight="1">
      <c r="A23" s="343" t="s">
        <v>516</v>
      </c>
      <c r="B23" s="289" t="s">
        <v>521</v>
      </c>
      <c r="C23" s="284" t="s">
        <v>517</v>
      </c>
      <c r="D23" s="371">
        <f>4476890.33+140000+750000+1127800-750000+750000+93728+4906-22000+250000</f>
        <v>6821324.33</v>
      </c>
      <c r="E23" s="335"/>
    </row>
    <row r="24" spans="1:5" ht="27" customHeight="1">
      <c r="A24" s="396" t="s">
        <v>751</v>
      </c>
      <c r="B24" s="289" t="s">
        <v>521</v>
      </c>
      <c r="C24" s="284" t="s">
        <v>752</v>
      </c>
      <c r="D24" s="371">
        <f>200000</f>
        <v>200000</v>
      </c>
      <c r="E24" s="335"/>
    </row>
    <row r="25" spans="1:5" ht="23.25" customHeight="1">
      <c r="A25" s="393" t="s">
        <v>524</v>
      </c>
      <c r="B25" s="289" t="s">
        <v>521</v>
      </c>
      <c r="C25" s="284" t="s">
        <v>525</v>
      </c>
      <c r="D25" s="371">
        <f>167400+4000-2500+22000</f>
        <v>190900</v>
      </c>
      <c r="E25" s="335"/>
    </row>
    <row r="26" spans="1:5" ht="26.25">
      <c r="A26" s="343" t="s">
        <v>1216</v>
      </c>
      <c r="B26" s="275" t="s">
        <v>1217</v>
      </c>
      <c r="C26" s="284"/>
      <c r="D26" s="510">
        <f>D27</f>
        <v>1371000</v>
      </c>
      <c r="E26" s="335"/>
    </row>
    <row r="27" spans="1:5" ht="26.25">
      <c r="A27" s="343" t="s">
        <v>516</v>
      </c>
      <c r="B27" s="275" t="s">
        <v>1217</v>
      </c>
      <c r="C27" s="284" t="s">
        <v>517</v>
      </c>
      <c r="D27" s="371">
        <f>68550+1302450</f>
        <v>1371000</v>
      </c>
      <c r="E27" s="335"/>
    </row>
    <row r="28" spans="1:5" ht="30.75" customHeight="1">
      <c r="A28" s="370" t="s">
        <v>530</v>
      </c>
      <c r="B28" s="289" t="s">
        <v>531</v>
      </c>
      <c r="C28" s="284"/>
      <c r="D28" s="347">
        <f>D29</f>
        <v>10586461</v>
      </c>
      <c r="E28" s="335"/>
    </row>
    <row r="29" spans="1:5" ht="28.5" customHeight="1">
      <c r="A29" s="373" t="s">
        <v>532</v>
      </c>
      <c r="B29" s="289" t="s">
        <v>533</v>
      </c>
      <c r="C29" s="284"/>
      <c r="D29" s="347">
        <f>D30+D35</f>
        <v>10586461</v>
      </c>
      <c r="E29" s="335"/>
    </row>
    <row r="30" spans="1:5" ht="27">
      <c r="A30" s="370" t="s">
        <v>520</v>
      </c>
      <c r="B30" s="289" t="s">
        <v>534</v>
      </c>
      <c r="C30" s="284"/>
      <c r="D30" s="347">
        <f>D31+D32+D33</f>
        <v>10586461</v>
      </c>
      <c r="E30" s="335"/>
    </row>
    <row r="31" spans="1:5" ht="39.75" customHeight="1">
      <c r="A31" s="343" t="s">
        <v>522</v>
      </c>
      <c r="B31" s="289" t="s">
        <v>534</v>
      </c>
      <c r="C31" s="284" t="s">
        <v>523</v>
      </c>
      <c r="D31" s="371">
        <f>8967000+185161</f>
        <v>9152161</v>
      </c>
      <c r="E31" s="335"/>
    </row>
    <row r="32" spans="1:5" ht="26.25">
      <c r="A32" s="343" t="s">
        <v>516</v>
      </c>
      <c r="B32" s="289" t="s">
        <v>534</v>
      </c>
      <c r="C32" s="284" t="s">
        <v>517</v>
      </c>
      <c r="D32" s="371">
        <f>1106700+136000+187000</f>
        <v>1429700</v>
      </c>
      <c r="E32" s="335"/>
    </row>
    <row r="33" spans="1:5" ht="15" customHeight="1">
      <c r="A33" s="393" t="s">
        <v>524</v>
      </c>
      <c r="B33" s="289" t="s">
        <v>534</v>
      </c>
      <c r="C33" s="284" t="s">
        <v>525</v>
      </c>
      <c r="D33" s="371">
        <f>2100+2500</f>
        <v>4600</v>
      </c>
      <c r="E33" s="335"/>
    </row>
    <row r="34" spans="1:5" ht="15.75" customHeight="1" hidden="1">
      <c r="A34" s="393" t="s">
        <v>535</v>
      </c>
      <c r="B34" s="289" t="s">
        <v>536</v>
      </c>
      <c r="C34" s="284"/>
      <c r="D34" s="371">
        <f>D35</f>
        <v>0</v>
      </c>
      <c r="E34" s="335"/>
    </row>
    <row r="35" spans="1:5" ht="30.75" customHeight="1" hidden="1">
      <c r="A35" s="343" t="s">
        <v>516</v>
      </c>
      <c r="B35" s="289" t="s">
        <v>536</v>
      </c>
      <c r="C35" s="284" t="s">
        <v>517</v>
      </c>
      <c r="D35" s="371">
        <f>20000-20000</f>
        <v>0</v>
      </c>
      <c r="E35" s="335"/>
    </row>
    <row r="36" spans="1:5" ht="42" customHeight="1">
      <c r="A36" s="370" t="s">
        <v>537</v>
      </c>
      <c r="B36" s="275" t="s">
        <v>538</v>
      </c>
      <c r="C36" s="284"/>
      <c r="D36" s="510">
        <f>D37+D42+D45</f>
        <v>5586079</v>
      </c>
      <c r="E36" s="335"/>
    </row>
    <row r="37" spans="1:5" ht="28.5" customHeight="1">
      <c r="A37" s="411" t="s">
        <v>539</v>
      </c>
      <c r="B37" s="275" t="s">
        <v>540</v>
      </c>
      <c r="C37" s="284"/>
      <c r="D37" s="347">
        <f>D38</f>
        <v>3957300</v>
      </c>
      <c r="E37" s="335"/>
    </row>
    <row r="38" spans="1:5" ht="26.25" customHeight="1">
      <c r="A38" s="370" t="s">
        <v>520</v>
      </c>
      <c r="B38" s="275" t="s">
        <v>541</v>
      </c>
      <c r="C38" s="284"/>
      <c r="D38" s="347">
        <f>D39+D40+D41</f>
        <v>3957300</v>
      </c>
      <c r="E38" s="335"/>
    </row>
    <row r="39" spans="1:5" ht="26.25" customHeight="1">
      <c r="A39" s="343" t="s">
        <v>522</v>
      </c>
      <c r="B39" s="275" t="s">
        <v>541</v>
      </c>
      <c r="C39" s="284" t="s">
        <v>523</v>
      </c>
      <c r="D39" s="371">
        <v>3411200</v>
      </c>
      <c r="E39" s="335"/>
    </row>
    <row r="40" spans="1:5" ht="27.75" customHeight="1">
      <c r="A40" s="343" t="s">
        <v>516</v>
      </c>
      <c r="B40" s="275" t="s">
        <v>541</v>
      </c>
      <c r="C40" s="284" t="s">
        <v>517</v>
      </c>
      <c r="D40" s="371">
        <f>230100-80000+15000+310000+19000+50000</f>
        <v>544100</v>
      </c>
      <c r="E40" s="335"/>
    </row>
    <row r="41" spans="1:5" ht="18.75" customHeight="1">
      <c r="A41" s="393" t="s">
        <v>524</v>
      </c>
      <c r="B41" s="275" t="s">
        <v>541</v>
      </c>
      <c r="C41" s="284" t="s">
        <v>525</v>
      </c>
      <c r="D41" s="371">
        <v>2000</v>
      </c>
      <c r="E41" s="335"/>
    </row>
    <row r="42" spans="1:5" ht="42.75" customHeight="1">
      <c r="A42" s="412" t="s">
        <v>542</v>
      </c>
      <c r="B42" s="275" t="s">
        <v>543</v>
      </c>
      <c r="C42" s="284"/>
      <c r="D42" s="347">
        <f>D44</f>
        <v>52872</v>
      </c>
      <c r="E42" s="335"/>
    </row>
    <row r="43" spans="1:5" ht="41.25" customHeight="1">
      <c r="A43" s="372" t="s">
        <v>544</v>
      </c>
      <c r="B43" s="275" t="s">
        <v>545</v>
      </c>
      <c r="C43" s="284"/>
      <c r="D43" s="347">
        <f>D44</f>
        <v>52872</v>
      </c>
      <c r="E43" s="335"/>
    </row>
    <row r="44" spans="1:5" ht="46.5" customHeight="1">
      <c r="A44" s="343" t="s">
        <v>522</v>
      </c>
      <c r="B44" s="275" t="s">
        <v>545</v>
      </c>
      <c r="C44" s="284" t="s">
        <v>523</v>
      </c>
      <c r="D44" s="371">
        <v>52872</v>
      </c>
      <c r="E44" s="335"/>
    </row>
    <row r="45" spans="1:5" ht="30.75" customHeight="1">
      <c r="A45" s="389" t="s">
        <v>546</v>
      </c>
      <c r="B45" s="275" t="s">
        <v>547</v>
      </c>
      <c r="C45" s="284"/>
      <c r="D45" s="347">
        <f>D46</f>
        <v>1575907</v>
      </c>
      <c r="E45" s="335"/>
    </row>
    <row r="46" spans="1:5" ht="30" customHeight="1">
      <c r="A46" s="375" t="s">
        <v>548</v>
      </c>
      <c r="B46" s="298" t="s">
        <v>549</v>
      </c>
      <c r="C46" s="284"/>
      <c r="D46" s="347">
        <f>D47</f>
        <v>1575907</v>
      </c>
      <c r="E46" s="335"/>
    </row>
    <row r="47" spans="1:5" ht="18.75" customHeight="1">
      <c r="A47" s="393" t="s">
        <v>550</v>
      </c>
      <c r="B47" s="298" t="s">
        <v>549</v>
      </c>
      <c r="C47" s="284" t="s">
        <v>551</v>
      </c>
      <c r="D47" s="371">
        <v>1575907</v>
      </c>
      <c r="E47" s="335"/>
    </row>
    <row r="48" spans="1:5" ht="16.5" customHeight="1" hidden="1">
      <c r="A48" s="414" t="s">
        <v>552</v>
      </c>
      <c r="B48" s="275" t="s">
        <v>553</v>
      </c>
      <c r="C48" s="284"/>
      <c r="D48" s="347">
        <f>D49</f>
        <v>0</v>
      </c>
      <c r="E48" s="335"/>
    </row>
    <row r="49" spans="1:5" ht="15.75" customHeight="1" hidden="1">
      <c r="A49" s="343" t="s">
        <v>554</v>
      </c>
      <c r="B49" s="275" t="s">
        <v>553</v>
      </c>
      <c r="C49" s="284" t="s">
        <v>517</v>
      </c>
      <c r="D49" s="347"/>
      <c r="E49" s="335"/>
    </row>
    <row r="50" spans="1:5" ht="30.75" customHeight="1">
      <c r="A50" s="370" t="s">
        <v>555</v>
      </c>
      <c r="B50" s="275" t="s">
        <v>556</v>
      </c>
      <c r="C50" s="284"/>
      <c r="D50" s="347">
        <f>D51+D74+D87</f>
        <v>24123609</v>
      </c>
      <c r="E50" s="306"/>
    </row>
    <row r="51" spans="1:5" ht="54.75" customHeight="1">
      <c r="A51" s="382" t="s">
        <v>557</v>
      </c>
      <c r="B51" s="275" t="s">
        <v>558</v>
      </c>
      <c r="C51" s="284"/>
      <c r="D51" s="347">
        <f>D52+D68+D71</f>
        <v>11957142</v>
      </c>
      <c r="E51" s="335"/>
    </row>
    <row r="52" spans="1:5" ht="30" customHeight="1">
      <c r="A52" s="382" t="s">
        <v>559</v>
      </c>
      <c r="B52" s="275" t="s">
        <v>560</v>
      </c>
      <c r="C52" s="284"/>
      <c r="D52" s="371">
        <f>D53+D56+D59+D62+D65</f>
        <v>11674242</v>
      </c>
      <c r="E52" s="335"/>
    </row>
    <row r="53" spans="1:5" ht="13.5">
      <c r="A53" s="370" t="s">
        <v>561</v>
      </c>
      <c r="B53" s="275" t="s">
        <v>562</v>
      </c>
      <c r="C53" s="284"/>
      <c r="D53" s="371">
        <f>D55+D54</f>
        <v>1404078</v>
      </c>
      <c r="E53" s="335"/>
    </row>
    <row r="54" spans="1:5" ht="27" customHeight="1">
      <c r="A54" s="343" t="s">
        <v>516</v>
      </c>
      <c r="B54" s="275" t="s">
        <v>562</v>
      </c>
      <c r="C54" s="284" t="s">
        <v>517</v>
      </c>
      <c r="D54" s="371">
        <v>280</v>
      </c>
      <c r="E54" s="335"/>
    </row>
    <row r="55" spans="1:5" ht="19.5" customHeight="1">
      <c r="A55" s="415" t="s">
        <v>550</v>
      </c>
      <c r="B55" s="275" t="s">
        <v>562</v>
      </c>
      <c r="C55" s="284" t="s">
        <v>551</v>
      </c>
      <c r="D55" s="371">
        <f>1556604-152806</f>
        <v>1403798</v>
      </c>
      <c r="E55" s="335"/>
    </row>
    <row r="56" spans="1:5" ht="26.25">
      <c r="A56" s="372" t="s">
        <v>563</v>
      </c>
      <c r="B56" s="275" t="s">
        <v>564</v>
      </c>
      <c r="C56" s="284"/>
      <c r="D56" s="371">
        <f>D58+D57</f>
        <v>63415</v>
      </c>
      <c r="E56" s="335"/>
    </row>
    <row r="57" spans="1:5" ht="30.75" customHeight="1">
      <c r="A57" s="343" t="s">
        <v>516</v>
      </c>
      <c r="B57" s="275" t="s">
        <v>564</v>
      </c>
      <c r="C57" s="284" t="s">
        <v>517</v>
      </c>
      <c r="D57" s="371">
        <v>980</v>
      </c>
      <c r="E57" s="335"/>
    </row>
    <row r="58" spans="1:5" ht="17.25" customHeight="1">
      <c r="A58" s="415" t="s">
        <v>550</v>
      </c>
      <c r="B58" s="275" t="s">
        <v>564</v>
      </c>
      <c r="C58" s="284" t="s">
        <v>551</v>
      </c>
      <c r="D58" s="371">
        <v>62435</v>
      </c>
      <c r="E58" s="335"/>
    </row>
    <row r="59" spans="1:5" ht="29.25" customHeight="1">
      <c r="A59" s="372" t="s">
        <v>565</v>
      </c>
      <c r="B59" s="275" t="s">
        <v>566</v>
      </c>
      <c r="C59" s="284"/>
      <c r="D59" s="371">
        <f>D61+D60</f>
        <v>261767</v>
      </c>
      <c r="E59" s="335"/>
    </row>
    <row r="60" spans="1:5" ht="31.5" customHeight="1">
      <c r="A60" s="343" t="s">
        <v>516</v>
      </c>
      <c r="B60" s="275" t="s">
        <v>566</v>
      </c>
      <c r="C60" s="284" t="s">
        <v>517</v>
      </c>
      <c r="D60" s="371">
        <v>5240</v>
      </c>
      <c r="E60" s="335"/>
    </row>
    <row r="61" spans="1:5" ht="13.5">
      <c r="A61" s="415" t="s">
        <v>550</v>
      </c>
      <c r="B61" s="275" t="s">
        <v>566</v>
      </c>
      <c r="C61" s="284" t="s">
        <v>551</v>
      </c>
      <c r="D61" s="371">
        <f>290609-34082</f>
        <v>256527</v>
      </c>
      <c r="E61" s="335"/>
    </row>
    <row r="62" spans="1:5" ht="13.5">
      <c r="A62" s="370" t="s">
        <v>567</v>
      </c>
      <c r="B62" s="275" t="s">
        <v>568</v>
      </c>
      <c r="C62" s="284"/>
      <c r="D62" s="371">
        <f>D64+D63</f>
        <v>8804982</v>
      </c>
      <c r="E62" s="335"/>
    </row>
    <row r="63" spans="1:5" ht="32.25" customHeight="1">
      <c r="A63" s="343" t="s">
        <v>516</v>
      </c>
      <c r="B63" s="275" t="s">
        <v>568</v>
      </c>
      <c r="C63" s="284" t="s">
        <v>517</v>
      </c>
      <c r="D63" s="371">
        <v>148440</v>
      </c>
      <c r="E63" s="335"/>
    </row>
    <row r="64" spans="1:5" ht="19.5" customHeight="1">
      <c r="A64" s="415" t="s">
        <v>550</v>
      </c>
      <c r="B64" s="275" t="s">
        <v>568</v>
      </c>
      <c r="C64" s="284" t="s">
        <v>551</v>
      </c>
      <c r="D64" s="371">
        <f>8914137-257595</f>
        <v>8656542</v>
      </c>
      <c r="E64" s="335"/>
    </row>
    <row r="65" spans="1:5" ht="13.5">
      <c r="A65" s="370" t="s">
        <v>569</v>
      </c>
      <c r="B65" s="275" t="s">
        <v>570</v>
      </c>
      <c r="C65" s="284"/>
      <c r="D65" s="371">
        <f>D67+D66</f>
        <v>1140000</v>
      </c>
      <c r="E65" s="335"/>
    </row>
    <row r="66" spans="1:5" ht="28.5" customHeight="1">
      <c r="A66" s="343" t="s">
        <v>516</v>
      </c>
      <c r="B66" s="275" t="s">
        <v>570</v>
      </c>
      <c r="C66" s="284" t="s">
        <v>517</v>
      </c>
      <c r="D66" s="371">
        <f>24490-4290</f>
        <v>20200</v>
      </c>
      <c r="E66" s="335"/>
    </row>
    <row r="67" spans="1:5" ht="21.75" customHeight="1">
      <c r="A67" s="415" t="s">
        <v>550</v>
      </c>
      <c r="B67" s="275" t="s">
        <v>570</v>
      </c>
      <c r="C67" s="284" t="s">
        <v>551</v>
      </c>
      <c r="D67" s="371">
        <f>1450810-331010</f>
        <v>1119800</v>
      </c>
      <c r="E67" s="335"/>
    </row>
    <row r="68" spans="1:5" ht="33" customHeight="1">
      <c r="A68" s="382" t="s">
        <v>571</v>
      </c>
      <c r="B68" s="275" t="s">
        <v>572</v>
      </c>
      <c r="C68" s="284"/>
      <c r="D68" s="371">
        <f>D69</f>
        <v>14000</v>
      </c>
      <c r="E68" s="335"/>
    </row>
    <row r="69" spans="1:5" ht="15" customHeight="1">
      <c r="A69" s="343" t="s">
        <v>573</v>
      </c>
      <c r="B69" s="289" t="s">
        <v>574</v>
      </c>
      <c r="C69" s="284"/>
      <c r="D69" s="371">
        <f>D70</f>
        <v>14000</v>
      </c>
      <c r="E69" s="335"/>
    </row>
    <row r="70" spans="1:5" ht="27.75" customHeight="1">
      <c r="A70" s="343" t="s">
        <v>516</v>
      </c>
      <c r="B70" s="289" t="s">
        <v>574</v>
      </c>
      <c r="C70" s="284" t="s">
        <v>517</v>
      </c>
      <c r="D70" s="371">
        <v>14000</v>
      </c>
      <c r="E70" s="335"/>
    </row>
    <row r="71" spans="1:5" ht="27.75" customHeight="1">
      <c r="A71" s="389" t="s">
        <v>575</v>
      </c>
      <c r="B71" s="275" t="s">
        <v>576</v>
      </c>
      <c r="C71" s="284"/>
      <c r="D71" s="347">
        <f>D72</f>
        <v>268900</v>
      </c>
      <c r="E71" s="335"/>
    </row>
    <row r="72" spans="1:5" ht="18.75" customHeight="1">
      <c r="A72" s="414" t="s">
        <v>577</v>
      </c>
      <c r="B72" s="275" t="s">
        <v>578</v>
      </c>
      <c r="C72" s="284"/>
      <c r="D72" s="347">
        <f>D73</f>
        <v>268900</v>
      </c>
      <c r="E72" s="335"/>
    </row>
    <row r="73" spans="1:5" ht="18.75" customHeight="1">
      <c r="A73" s="393" t="s">
        <v>550</v>
      </c>
      <c r="B73" s="275" t="s">
        <v>578</v>
      </c>
      <c r="C73" s="284" t="s">
        <v>551</v>
      </c>
      <c r="D73" s="371">
        <f>148731+120169</f>
        <v>268900</v>
      </c>
      <c r="E73" s="335"/>
    </row>
    <row r="74" spans="1:5" ht="53.25" customHeight="1">
      <c r="A74" s="386" t="s">
        <v>579</v>
      </c>
      <c r="B74" s="302" t="s">
        <v>580</v>
      </c>
      <c r="C74" s="303"/>
      <c r="D74" s="510">
        <f>D75+D78+D84</f>
        <v>9957167</v>
      </c>
      <c r="E74" s="335"/>
    </row>
    <row r="75" spans="1:5" ht="42" customHeight="1">
      <c r="A75" s="373" t="s">
        <v>581</v>
      </c>
      <c r="B75" s="275" t="s">
        <v>582</v>
      </c>
      <c r="C75" s="284"/>
      <c r="D75" s="347">
        <f>D76</f>
        <v>9054167</v>
      </c>
      <c r="E75" s="335"/>
    </row>
    <row r="76" spans="1:5" ht="25.5" customHeight="1">
      <c r="A76" s="372" t="s">
        <v>583</v>
      </c>
      <c r="B76" s="275" t="s">
        <v>584</v>
      </c>
      <c r="C76" s="284"/>
      <c r="D76" s="347">
        <f>D77</f>
        <v>9054167</v>
      </c>
      <c r="E76" s="335"/>
    </row>
    <row r="77" spans="1:5" ht="13.5">
      <c r="A77" s="415" t="s">
        <v>550</v>
      </c>
      <c r="B77" s="275" t="s">
        <v>584</v>
      </c>
      <c r="C77" s="284" t="s">
        <v>551</v>
      </c>
      <c r="D77" s="371">
        <v>9054167</v>
      </c>
      <c r="E77" s="335"/>
    </row>
    <row r="78" spans="1:5" ht="42.75" customHeight="1">
      <c r="A78" s="374" t="s">
        <v>585</v>
      </c>
      <c r="B78" s="302" t="s">
        <v>586</v>
      </c>
      <c r="C78" s="303"/>
      <c r="D78" s="347">
        <f>D79+D82</f>
        <v>888000</v>
      </c>
      <c r="E78" s="335"/>
    </row>
    <row r="79" spans="1:5" ht="41.25" customHeight="1">
      <c r="A79" s="375" t="s">
        <v>587</v>
      </c>
      <c r="B79" s="302" t="s">
        <v>588</v>
      </c>
      <c r="C79" s="303"/>
      <c r="D79" s="347">
        <f>D80+D81</f>
        <v>888000</v>
      </c>
      <c r="E79" s="335"/>
    </row>
    <row r="80" spans="1:5" ht="39">
      <c r="A80" s="343" t="s">
        <v>522</v>
      </c>
      <c r="B80" s="302" t="s">
        <v>588</v>
      </c>
      <c r="C80" s="303" t="s">
        <v>523</v>
      </c>
      <c r="D80" s="371">
        <v>803900</v>
      </c>
      <c r="E80" s="335"/>
    </row>
    <row r="81" spans="1:5" ht="26.25">
      <c r="A81" s="343" t="s">
        <v>516</v>
      </c>
      <c r="B81" s="302" t="s">
        <v>588</v>
      </c>
      <c r="C81" s="303" t="s">
        <v>517</v>
      </c>
      <c r="D81" s="371">
        <v>84100</v>
      </c>
      <c r="E81" s="335"/>
    </row>
    <row r="82" spans="1:5" ht="66" hidden="1">
      <c r="A82" s="343" t="s">
        <v>589</v>
      </c>
      <c r="B82" s="302" t="s">
        <v>590</v>
      </c>
      <c r="C82" s="303"/>
      <c r="D82" s="347">
        <f>D83</f>
        <v>0</v>
      </c>
      <c r="E82" s="335"/>
    </row>
    <row r="83" spans="1:5" ht="27" hidden="1">
      <c r="A83" s="343" t="s">
        <v>516</v>
      </c>
      <c r="B83" s="302" t="s">
        <v>590</v>
      </c>
      <c r="C83" s="303" t="s">
        <v>517</v>
      </c>
      <c r="D83" s="347"/>
      <c r="E83" s="335"/>
    </row>
    <row r="84" spans="1:5" ht="31.5" customHeight="1">
      <c r="A84" s="383" t="s">
        <v>591</v>
      </c>
      <c r="B84" s="275" t="s">
        <v>592</v>
      </c>
      <c r="C84" s="284"/>
      <c r="D84" s="371">
        <f>D85</f>
        <v>15000</v>
      </c>
      <c r="E84" s="335"/>
    </row>
    <row r="85" spans="1:5" ht="38.25" customHeight="1">
      <c r="A85" s="382" t="s">
        <v>593</v>
      </c>
      <c r="B85" s="289" t="s">
        <v>594</v>
      </c>
      <c r="C85" s="284"/>
      <c r="D85" s="371">
        <f>D86</f>
        <v>15000</v>
      </c>
      <c r="E85" s="335"/>
    </row>
    <row r="86" spans="1:5" ht="26.25" customHeight="1">
      <c r="A86" s="343" t="s">
        <v>516</v>
      </c>
      <c r="B86" s="289" t="s">
        <v>594</v>
      </c>
      <c r="C86" s="284" t="s">
        <v>517</v>
      </c>
      <c r="D86" s="371">
        <v>15000</v>
      </c>
      <c r="E86" s="335"/>
    </row>
    <row r="87" spans="1:5" ht="44.25" customHeight="1">
      <c r="A87" s="372" t="s">
        <v>595</v>
      </c>
      <c r="B87" s="275" t="s">
        <v>596</v>
      </c>
      <c r="C87" s="284"/>
      <c r="D87" s="347">
        <f>D88+D93</f>
        <v>2209300</v>
      </c>
      <c r="E87" s="335"/>
    </row>
    <row r="88" spans="1:5" ht="30.75" customHeight="1">
      <c r="A88" s="372" t="s">
        <v>597</v>
      </c>
      <c r="B88" s="275" t="s">
        <v>598</v>
      </c>
      <c r="C88" s="284"/>
      <c r="D88" s="347">
        <f>D89+D91</f>
        <v>127300</v>
      </c>
      <c r="E88" s="335"/>
    </row>
    <row r="89" spans="1:5" ht="30" customHeight="1">
      <c r="A89" s="372" t="s">
        <v>599</v>
      </c>
      <c r="B89" s="275" t="s">
        <v>600</v>
      </c>
      <c r="C89" s="284"/>
      <c r="D89" s="347">
        <f>D90</f>
        <v>124300</v>
      </c>
      <c r="E89" s="335"/>
    </row>
    <row r="90" spans="1:5" ht="32.25" customHeight="1">
      <c r="A90" s="343" t="s">
        <v>601</v>
      </c>
      <c r="B90" s="275" t="s">
        <v>600</v>
      </c>
      <c r="C90" s="303" t="s">
        <v>602</v>
      </c>
      <c r="D90" s="510">
        <f>122900+1400</f>
        <v>124300</v>
      </c>
      <c r="E90" s="335"/>
    </row>
    <row r="91" spans="1:5" ht="20.25" customHeight="1">
      <c r="A91" s="372" t="s">
        <v>603</v>
      </c>
      <c r="B91" s="275" t="s">
        <v>604</v>
      </c>
      <c r="C91" s="303"/>
      <c r="D91" s="347">
        <f>D92</f>
        <v>3000</v>
      </c>
      <c r="E91" s="335"/>
    </row>
    <row r="92" spans="1:5" ht="32.25" customHeight="1">
      <c r="A92" s="343" t="s">
        <v>601</v>
      </c>
      <c r="B92" s="275" t="s">
        <v>604</v>
      </c>
      <c r="C92" s="303" t="s">
        <v>602</v>
      </c>
      <c r="D92" s="347">
        <v>3000</v>
      </c>
      <c r="E92" s="335"/>
    </row>
    <row r="93" spans="1:5" ht="28.5" customHeight="1">
      <c r="A93" s="376" t="s">
        <v>605</v>
      </c>
      <c r="B93" s="302" t="s">
        <v>606</v>
      </c>
      <c r="C93" s="284"/>
      <c r="D93" s="510">
        <f>D94+D97</f>
        <v>2082000</v>
      </c>
      <c r="E93" s="335"/>
    </row>
    <row r="94" spans="1:5" ht="30.75" customHeight="1">
      <c r="A94" s="372" t="s">
        <v>607</v>
      </c>
      <c r="B94" s="302" t="s">
        <v>608</v>
      </c>
      <c r="C94" s="284"/>
      <c r="D94" s="510">
        <f>D95+D96</f>
        <v>2072000</v>
      </c>
      <c r="E94" s="335"/>
    </row>
    <row r="95" spans="1:5" ht="43.5" customHeight="1">
      <c r="A95" s="343" t="s">
        <v>522</v>
      </c>
      <c r="B95" s="302" t="s">
        <v>608</v>
      </c>
      <c r="C95" s="303" t="s">
        <v>523</v>
      </c>
      <c r="D95" s="371">
        <f>1524168+460299+300+60633+26600</f>
        <v>2072000</v>
      </c>
      <c r="E95" s="335"/>
    </row>
    <row r="96" spans="1:5" ht="26.25" hidden="1">
      <c r="A96" s="343" t="s">
        <v>516</v>
      </c>
      <c r="B96" s="302" t="s">
        <v>608</v>
      </c>
      <c r="C96" s="303" t="s">
        <v>517</v>
      </c>
      <c r="D96" s="371">
        <f>60633-60633</f>
        <v>0</v>
      </c>
      <c r="E96" s="335"/>
    </row>
    <row r="97" spans="1:5" ht="17.25" customHeight="1">
      <c r="A97" s="383" t="s">
        <v>609</v>
      </c>
      <c r="B97" s="275" t="s">
        <v>610</v>
      </c>
      <c r="C97" s="303"/>
      <c r="D97" s="371">
        <f>D98</f>
        <v>10000</v>
      </c>
      <c r="E97" s="335"/>
    </row>
    <row r="98" spans="1:5" ht="26.25">
      <c r="A98" s="343" t="s">
        <v>516</v>
      </c>
      <c r="B98" s="275" t="s">
        <v>610</v>
      </c>
      <c r="C98" s="303" t="s">
        <v>517</v>
      </c>
      <c r="D98" s="371">
        <v>10000</v>
      </c>
      <c r="E98" s="335"/>
    </row>
    <row r="99" spans="1:8" ht="32.25" customHeight="1">
      <c r="A99" s="370" t="s">
        <v>611</v>
      </c>
      <c r="B99" s="275" t="s">
        <v>612</v>
      </c>
      <c r="C99" s="284"/>
      <c r="D99" s="347">
        <f>D100+D160+D176</f>
        <v>439132793.19</v>
      </c>
      <c r="E99" s="306"/>
      <c r="F99" s="306"/>
      <c r="H99" s="306"/>
    </row>
    <row r="100" spans="1:5" s="308" customFormat="1" ht="41.25" customHeight="1">
      <c r="A100" s="406" t="s">
        <v>613</v>
      </c>
      <c r="B100" s="275" t="s">
        <v>614</v>
      </c>
      <c r="C100" s="284"/>
      <c r="D100" s="347">
        <f>D104+D126+D152+D101</f>
        <v>385217201.15</v>
      </c>
      <c r="E100" s="336"/>
    </row>
    <row r="101" spans="1:5" s="308" customFormat="1" ht="21.75" customHeight="1">
      <c r="A101" s="406" t="s">
        <v>1211</v>
      </c>
      <c r="B101" s="275" t="s">
        <v>1212</v>
      </c>
      <c r="C101" s="448"/>
      <c r="D101" s="371">
        <f>D102</f>
        <v>2000000</v>
      </c>
      <c r="E101" s="336"/>
    </row>
    <row r="102" spans="1:5" s="308" customFormat="1" ht="31.5" customHeight="1">
      <c r="A102" s="406" t="s">
        <v>638</v>
      </c>
      <c r="B102" s="275" t="s">
        <v>1213</v>
      </c>
      <c r="C102" s="448"/>
      <c r="D102" s="371">
        <f>D103</f>
        <v>2000000</v>
      </c>
      <c r="E102" s="336"/>
    </row>
    <row r="103" spans="1:5" s="308" customFormat="1" ht="33" customHeight="1">
      <c r="A103" s="343" t="s">
        <v>516</v>
      </c>
      <c r="B103" s="275" t="s">
        <v>1213</v>
      </c>
      <c r="C103" s="284" t="s">
        <v>517</v>
      </c>
      <c r="D103" s="371">
        <f>786836.4+1300000-86836.4</f>
        <v>2000000</v>
      </c>
      <c r="E103" s="336"/>
    </row>
    <row r="104" spans="1:5" ht="27.75" customHeight="1">
      <c r="A104" s="373" t="s">
        <v>615</v>
      </c>
      <c r="B104" s="309" t="s">
        <v>616</v>
      </c>
      <c r="C104" s="284"/>
      <c r="D104" s="510">
        <f>D105+D112+D119+D121+D117+D116</f>
        <v>96673178.81</v>
      </c>
      <c r="E104" s="335"/>
    </row>
    <row r="105" spans="1:5" ht="18.75" customHeight="1">
      <c r="A105" s="419" t="s">
        <v>617</v>
      </c>
      <c r="B105" s="309" t="s">
        <v>618</v>
      </c>
      <c r="C105" s="284"/>
      <c r="D105" s="510">
        <f>D107+D106</f>
        <v>2080810</v>
      </c>
      <c r="E105" s="335"/>
    </row>
    <row r="106" spans="1:5" ht="31.5" customHeight="1" hidden="1">
      <c r="A106" s="343" t="s">
        <v>516</v>
      </c>
      <c r="B106" s="309" t="s">
        <v>618</v>
      </c>
      <c r="C106" s="284" t="s">
        <v>517</v>
      </c>
      <c r="D106" s="371"/>
      <c r="E106" s="335"/>
    </row>
    <row r="107" spans="1:5" ht="17.25" customHeight="1">
      <c r="A107" s="415" t="s">
        <v>550</v>
      </c>
      <c r="B107" s="309" t="s">
        <v>618</v>
      </c>
      <c r="C107" s="284" t="s">
        <v>551</v>
      </c>
      <c r="D107" s="371">
        <v>2080810</v>
      </c>
      <c r="E107" s="335"/>
    </row>
    <row r="108" spans="1:5" ht="27" customHeight="1" hidden="1">
      <c r="A108" s="401" t="s">
        <v>619</v>
      </c>
      <c r="B108" s="275" t="s">
        <v>620</v>
      </c>
      <c r="C108" s="284"/>
      <c r="D108" s="347">
        <f>D109</f>
        <v>0</v>
      </c>
      <c r="E108" s="335"/>
    </row>
    <row r="109" spans="1:5" ht="16.5" customHeight="1" hidden="1">
      <c r="A109" s="343" t="s">
        <v>554</v>
      </c>
      <c r="B109" s="275" t="s">
        <v>620</v>
      </c>
      <c r="C109" s="284" t="s">
        <v>517</v>
      </c>
      <c r="D109" s="347"/>
      <c r="E109" s="335"/>
    </row>
    <row r="110" spans="1:5" ht="38.25" customHeight="1" hidden="1">
      <c r="A110" s="494" t="s">
        <v>621</v>
      </c>
      <c r="B110" s="275" t="s">
        <v>622</v>
      </c>
      <c r="C110" s="284"/>
      <c r="D110" s="347">
        <f>D111</f>
        <v>0</v>
      </c>
      <c r="E110" s="335"/>
    </row>
    <row r="111" spans="1:5" ht="15.75" customHeight="1" hidden="1">
      <c r="A111" s="343" t="s">
        <v>554</v>
      </c>
      <c r="B111" s="275" t="s">
        <v>622</v>
      </c>
      <c r="C111" s="284" t="s">
        <v>517</v>
      </c>
      <c r="D111" s="347"/>
      <c r="E111" s="335"/>
    </row>
    <row r="112" spans="1:5" ht="66" customHeight="1">
      <c r="A112" s="375" t="s">
        <v>623</v>
      </c>
      <c r="B112" s="275" t="s">
        <v>624</v>
      </c>
      <c r="C112" s="284"/>
      <c r="D112" s="510">
        <f>D113+D114</f>
        <v>48715678</v>
      </c>
      <c r="E112" s="335"/>
    </row>
    <row r="113" spans="1:5" ht="42" customHeight="1">
      <c r="A113" s="407" t="s">
        <v>522</v>
      </c>
      <c r="B113" s="275" t="s">
        <v>624</v>
      </c>
      <c r="C113" s="284" t="s">
        <v>523</v>
      </c>
      <c r="D113" s="371">
        <f>45470627+2735549</f>
        <v>48206176</v>
      </c>
      <c r="E113" s="335"/>
    </row>
    <row r="114" spans="1:5" ht="25.5" customHeight="1">
      <c r="A114" s="343" t="s">
        <v>516</v>
      </c>
      <c r="B114" s="275" t="s">
        <v>624</v>
      </c>
      <c r="C114" s="284" t="s">
        <v>517</v>
      </c>
      <c r="D114" s="371">
        <v>509502</v>
      </c>
      <c r="E114" s="335"/>
    </row>
    <row r="115" spans="1:5" ht="13.5" hidden="1">
      <c r="A115" s="375" t="s">
        <v>625</v>
      </c>
      <c r="B115" s="275" t="s">
        <v>626</v>
      </c>
      <c r="C115" s="284"/>
      <c r="D115" s="510">
        <f>D116</f>
        <v>0</v>
      </c>
      <c r="E115" s="335"/>
    </row>
    <row r="116" spans="1:5" ht="13.5" hidden="1">
      <c r="A116" s="473" t="s">
        <v>516</v>
      </c>
      <c r="B116" s="275" t="s">
        <v>626</v>
      </c>
      <c r="C116" s="284" t="s">
        <v>517</v>
      </c>
      <c r="D116" s="510"/>
      <c r="E116" s="335"/>
    </row>
    <row r="117" spans="1:5" ht="26.25" hidden="1">
      <c r="A117" s="375" t="s">
        <v>627</v>
      </c>
      <c r="B117" s="275" t="s">
        <v>628</v>
      </c>
      <c r="C117" s="284"/>
      <c r="D117" s="510">
        <f>D118</f>
        <v>0</v>
      </c>
      <c r="E117" s="335"/>
    </row>
    <row r="118" spans="1:5" ht="13.5" hidden="1">
      <c r="A118" s="473" t="s">
        <v>516</v>
      </c>
      <c r="B118" s="275" t="s">
        <v>628</v>
      </c>
      <c r="C118" s="284" t="s">
        <v>517</v>
      </c>
      <c r="D118" s="510">
        <f>175343-175343</f>
        <v>0</v>
      </c>
      <c r="E118" s="335"/>
    </row>
    <row r="119" spans="1:5" ht="26.25" hidden="1">
      <c r="A119" s="375" t="s">
        <v>631</v>
      </c>
      <c r="B119" s="275" t="s">
        <v>632</v>
      </c>
      <c r="C119" s="284"/>
      <c r="D119" s="371">
        <f>D120</f>
        <v>0</v>
      </c>
      <c r="E119" s="335"/>
    </row>
    <row r="120" spans="1:5" ht="26.25" hidden="1">
      <c r="A120" s="343" t="s">
        <v>516</v>
      </c>
      <c r="B120" s="275" t="s">
        <v>632</v>
      </c>
      <c r="C120" s="284" t="s">
        <v>517</v>
      </c>
      <c r="D120" s="371"/>
      <c r="E120" s="335"/>
    </row>
    <row r="121" spans="1:5" ht="17.25" customHeight="1">
      <c r="A121" s="373" t="s">
        <v>520</v>
      </c>
      <c r="B121" s="275" t="s">
        <v>633</v>
      </c>
      <c r="C121" s="284"/>
      <c r="D121" s="510">
        <f>D122+D123+D125+D124</f>
        <v>45876690.81</v>
      </c>
      <c r="E121" s="335"/>
    </row>
    <row r="122" spans="1:5" ht="44.25" customHeight="1">
      <c r="A122" s="343" t="s">
        <v>522</v>
      </c>
      <c r="B122" s="275" t="s">
        <v>633</v>
      </c>
      <c r="C122" s="284" t="s">
        <v>523</v>
      </c>
      <c r="D122" s="371">
        <f>22202400+72259</f>
        <v>22274659</v>
      </c>
      <c r="E122" s="335"/>
    </row>
    <row r="123" spans="1:5" ht="30" customHeight="1">
      <c r="A123" s="343" t="s">
        <v>516</v>
      </c>
      <c r="B123" s="275" t="s">
        <v>633</v>
      </c>
      <c r="C123" s="284" t="s">
        <v>517</v>
      </c>
      <c r="D123" s="371">
        <f>17709905.81+167564+622840+63778+377788+2660079-25000</f>
        <v>21576954.81</v>
      </c>
      <c r="E123" s="335"/>
    </row>
    <row r="124" spans="1:5" ht="30" customHeight="1">
      <c r="A124" s="396" t="s">
        <v>751</v>
      </c>
      <c r="B124" s="275" t="s">
        <v>633</v>
      </c>
      <c r="C124" s="284" t="s">
        <v>752</v>
      </c>
      <c r="D124" s="371">
        <f>25872</f>
        <v>25872</v>
      </c>
      <c r="E124" s="335"/>
    </row>
    <row r="125" spans="1:5" ht="18" customHeight="1">
      <c r="A125" s="373" t="s">
        <v>524</v>
      </c>
      <c r="B125" s="275" t="s">
        <v>633</v>
      </c>
      <c r="C125" s="284" t="s">
        <v>525</v>
      </c>
      <c r="D125" s="371">
        <f>1924385+16368+2500+4034+51918</f>
        <v>1999205</v>
      </c>
      <c r="E125" s="335"/>
    </row>
    <row r="126" spans="1:5" ht="34.5" customHeight="1">
      <c r="A126" s="373" t="s">
        <v>634</v>
      </c>
      <c r="B126" s="309" t="s">
        <v>635</v>
      </c>
      <c r="C126" s="284"/>
      <c r="D126" s="510">
        <f>D131+D138+D140+D142+D144+D146+D150+D127+D129+D134+D136</f>
        <v>267578014.34</v>
      </c>
      <c r="E126" s="335"/>
    </row>
    <row r="127" spans="1:5" ht="26.25" hidden="1">
      <c r="A127" s="373" t="s">
        <v>636</v>
      </c>
      <c r="B127" s="275" t="s">
        <v>637</v>
      </c>
      <c r="C127" s="284"/>
      <c r="D127" s="371">
        <f>D128</f>
        <v>0</v>
      </c>
      <c r="E127" s="335"/>
    </row>
    <row r="128" spans="1:5" ht="26.25" hidden="1">
      <c r="A128" s="343" t="s">
        <v>516</v>
      </c>
      <c r="B128" s="275" t="s">
        <v>637</v>
      </c>
      <c r="C128" s="284" t="s">
        <v>517</v>
      </c>
      <c r="D128" s="371"/>
      <c r="E128" s="335"/>
    </row>
    <row r="129" spans="1:5" ht="33.75" customHeight="1" hidden="1">
      <c r="A129" s="383" t="s">
        <v>638</v>
      </c>
      <c r="B129" s="275" t="s">
        <v>639</v>
      </c>
      <c r="C129" s="284"/>
      <c r="D129" s="371">
        <f>D130</f>
        <v>0</v>
      </c>
      <c r="E129" s="335"/>
    </row>
    <row r="130" spans="1:5" ht="26.25" hidden="1">
      <c r="A130" s="343" t="s">
        <v>516</v>
      </c>
      <c r="B130" s="275" t="s">
        <v>639</v>
      </c>
      <c r="C130" s="284" t="s">
        <v>517</v>
      </c>
      <c r="D130" s="371"/>
      <c r="E130" s="335"/>
    </row>
    <row r="131" spans="1:5" ht="73.5" customHeight="1">
      <c r="A131" s="375" t="s">
        <v>640</v>
      </c>
      <c r="B131" s="275" t="s">
        <v>641</v>
      </c>
      <c r="C131" s="284"/>
      <c r="D131" s="510">
        <f>D132+D133</f>
        <v>216205718</v>
      </c>
      <c r="E131" s="335"/>
    </row>
    <row r="132" spans="1:5" ht="45" customHeight="1">
      <c r="A132" s="343" t="s">
        <v>522</v>
      </c>
      <c r="B132" s="275" t="s">
        <v>641</v>
      </c>
      <c r="C132" s="284" t="s">
        <v>523</v>
      </c>
      <c r="D132" s="371">
        <f>186909233+22376668</f>
        <v>209285901</v>
      </c>
      <c r="E132" s="335"/>
    </row>
    <row r="133" spans="1:5" ht="25.5" customHeight="1">
      <c r="A133" s="343" t="s">
        <v>516</v>
      </c>
      <c r="B133" s="275" t="s">
        <v>641</v>
      </c>
      <c r="C133" s="284" t="s">
        <v>517</v>
      </c>
      <c r="D133" s="371">
        <v>6919817</v>
      </c>
      <c r="E133" s="335"/>
    </row>
    <row r="134" spans="1:5" ht="13.5">
      <c r="A134" s="493" t="s">
        <v>625</v>
      </c>
      <c r="B134" s="275" t="s">
        <v>648</v>
      </c>
      <c r="C134" s="284"/>
      <c r="D134" s="371">
        <f>D135</f>
        <v>1607171</v>
      </c>
      <c r="E134" s="335"/>
    </row>
    <row r="135" spans="1:5" ht="26.25">
      <c r="A135" s="343" t="s">
        <v>516</v>
      </c>
      <c r="B135" s="275" t="s">
        <v>648</v>
      </c>
      <c r="C135" s="284" t="s">
        <v>517</v>
      </c>
      <c r="D135" s="371">
        <f>1607171</f>
        <v>1607171</v>
      </c>
      <c r="E135" s="335"/>
    </row>
    <row r="136" spans="1:5" ht="26.25">
      <c r="A136" s="493" t="s">
        <v>627</v>
      </c>
      <c r="B136" s="275" t="s">
        <v>649</v>
      </c>
      <c r="C136" s="284"/>
      <c r="D136" s="371">
        <f>D137</f>
        <v>865399</v>
      </c>
      <c r="E136" s="335"/>
    </row>
    <row r="137" spans="1:5" ht="26.25">
      <c r="A137" s="343" t="s">
        <v>516</v>
      </c>
      <c r="B137" s="275" t="s">
        <v>649</v>
      </c>
      <c r="C137" s="284" t="s">
        <v>517</v>
      </c>
      <c r="D137" s="371">
        <f>826214.9+39184.1</f>
        <v>865399</v>
      </c>
      <c r="E137" s="335"/>
    </row>
    <row r="138" spans="1:4" ht="39">
      <c r="A138" s="383" t="s">
        <v>1214</v>
      </c>
      <c r="B138" s="275" t="s">
        <v>643</v>
      </c>
      <c r="C138" s="284"/>
      <c r="D138" s="510">
        <f>D139</f>
        <v>889886</v>
      </c>
    </row>
    <row r="139" spans="1:4" ht="39">
      <c r="A139" s="383" t="s">
        <v>1215</v>
      </c>
      <c r="B139" s="275" t="s">
        <v>643</v>
      </c>
      <c r="C139" s="284" t="s">
        <v>517</v>
      </c>
      <c r="D139" s="371">
        <f>889886</f>
        <v>889886</v>
      </c>
    </row>
    <row r="140" spans="1:5" ht="39">
      <c r="A140" s="383" t="s">
        <v>1215</v>
      </c>
      <c r="B140" s="275" t="s">
        <v>645</v>
      </c>
      <c r="C140" s="284"/>
      <c r="D140" s="510">
        <f>D141</f>
        <v>1369687</v>
      </c>
      <c r="E140" s="335"/>
    </row>
    <row r="141" spans="1:5" ht="25.5" customHeight="1">
      <c r="A141" s="343" t="s">
        <v>516</v>
      </c>
      <c r="B141" s="275" t="s">
        <v>645</v>
      </c>
      <c r="C141" s="284" t="s">
        <v>517</v>
      </c>
      <c r="D141" s="371">
        <f>1468800-99113</f>
        <v>1369687</v>
      </c>
      <c r="E141" s="335"/>
    </row>
    <row r="142" spans="1:4" ht="52.5">
      <c r="A142" s="375" t="s">
        <v>646</v>
      </c>
      <c r="B142" s="275" t="s">
        <v>647</v>
      </c>
      <c r="C142" s="284"/>
      <c r="D142" s="510">
        <f>D143</f>
        <v>48449</v>
      </c>
    </row>
    <row r="143" spans="1:4" ht="26.25">
      <c r="A143" s="343" t="s">
        <v>516</v>
      </c>
      <c r="B143" s="275" t="s">
        <v>647</v>
      </c>
      <c r="C143" s="284" t="s">
        <v>517</v>
      </c>
      <c r="D143" s="371">
        <f>48449</f>
        <v>48449</v>
      </c>
    </row>
    <row r="144" spans="1:4" ht="39">
      <c r="A144" s="375" t="s">
        <v>650</v>
      </c>
      <c r="B144" s="275" t="s">
        <v>651</v>
      </c>
      <c r="C144" s="284"/>
      <c r="D144" s="510">
        <f>D145</f>
        <v>500000</v>
      </c>
    </row>
    <row r="145" spans="1:4" ht="26.25">
      <c r="A145" s="343" t="s">
        <v>516</v>
      </c>
      <c r="B145" s="275" t="s">
        <v>651</v>
      </c>
      <c r="C145" s="284" t="s">
        <v>517</v>
      </c>
      <c r="D145" s="510">
        <v>500000</v>
      </c>
    </row>
    <row r="146" spans="1:4" ht="17.25" customHeight="1">
      <c r="A146" s="373" t="s">
        <v>520</v>
      </c>
      <c r="B146" s="275" t="s">
        <v>654</v>
      </c>
      <c r="C146" s="284"/>
      <c r="D146" s="510">
        <f>D147+D149+D148</f>
        <v>45914104.34</v>
      </c>
    </row>
    <row r="147" spans="1:4" ht="27.75" customHeight="1">
      <c r="A147" s="343" t="s">
        <v>516</v>
      </c>
      <c r="B147" s="275" t="s">
        <v>654</v>
      </c>
      <c r="C147" s="284" t="s">
        <v>517</v>
      </c>
      <c r="D147" s="371">
        <f>33563717.34+1989489+2579000+1940113+9812-2054000+514523+38350+3560683</f>
        <v>42141687.34</v>
      </c>
    </row>
    <row r="148" spans="1:4" ht="27.75" customHeight="1">
      <c r="A148" s="396" t="s">
        <v>751</v>
      </c>
      <c r="B148" s="275" t="s">
        <v>654</v>
      </c>
      <c r="C148" s="284" t="s">
        <v>752</v>
      </c>
      <c r="D148" s="371">
        <f>600000-400000+194802</f>
        <v>394802</v>
      </c>
    </row>
    <row r="149" spans="1:5" ht="16.5" customHeight="1">
      <c r="A149" s="373" t="s">
        <v>524</v>
      </c>
      <c r="B149" s="275" t="s">
        <v>654</v>
      </c>
      <c r="C149" s="284" t="s">
        <v>525</v>
      </c>
      <c r="D149" s="371">
        <f>2133738+1135029+54100+2166+52582</f>
        <v>3377615</v>
      </c>
      <c r="E149" s="335"/>
    </row>
    <row r="150" spans="1:5" ht="13.5">
      <c r="A150" s="343" t="s">
        <v>655</v>
      </c>
      <c r="B150" s="275" t="s">
        <v>656</v>
      </c>
      <c r="C150" s="284"/>
      <c r="D150" s="371">
        <f>D151</f>
        <v>177600</v>
      </c>
      <c r="E150" s="335"/>
    </row>
    <row r="151" spans="1:5" ht="26.25">
      <c r="A151" s="343" t="s">
        <v>516</v>
      </c>
      <c r="B151" s="275" t="s">
        <v>656</v>
      </c>
      <c r="C151" s="284" t="s">
        <v>517</v>
      </c>
      <c r="D151" s="371">
        <f>177600</f>
        <v>177600</v>
      </c>
      <c r="E151" s="335"/>
    </row>
    <row r="152" spans="1:5" ht="33" customHeight="1">
      <c r="A152" s="373" t="s">
        <v>657</v>
      </c>
      <c r="B152" s="275" t="s">
        <v>658</v>
      </c>
      <c r="C152" s="284"/>
      <c r="D152" s="510">
        <f>D157+D153+D155</f>
        <v>18966008</v>
      </c>
      <c r="E152" s="335"/>
    </row>
    <row r="153" spans="1:5" ht="33" customHeight="1" hidden="1">
      <c r="A153" s="375" t="s">
        <v>659</v>
      </c>
      <c r="B153" s="275" t="s">
        <v>660</v>
      </c>
      <c r="C153" s="284"/>
      <c r="D153" s="510">
        <f>D154</f>
        <v>0</v>
      </c>
      <c r="E153" s="335"/>
    </row>
    <row r="154" spans="1:5" ht="45" customHeight="1" hidden="1">
      <c r="A154" s="343" t="s">
        <v>522</v>
      </c>
      <c r="B154" s="275" t="s">
        <v>660</v>
      </c>
      <c r="C154" s="284" t="s">
        <v>523</v>
      </c>
      <c r="D154" s="510"/>
      <c r="E154" s="335"/>
    </row>
    <row r="155" spans="1:4" ht="26.25" customHeight="1" hidden="1">
      <c r="A155" s="375" t="s">
        <v>661</v>
      </c>
      <c r="B155" s="275" t="s">
        <v>662</v>
      </c>
      <c r="C155" s="284"/>
      <c r="D155" s="510">
        <f>D156</f>
        <v>0</v>
      </c>
    </row>
    <row r="156" spans="1:4" ht="44.25" customHeight="1" hidden="1">
      <c r="A156" s="343" t="s">
        <v>522</v>
      </c>
      <c r="B156" s="275" t="s">
        <v>662</v>
      </c>
      <c r="C156" s="284" t="s">
        <v>523</v>
      </c>
      <c r="D156" s="510">
        <f>100000-100000</f>
        <v>0</v>
      </c>
    </row>
    <row r="157" spans="1:5" ht="58.5" customHeight="1">
      <c r="A157" s="375" t="s">
        <v>663</v>
      </c>
      <c r="B157" s="275" t="s">
        <v>664</v>
      </c>
      <c r="C157" s="284"/>
      <c r="D157" s="347">
        <f>D158+D159</f>
        <v>18966008</v>
      </c>
      <c r="E157" s="335"/>
    </row>
    <row r="158" spans="1:5" ht="33" customHeight="1" hidden="1">
      <c r="A158" s="343" t="s">
        <v>516</v>
      </c>
      <c r="B158" s="275" t="s">
        <v>664</v>
      </c>
      <c r="C158" s="284" t="s">
        <v>517</v>
      </c>
      <c r="D158" s="510"/>
      <c r="E158" s="335"/>
    </row>
    <row r="159" spans="1:5" ht="15.75" customHeight="1">
      <c r="A159" s="415" t="s">
        <v>550</v>
      </c>
      <c r="B159" s="275" t="s">
        <v>664</v>
      </c>
      <c r="C159" s="284" t="s">
        <v>551</v>
      </c>
      <c r="D159" s="371">
        <v>18966008</v>
      </c>
      <c r="E159" s="335"/>
    </row>
    <row r="160" spans="1:5" s="308" customFormat="1" ht="48" customHeight="1">
      <c r="A160" s="343" t="s">
        <v>665</v>
      </c>
      <c r="B160" s="275" t="s">
        <v>666</v>
      </c>
      <c r="C160" s="284"/>
      <c r="D160" s="510">
        <f>D161+D167+D172</f>
        <v>44834197.04</v>
      </c>
      <c r="E160" s="336"/>
    </row>
    <row r="161" spans="1:5" ht="36.75" customHeight="1">
      <c r="A161" s="373" t="s">
        <v>667</v>
      </c>
      <c r="B161" s="275" t="s">
        <v>668</v>
      </c>
      <c r="C161" s="284"/>
      <c r="D161" s="510">
        <f>D162</f>
        <v>23510212</v>
      </c>
      <c r="E161" s="335"/>
    </row>
    <row r="162" spans="1:5" ht="32.25" customHeight="1">
      <c r="A162" s="373" t="s">
        <v>520</v>
      </c>
      <c r="B162" s="275" t="s">
        <v>669</v>
      </c>
      <c r="C162" s="284"/>
      <c r="D162" s="510">
        <f>D163+D164+D166+D165</f>
        <v>23510212</v>
      </c>
      <c r="E162" s="335"/>
    </row>
    <row r="163" spans="1:5" ht="47.25" customHeight="1">
      <c r="A163" s="343" t="s">
        <v>522</v>
      </c>
      <c r="B163" s="275" t="s">
        <v>669</v>
      </c>
      <c r="C163" s="284" t="s">
        <v>523</v>
      </c>
      <c r="D163" s="371">
        <f>14400300+1054655</f>
        <v>15454955</v>
      </c>
      <c r="E163" s="335"/>
    </row>
    <row r="164" spans="1:5" ht="33" customHeight="1">
      <c r="A164" s="343" t="s">
        <v>516</v>
      </c>
      <c r="B164" s="275" t="s">
        <v>669</v>
      </c>
      <c r="C164" s="284" t="s">
        <v>517</v>
      </c>
      <c r="D164" s="371">
        <f>644300+5760+3675000+798279+367800+80000+10681+100000-78751</f>
        <v>5603069</v>
      </c>
      <c r="E164" s="335"/>
    </row>
    <row r="165" spans="1:5" ht="26.25" customHeight="1">
      <c r="A165" s="396" t="s">
        <v>751</v>
      </c>
      <c r="B165" s="275" t="s">
        <v>669</v>
      </c>
      <c r="C165" s="284" t="s">
        <v>752</v>
      </c>
      <c r="D165" s="371">
        <f>1510000+1640000-3000000+2197730</f>
        <v>2347730</v>
      </c>
      <c r="E165" s="335"/>
    </row>
    <row r="166" spans="1:5" ht="20.25" customHeight="1">
      <c r="A166" s="373" t="s">
        <v>524</v>
      </c>
      <c r="B166" s="275" t="s">
        <v>669</v>
      </c>
      <c r="C166" s="284" t="s">
        <v>525</v>
      </c>
      <c r="D166" s="371">
        <f>115463-13005+2000</f>
        <v>104458</v>
      </c>
      <c r="E166" s="335"/>
    </row>
    <row r="167" spans="1:5" ht="19.5" customHeight="1">
      <c r="A167" s="373" t="s">
        <v>670</v>
      </c>
      <c r="B167" s="275" t="s">
        <v>671</v>
      </c>
      <c r="C167" s="284"/>
      <c r="D167" s="510">
        <f>D168</f>
        <v>19823985.04</v>
      </c>
      <c r="E167" s="335"/>
    </row>
    <row r="168" spans="1:5" ht="15.75" customHeight="1">
      <c r="A168" s="373" t="s">
        <v>520</v>
      </c>
      <c r="B168" s="275" t="s">
        <v>672</v>
      </c>
      <c r="C168" s="284"/>
      <c r="D168" s="510">
        <f>D169+D170+D171</f>
        <v>19823985.04</v>
      </c>
      <c r="E168" s="335"/>
    </row>
    <row r="169" spans="1:5" ht="45" customHeight="1">
      <c r="A169" s="343" t="s">
        <v>522</v>
      </c>
      <c r="B169" s="275" t="s">
        <v>672</v>
      </c>
      <c r="C169" s="284" t="s">
        <v>523</v>
      </c>
      <c r="D169" s="371">
        <f>17937600+270967</f>
        <v>18208567</v>
      </c>
      <c r="E169" s="335"/>
    </row>
    <row r="170" spans="1:5" ht="27" customHeight="1">
      <c r="A170" s="343" t="s">
        <v>516</v>
      </c>
      <c r="B170" s="275" t="s">
        <v>672</v>
      </c>
      <c r="C170" s="284" t="s">
        <v>517</v>
      </c>
      <c r="D170" s="371">
        <f>688100+61300+400700.04+4900+370000+30000+14718</f>
        <v>1569718.04</v>
      </c>
      <c r="E170" s="335"/>
    </row>
    <row r="171" spans="1:5" ht="16.5" customHeight="1">
      <c r="A171" s="373" t="s">
        <v>524</v>
      </c>
      <c r="B171" s="275" t="s">
        <v>672</v>
      </c>
      <c r="C171" s="284" t="s">
        <v>525</v>
      </c>
      <c r="D171" s="371">
        <v>45700</v>
      </c>
      <c r="E171" s="335"/>
    </row>
    <row r="172" spans="1:5" ht="29.25" customHeight="1">
      <c r="A172" s="416" t="s">
        <v>673</v>
      </c>
      <c r="B172" s="275" t="s">
        <v>674</v>
      </c>
      <c r="C172" s="284"/>
      <c r="D172" s="510">
        <f>D173</f>
        <v>1500000</v>
      </c>
      <c r="E172" s="335"/>
    </row>
    <row r="173" spans="1:5" ht="57" customHeight="1">
      <c r="A173" s="401" t="s">
        <v>675</v>
      </c>
      <c r="B173" s="275" t="s">
        <v>676</v>
      </c>
      <c r="C173" s="284"/>
      <c r="D173" s="510">
        <f>D174+D175</f>
        <v>1500000</v>
      </c>
      <c r="E173" s="335"/>
    </row>
    <row r="174" spans="1:5" ht="26.25" hidden="1">
      <c r="A174" s="343" t="s">
        <v>516</v>
      </c>
      <c r="B174" s="275" t="s">
        <v>676</v>
      </c>
      <c r="C174" s="284" t="s">
        <v>517</v>
      </c>
      <c r="D174" s="510"/>
      <c r="E174" s="335"/>
    </row>
    <row r="175" spans="1:5" ht="19.5" customHeight="1">
      <c r="A175" s="415" t="s">
        <v>550</v>
      </c>
      <c r="B175" s="275" t="s">
        <v>676</v>
      </c>
      <c r="C175" s="284" t="s">
        <v>551</v>
      </c>
      <c r="D175" s="371">
        <v>1500000</v>
      </c>
      <c r="E175" s="335"/>
    </row>
    <row r="176" spans="1:5" s="308" customFormat="1" ht="43.5" customHeight="1">
      <c r="A176" s="385" t="s">
        <v>677</v>
      </c>
      <c r="B176" s="275" t="s">
        <v>678</v>
      </c>
      <c r="C176" s="284"/>
      <c r="D176" s="510">
        <f>D177+D182</f>
        <v>9081395</v>
      </c>
      <c r="E176" s="336"/>
    </row>
    <row r="177" spans="1:5" ht="32.25" customHeight="1">
      <c r="A177" s="373" t="s">
        <v>679</v>
      </c>
      <c r="B177" s="275" t="s">
        <v>680</v>
      </c>
      <c r="C177" s="284"/>
      <c r="D177" s="510">
        <f>D178</f>
        <v>8858343</v>
      </c>
      <c r="E177" s="335"/>
    </row>
    <row r="178" spans="1:5" ht="18.75" customHeight="1">
      <c r="A178" s="373" t="s">
        <v>520</v>
      </c>
      <c r="B178" s="275" t="s">
        <v>681</v>
      </c>
      <c r="C178" s="284"/>
      <c r="D178" s="510">
        <f>D179+D180+D181</f>
        <v>8858343</v>
      </c>
      <c r="E178" s="335"/>
    </row>
    <row r="179" spans="1:5" ht="42" customHeight="1">
      <c r="A179" s="343" t="s">
        <v>522</v>
      </c>
      <c r="B179" s="275" t="s">
        <v>681</v>
      </c>
      <c r="C179" s="284" t="s">
        <v>523</v>
      </c>
      <c r="D179" s="371">
        <v>7573300</v>
      </c>
      <c r="E179" s="335"/>
    </row>
    <row r="180" spans="1:5" ht="27.75" customHeight="1">
      <c r="A180" s="343" t="s">
        <v>516</v>
      </c>
      <c r="B180" s="275" t="s">
        <v>681</v>
      </c>
      <c r="C180" s="284" t="s">
        <v>517</v>
      </c>
      <c r="D180" s="371">
        <f>517200+35500+100000+467547+60000+7770+27875+25000</f>
        <v>1240892</v>
      </c>
      <c r="E180" s="335"/>
    </row>
    <row r="181" spans="1:5" ht="16.5" customHeight="1">
      <c r="A181" s="373" t="s">
        <v>524</v>
      </c>
      <c r="B181" s="275" t="s">
        <v>681</v>
      </c>
      <c r="C181" s="284" t="s">
        <v>525</v>
      </c>
      <c r="D181" s="371">
        <f>35314-1063+9900</f>
        <v>44151</v>
      </c>
      <c r="E181" s="335"/>
    </row>
    <row r="182" spans="1:5" ht="27.75" customHeight="1">
      <c r="A182" s="373" t="s">
        <v>682</v>
      </c>
      <c r="B182" s="275" t="s">
        <v>683</v>
      </c>
      <c r="C182" s="284"/>
      <c r="D182" s="510">
        <f>D183+D185</f>
        <v>223052</v>
      </c>
      <c r="E182" s="335"/>
    </row>
    <row r="183" spans="1:5" ht="28.5" customHeight="1">
      <c r="A183" s="409" t="s">
        <v>684</v>
      </c>
      <c r="B183" s="275" t="s">
        <v>685</v>
      </c>
      <c r="C183" s="284"/>
      <c r="D183" s="510">
        <f>D184</f>
        <v>223052</v>
      </c>
      <c r="E183" s="335"/>
    </row>
    <row r="184" spans="1:5" ht="39" customHeight="1">
      <c r="A184" s="343" t="s">
        <v>522</v>
      </c>
      <c r="B184" s="275" t="s">
        <v>685</v>
      </c>
      <c r="C184" s="284" t="s">
        <v>523</v>
      </c>
      <c r="D184" s="371">
        <v>223052</v>
      </c>
      <c r="E184" s="335"/>
    </row>
    <row r="185" spans="1:5" ht="16.5" customHeight="1" hidden="1">
      <c r="A185" s="343" t="s">
        <v>655</v>
      </c>
      <c r="B185" s="275" t="s">
        <v>686</v>
      </c>
      <c r="C185" s="284"/>
      <c r="D185" s="510">
        <f>D186</f>
        <v>0</v>
      </c>
      <c r="E185" s="335"/>
    </row>
    <row r="186" spans="1:5" ht="27" customHeight="1" hidden="1">
      <c r="A186" s="343" t="s">
        <v>516</v>
      </c>
      <c r="B186" s="275" t="s">
        <v>686</v>
      </c>
      <c r="C186" s="284" t="s">
        <v>517</v>
      </c>
      <c r="D186" s="510"/>
      <c r="E186" s="335"/>
    </row>
    <row r="187" spans="1:5" ht="43.5" customHeight="1">
      <c r="A187" s="385" t="s">
        <v>687</v>
      </c>
      <c r="B187" s="275" t="s">
        <v>688</v>
      </c>
      <c r="C187" s="284"/>
      <c r="D187" s="510">
        <f>D188</f>
        <v>500000</v>
      </c>
      <c r="E187" s="335"/>
    </row>
    <row r="188" spans="1:5" s="308" customFormat="1" ht="54" customHeight="1">
      <c r="A188" s="397" t="s">
        <v>689</v>
      </c>
      <c r="B188" s="275" t="s">
        <v>690</v>
      </c>
      <c r="C188" s="284"/>
      <c r="D188" s="510">
        <f>D189</f>
        <v>500000</v>
      </c>
      <c r="E188" s="336"/>
    </row>
    <row r="189" spans="1:5" s="308" customFormat="1" ht="44.25" customHeight="1">
      <c r="A189" s="373" t="s">
        <v>691</v>
      </c>
      <c r="B189" s="275" t="s">
        <v>692</v>
      </c>
      <c r="C189" s="284"/>
      <c r="D189" s="371">
        <f>D190+D192</f>
        <v>500000</v>
      </c>
      <c r="E189" s="336"/>
    </row>
    <row r="190" spans="1:5" ht="18" customHeight="1" hidden="1">
      <c r="A190" s="372" t="s">
        <v>693</v>
      </c>
      <c r="B190" s="275" t="s">
        <v>694</v>
      </c>
      <c r="C190" s="284"/>
      <c r="D190" s="371">
        <f>D191</f>
        <v>0</v>
      </c>
      <c r="E190" s="335"/>
    </row>
    <row r="191" spans="1:5" ht="27" customHeight="1" hidden="1">
      <c r="A191" s="343" t="s">
        <v>516</v>
      </c>
      <c r="B191" s="275" t="s">
        <v>694</v>
      </c>
      <c r="C191" s="284" t="s">
        <v>517</v>
      </c>
      <c r="D191" s="371"/>
      <c r="E191" s="335"/>
    </row>
    <row r="192" spans="1:5" ht="18.75" customHeight="1">
      <c r="A192" s="372" t="s">
        <v>695</v>
      </c>
      <c r="B192" s="275" t="s">
        <v>696</v>
      </c>
      <c r="C192" s="284"/>
      <c r="D192" s="371">
        <f>D193</f>
        <v>500000</v>
      </c>
      <c r="E192" s="335"/>
    </row>
    <row r="193" spans="1:5" ht="25.5" customHeight="1">
      <c r="A193" s="343" t="s">
        <v>516</v>
      </c>
      <c r="B193" s="275" t="s">
        <v>696</v>
      </c>
      <c r="C193" s="284" t="s">
        <v>517</v>
      </c>
      <c r="D193" s="371">
        <f>200000+320000+540000-560000</f>
        <v>500000</v>
      </c>
      <c r="E193" s="335"/>
    </row>
    <row r="194" spans="1:5" ht="42.75" customHeight="1" hidden="1">
      <c r="A194" s="399" t="s">
        <v>697</v>
      </c>
      <c r="B194" s="298" t="s">
        <v>698</v>
      </c>
      <c r="C194" s="284"/>
      <c r="D194" s="347">
        <f>D195</f>
        <v>0</v>
      </c>
      <c r="E194" s="335"/>
    </row>
    <row r="195" spans="1:5" s="308" customFormat="1" ht="67.5" customHeight="1" hidden="1">
      <c r="A195" s="386" t="s">
        <v>699</v>
      </c>
      <c r="B195" s="298" t="s">
        <v>700</v>
      </c>
      <c r="C195" s="284"/>
      <c r="D195" s="347">
        <f>D197</f>
        <v>0</v>
      </c>
      <c r="E195" s="336"/>
    </row>
    <row r="196" spans="1:5" s="308" customFormat="1" ht="31.5" customHeight="1" hidden="1">
      <c r="A196" s="373" t="s">
        <v>701</v>
      </c>
      <c r="B196" s="298" t="s">
        <v>702</v>
      </c>
      <c r="C196" s="284"/>
      <c r="D196" s="347">
        <f>D197</f>
        <v>0</v>
      </c>
      <c r="E196" s="336"/>
    </row>
    <row r="197" spans="1:5" ht="15" hidden="1">
      <c r="A197" s="367" t="s">
        <v>703</v>
      </c>
      <c r="B197" s="298" t="s">
        <v>704</v>
      </c>
      <c r="C197" s="284"/>
      <c r="D197" s="347">
        <f>D198</f>
        <v>0</v>
      </c>
      <c r="E197" s="335"/>
    </row>
    <row r="198" spans="1:5" ht="27" hidden="1">
      <c r="A198" s="343" t="s">
        <v>516</v>
      </c>
      <c r="B198" s="298" t="s">
        <v>704</v>
      </c>
      <c r="C198" s="284" t="s">
        <v>517</v>
      </c>
      <c r="D198" s="347"/>
      <c r="E198" s="335"/>
    </row>
    <row r="199" spans="1:5" ht="39">
      <c r="A199" s="367" t="s">
        <v>705</v>
      </c>
      <c r="B199" s="298" t="s">
        <v>706</v>
      </c>
      <c r="C199" s="303"/>
      <c r="D199" s="510">
        <f>D200</f>
        <v>13904751</v>
      </c>
      <c r="E199" s="335"/>
    </row>
    <row r="200" spans="1:5" s="308" customFormat="1" ht="52.5">
      <c r="A200" s="402" t="s">
        <v>707</v>
      </c>
      <c r="B200" s="289" t="s">
        <v>708</v>
      </c>
      <c r="C200" s="303"/>
      <c r="D200" s="510">
        <f>D201</f>
        <v>13904751</v>
      </c>
      <c r="E200" s="336"/>
    </row>
    <row r="201" spans="1:5" ht="26.25">
      <c r="A201" s="373" t="s">
        <v>709</v>
      </c>
      <c r="B201" s="289" t="s">
        <v>710</v>
      </c>
      <c r="C201" s="303"/>
      <c r="D201" s="510">
        <f>D202+D204+D207</f>
        <v>13904751</v>
      </c>
      <c r="E201" s="335"/>
    </row>
    <row r="202" spans="1:5" ht="39">
      <c r="A202" s="332" t="s">
        <v>1199</v>
      </c>
      <c r="B202" s="289" t="s">
        <v>1200</v>
      </c>
      <c r="C202" s="303"/>
      <c r="D202" s="510">
        <f>D203</f>
        <v>13131613</v>
      </c>
      <c r="E202" s="335"/>
    </row>
    <row r="203" spans="1:5" ht="13.5">
      <c r="A203" s="401" t="s">
        <v>713</v>
      </c>
      <c r="B203" s="289" t="s">
        <v>1200</v>
      </c>
      <c r="C203" s="303" t="s">
        <v>714</v>
      </c>
      <c r="D203" s="510">
        <f>13131613</f>
        <v>13131613</v>
      </c>
      <c r="E203" s="335"/>
    </row>
    <row r="204" spans="1:5" ht="39">
      <c r="A204" s="332" t="s">
        <v>719</v>
      </c>
      <c r="B204" s="289" t="s">
        <v>720</v>
      </c>
      <c r="C204" s="303"/>
      <c r="D204" s="510">
        <f>D205</f>
        <v>691138</v>
      </c>
      <c r="E204" s="335"/>
    </row>
    <row r="205" spans="1:5" ht="13.5">
      <c r="A205" s="401" t="s">
        <v>713</v>
      </c>
      <c r="B205" s="289" t="s">
        <v>720</v>
      </c>
      <c r="C205" s="303" t="s">
        <v>714</v>
      </c>
      <c r="D205" s="371">
        <f>970000-278862</f>
        <v>691138</v>
      </c>
      <c r="E205" s="335"/>
    </row>
    <row r="206" spans="1:5" ht="26.25">
      <c r="A206" s="332" t="s">
        <v>1201</v>
      </c>
      <c r="B206" s="289" t="s">
        <v>1202</v>
      </c>
      <c r="C206" s="303"/>
      <c r="D206" s="371"/>
      <c r="E206" s="335"/>
    </row>
    <row r="207" spans="1:5" ht="13.5">
      <c r="A207" s="401" t="s">
        <v>713</v>
      </c>
      <c r="B207" s="289" t="s">
        <v>1202</v>
      </c>
      <c r="C207" s="303" t="s">
        <v>714</v>
      </c>
      <c r="D207" s="371">
        <f>82000</f>
        <v>82000</v>
      </c>
      <c r="E207" s="335"/>
    </row>
    <row r="208" spans="1:5" ht="42" customHeight="1">
      <c r="A208" s="402" t="s">
        <v>721</v>
      </c>
      <c r="B208" s="319" t="s">
        <v>722</v>
      </c>
      <c r="C208" s="284"/>
      <c r="D208" s="347">
        <f>D220+D209</f>
        <v>6110227</v>
      </c>
      <c r="E208" s="335"/>
    </row>
    <row r="209" spans="1:5" s="308" customFormat="1" ht="66" hidden="1">
      <c r="A209" s="511" t="s">
        <v>723</v>
      </c>
      <c r="B209" s="289" t="s">
        <v>724</v>
      </c>
      <c r="C209" s="303"/>
      <c r="D209" s="347">
        <f>D210+D213</f>
        <v>0</v>
      </c>
      <c r="E209" s="336"/>
    </row>
    <row r="210" spans="1:5" ht="26.25" hidden="1">
      <c r="A210" s="373" t="s">
        <v>725</v>
      </c>
      <c r="B210" s="298" t="s">
        <v>726</v>
      </c>
      <c r="C210" s="303"/>
      <c r="D210" s="347">
        <f>D212</f>
        <v>0</v>
      </c>
      <c r="E210" s="335"/>
    </row>
    <row r="211" spans="1:5" ht="15" hidden="1">
      <c r="A211" s="401" t="s">
        <v>727</v>
      </c>
      <c r="B211" s="289" t="s">
        <v>728</v>
      </c>
      <c r="C211" s="303"/>
      <c r="D211" s="347">
        <f>D212</f>
        <v>0</v>
      </c>
      <c r="E211" s="335"/>
    </row>
    <row r="212" spans="1:5" ht="15" hidden="1">
      <c r="A212" s="401" t="s">
        <v>713</v>
      </c>
      <c r="B212" s="289" t="s">
        <v>728</v>
      </c>
      <c r="C212" s="303" t="s">
        <v>714</v>
      </c>
      <c r="D212" s="347"/>
      <c r="E212" s="335"/>
    </row>
    <row r="213" spans="1:5" ht="27" hidden="1">
      <c r="A213" s="370" t="s">
        <v>729</v>
      </c>
      <c r="B213" s="298" t="s">
        <v>730</v>
      </c>
      <c r="C213" s="303"/>
      <c r="D213" s="347">
        <f>D214</f>
        <v>0</v>
      </c>
      <c r="E213" s="335"/>
    </row>
    <row r="214" spans="1:5" ht="15" hidden="1">
      <c r="A214" s="372" t="s">
        <v>731</v>
      </c>
      <c r="B214" s="289" t="s">
        <v>732</v>
      </c>
      <c r="C214" s="303"/>
      <c r="D214" s="347">
        <f>D215</f>
        <v>0</v>
      </c>
      <c r="E214" s="335"/>
    </row>
    <row r="215" spans="1:5" ht="15" hidden="1">
      <c r="A215" s="401" t="s">
        <v>713</v>
      </c>
      <c r="B215" s="289" t="s">
        <v>732</v>
      </c>
      <c r="C215" s="303" t="s">
        <v>714</v>
      </c>
      <c r="D215" s="347"/>
      <c r="E215" s="335"/>
    </row>
    <row r="216" spans="1:5" ht="15" hidden="1">
      <c r="A216" s="401" t="s">
        <v>727</v>
      </c>
      <c r="B216" s="289" t="s">
        <v>733</v>
      </c>
      <c r="C216" s="303"/>
      <c r="D216" s="347">
        <f>D217</f>
        <v>0</v>
      </c>
      <c r="E216" s="335"/>
    </row>
    <row r="217" spans="1:5" ht="15" hidden="1">
      <c r="A217" s="401" t="s">
        <v>713</v>
      </c>
      <c r="B217" s="289" t="s">
        <v>733</v>
      </c>
      <c r="C217" s="303" t="s">
        <v>714</v>
      </c>
      <c r="D217" s="347"/>
      <c r="E217" s="335"/>
    </row>
    <row r="218" spans="1:5" ht="15" hidden="1">
      <c r="A218" s="401" t="s">
        <v>734</v>
      </c>
      <c r="B218" s="289" t="s">
        <v>735</v>
      </c>
      <c r="C218" s="303"/>
      <c r="D218" s="347">
        <f>D219</f>
        <v>0</v>
      </c>
      <c r="E218" s="335"/>
    </row>
    <row r="219" spans="1:5" ht="15" hidden="1">
      <c r="A219" s="401" t="s">
        <v>713</v>
      </c>
      <c r="B219" s="289" t="s">
        <v>735</v>
      </c>
      <c r="C219" s="303" t="s">
        <v>714</v>
      </c>
      <c r="D219" s="347"/>
      <c r="E219" s="335"/>
    </row>
    <row r="220" spans="1:5" s="308" customFormat="1" ht="52.5">
      <c r="A220" s="386" t="s">
        <v>736</v>
      </c>
      <c r="B220" s="319" t="s">
        <v>737</v>
      </c>
      <c r="C220" s="284"/>
      <c r="D220" s="347">
        <f>D221+D226+D235+D229</f>
        <v>6110227</v>
      </c>
      <c r="E220" s="336"/>
    </row>
    <row r="221" spans="1:5" s="308" customFormat="1" ht="33.75" customHeight="1">
      <c r="A221" s="373" t="s">
        <v>745</v>
      </c>
      <c r="B221" s="298" t="s">
        <v>746</v>
      </c>
      <c r="C221" s="303"/>
      <c r="D221" s="347">
        <f>D222+D224</f>
        <v>2185800</v>
      </c>
      <c r="E221" s="336"/>
    </row>
    <row r="222" spans="1:5" s="308" customFormat="1" ht="24">
      <c r="A222" s="474" t="s">
        <v>747</v>
      </c>
      <c r="B222" s="298" t="s">
        <v>748</v>
      </c>
      <c r="C222" s="303"/>
      <c r="D222" s="347">
        <f>D223</f>
        <v>1748640</v>
      </c>
      <c r="E222" s="336"/>
    </row>
    <row r="223" spans="1:5" s="308" customFormat="1" ht="27">
      <c r="A223" s="396" t="s">
        <v>751</v>
      </c>
      <c r="B223" s="298" t="s">
        <v>748</v>
      </c>
      <c r="C223" s="303" t="s">
        <v>752</v>
      </c>
      <c r="D223" s="347">
        <f>1748640</f>
        <v>1748640</v>
      </c>
      <c r="E223" s="336"/>
    </row>
    <row r="224" spans="1:5" s="308" customFormat="1" ht="24">
      <c r="A224" s="474" t="s">
        <v>749</v>
      </c>
      <c r="B224" s="298" t="s">
        <v>750</v>
      </c>
      <c r="C224" s="303"/>
      <c r="D224" s="347">
        <f>D225</f>
        <v>437160</v>
      </c>
      <c r="E224" s="336"/>
    </row>
    <row r="225" spans="1:5" s="308" customFormat="1" ht="27">
      <c r="A225" s="343" t="s">
        <v>751</v>
      </c>
      <c r="B225" s="298" t="s">
        <v>750</v>
      </c>
      <c r="C225" s="303" t="s">
        <v>752</v>
      </c>
      <c r="D225" s="347">
        <f>460000-22840</f>
        <v>437160</v>
      </c>
      <c r="E225" s="336"/>
    </row>
    <row r="226" spans="1:5" s="308" customFormat="1" ht="30.75" customHeight="1">
      <c r="A226" s="373" t="s">
        <v>753</v>
      </c>
      <c r="B226" s="298" t="s">
        <v>754</v>
      </c>
      <c r="C226" s="303"/>
      <c r="D226" s="510">
        <f>D227</f>
        <v>2000000</v>
      </c>
      <c r="E226" s="336"/>
    </row>
    <row r="227" spans="1:5" s="308" customFormat="1" ht="39">
      <c r="A227" s="372" t="s">
        <v>755</v>
      </c>
      <c r="B227" s="298" t="s">
        <v>756</v>
      </c>
      <c r="C227" s="303"/>
      <c r="D227" s="510">
        <f>D228</f>
        <v>2000000</v>
      </c>
      <c r="E227" s="336"/>
    </row>
    <row r="228" spans="1:5" s="308" customFormat="1" ht="13.5">
      <c r="A228" s="401" t="s">
        <v>713</v>
      </c>
      <c r="B228" s="298" t="s">
        <v>756</v>
      </c>
      <c r="C228" s="303" t="s">
        <v>714</v>
      </c>
      <c r="D228" s="510">
        <f>500000+500000+500000+500000</f>
        <v>2000000</v>
      </c>
      <c r="E228" s="336"/>
    </row>
    <row r="229" spans="1:5" s="308" customFormat="1" ht="0.75" customHeight="1" hidden="1">
      <c r="A229" s="343" t="s">
        <v>757</v>
      </c>
      <c r="B229" s="275" t="s">
        <v>758</v>
      </c>
      <c r="C229" s="303"/>
      <c r="D229" s="371">
        <f>D230+D232</f>
        <v>0</v>
      </c>
      <c r="E229" s="336"/>
    </row>
    <row r="230" spans="1:5" s="308" customFormat="1" ht="26.25" hidden="1">
      <c r="A230" s="343" t="s">
        <v>759</v>
      </c>
      <c r="B230" s="275" t="s">
        <v>760</v>
      </c>
      <c r="C230" s="303"/>
      <c r="D230" s="371">
        <f>D231</f>
        <v>0</v>
      </c>
      <c r="E230" s="336"/>
    </row>
    <row r="231" spans="1:5" s="308" customFormat="1" ht="22.5" customHeight="1" hidden="1">
      <c r="A231" s="401" t="s">
        <v>713</v>
      </c>
      <c r="B231" s="275" t="s">
        <v>760</v>
      </c>
      <c r="C231" s="303" t="s">
        <v>714</v>
      </c>
      <c r="D231" s="371"/>
      <c r="E231" s="336"/>
    </row>
    <row r="232" spans="1:5" s="308" customFormat="1" ht="26.25" hidden="1">
      <c r="A232" s="401" t="s">
        <v>761</v>
      </c>
      <c r="B232" s="275" t="s">
        <v>762</v>
      </c>
      <c r="C232" s="303"/>
      <c r="D232" s="371">
        <f>D234+D233</f>
        <v>0</v>
      </c>
      <c r="E232" s="336"/>
    </row>
    <row r="233" spans="1:5" s="308" customFormat="1" ht="26.25" hidden="1">
      <c r="A233" s="343" t="s">
        <v>516</v>
      </c>
      <c r="B233" s="275" t="s">
        <v>762</v>
      </c>
      <c r="C233" s="303" t="s">
        <v>517</v>
      </c>
      <c r="D233" s="371"/>
      <c r="E233" s="336"/>
    </row>
    <row r="234" spans="1:5" s="308" customFormat="1" ht="26.25" hidden="1">
      <c r="A234" s="401" t="s">
        <v>751</v>
      </c>
      <c r="B234" s="275" t="s">
        <v>762</v>
      </c>
      <c r="C234" s="303" t="s">
        <v>752</v>
      </c>
      <c r="D234" s="371"/>
      <c r="E234" s="336"/>
    </row>
    <row r="235" spans="1:5" s="308" customFormat="1" ht="29.25" customHeight="1">
      <c r="A235" s="373" t="s">
        <v>763</v>
      </c>
      <c r="B235" s="298" t="s">
        <v>764</v>
      </c>
      <c r="C235" s="303"/>
      <c r="D235" s="510">
        <f>D242+D236+D239</f>
        <v>1924427</v>
      </c>
      <c r="E235" s="336"/>
    </row>
    <row r="236" spans="1:5" s="308" customFormat="1" ht="52.5">
      <c r="A236" s="373" t="s">
        <v>765</v>
      </c>
      <c r="B236" s="298" t="s">
        <v>766</v>
      </c>
      <c r="C236" s="303"/>
      <c r="D236" s="510">
        <f>D238+D237</f>
        <v>1017730</v>
      </c>
      <c r="E236" s="336"/>
    </row>
    <row r="237" spans="1:5" s="308" customFormat="1" ht="26.25">
      <c r="A237" s="343" t="s">
        <v>516</v>
      </c>
      <c r="B237" s="298" t="s">
        <v>766</v>
      </c>
      <c r="C237" s="303" t="s">
        <v>517</v>
      </c>
      <c r="D237" s="371">
        <f>58130</f>
        <v>58130</v>
      </c>
      <c r="E237" s="336"/>
    </row>
    <row r="238" spans="1:5" s="308" customFormat="1" ht="13.5">
      <c r="A238" s="401" t="s">
        <v>713</v>
      </c>
      <c r="B238" s="298" t="s">
        <v>766</v>
      </c>
      <c r="C238" s="303" t="s">
        <v>714</v>
      </c>
      <c r="D238" s="371">
        <f>1017730-58130</f>
        <v>959600</v>
      </c>
      <c r="E238" s="336"/>
    </row>
    <row r="239" spans="1:5" s="308" customFormat="1" ht="30" customHeight="1">
      <c r="A239" s="373" t="s">
        <v>767</v>
      </c>
      <c r="B239" s="298" t="s">
        <v>768</v>
      </c>
      <c r="C239" s="303"/>
      <c r="D239" s="510">
        <f>D241+D240</f>
        <v>440322</v>
      </c>
      <c r="E239" s="336"/>
    </row>
    <row r="240" spans="1:5" s="308" customFormat="1" ht="26.25" customHeight="1">
      <c r="A240" s="343" t="s">
        <v>516</v>
      </c>
      <c r="B240" s="298" t="s">
        <v>768</v>
      </c>
      <c r="C240" s="303" t="s">
        <v>517</v>
      </c>
      <c r="D240" s="510">
        <f>29065</f>
        <v>29065</v>
      </c>
      <c r="E240" s="336"/>
    </row>
    <row r="241" spans="1:5" s="308" customFormat="1" ht="23.25" customHeight="1">
      <c r="A241" s="401" t="s">
        <v>713</v>
      </c>
      <c r="B241" s="298" t="s">
        <v>768</v>
      </c>
      <c r="C241" s="303" t="s">
        <v>714</v>
      </c>
      <c r="D241" s="371">
        <f>877632-466375</f>
        <v>411257</v>
      </c>
      <c r="E241" s="336"/>
    </row>
    <row r="242" spans="1:5" s="308" customFormat="1" ht="26.25">
      <c r="A242" s="401" t="s">
        <v>769</v>
      </c>
      <c r="B242" s="298" t="s">
        <v>770</v>
      </c>
      <c r="C242" s="303"/>
      <c r="D242" s="510">
        <f>D243</f>
        <v>466375</v>
      </c>
      <c r="E242" s="336"/>
    </row>
    <row r="243" spans="1:5" s="308" customFormat="1" ht="13.5">
      <c r="A243" s="401" t="s">
        <v>713</v>
      </c>
      <c r="B243" s="298" t="s">
        <v>770</v>
      </c>
      <c r="C243" s="303" t="s">
        <v>714</v>
      </c>
      <c r="D243" s="510">
        <f>466375</f>
        <v>466375</v>
      </c>
      <c r="E243" s="336"/>
    </row>
    <row r="244" spans="1:5" ht="45" customHeight="1">
      <c r="A244" s="373" t="s">
        <v>771</v>
      </c>
      <c r="B244" s="289" t="s">
        <v>772</v>
      </c>
      <c r="C244" s="284"/>
      <c r="D244" s="510">
        <f>D245+D250+D260</f>
        <v>5059653.39</v>
      </c>
      <c r="E244" s="335"/>
    </row>
    <row r="245" spans="1:5" s="308" customFormat="1" ht="63" customHeight="1">
      <c r="A245" s="373" t="s">
        <v>773</v>
      </c>
      <c r="B245" s="289" t="s">
        <v>774</v>
      </c>
      <c r="C245" s="324"/>
      <c r="D245" s="510">
        <f>D246</f>
        <v>105000</v>
      </c>
      <c r="E245" s="336"/>
    </row>
    <row r="246" spans="1:5" ht="45" customHeight="1">
      <c r="A246" s="373" t="s">
        <v>775</v>
      </c>
      <c r="B246" s="289" t="s">
        <v>776</v>
      </c>
      <c r="C246" s="324"/>
      <c r="D246" s="510">
        <f>D247</f>
        <v>105000</v>
      </c>
      <c r="E246" s="335"/>
    </row>
    <row r="247" spans="1:5" ht="15.75" customHeight="1">
      <c r="A247" s="373" t="s">
        <v>777</v>
      </c>
      <c r="B247" s="289" t="s">
        <v>778</v>
      </c>
      <c r="C247" s="324"/>
      <c r="D247" s="510">
        <f>D248+D249</f>
        <v>105000</v>
      </c>
      <c r="E247" s="335"/>
    </row>
    <row r="248" spans="1:5" s="308" customFormat="1" ht="26.25">
      <c r="A248" s="343" t="s">
        <v>516</v>
      </c>
      <c r="B248" s="289" t="s">
        <v>778</v>
      </c>
      <c r="C248" s="324" t="s">
        <v>517</v>
      </c>
      <c r="D248" s="510">
        <f>85000-20000+20000</f>
        <v>85000</v>
      </c>
      <c r="E248" s="336"/>
    </row>
    <row r="249" spans="1:5" s="308" customFormat="1" ht="13.5">
      <c r="A249" s="370" t="s">
        <v>550</v>
      </c>
      <c r="B249" s="289" t="s">
        <v>778</v>
      </c>
      <c r="C249" s="324" t="s">
        <v>551</v>
      </c>
      <c r="D249" s="510">
        <f>20000</f>
        <v>20000</v>
      </c>
      <c r="E249" s="336"/>
    </row>
    <row r="250" spans="1:5" s="308" customFormat="1" ht="68.25" customHeight="1">
      <c r="A250" s="386" t="s">
        <v>779</v>
      </c>
      <c r="B250" s="289" t="s">
        <v>780</v>
      </c>
      <c r="C250" s="284"/>
      <c r="D250" s="510">
        <f>D251+D255</f>
        <v>545440</v>
      </c>
      <c r="E250" s="336"/>
    </row>
    <row r="251" spans="1:5" s="308" customFormat="1" ht="44.25" customHeight="1">
      <c r="A251" s="386" t="s">
        <v>781</v>
      </c>
      <c r="B251" s="289" t="s">
        <v>782</v>
      </c>
      <c r="C251" s="284"/>
      <c r="D251" s="510">
        <f>D252</f>
        <v>150000</v>
      </c>
      <c r="E251" s="336"/>
    </row>
    <row r="252" spans="1:5" ht="39">
      <c r="A252" s="370" t="s">
        <v>783</v>
      </c>
      <c r="B252" s="289" t="s">
        <v>784</v>
      </c>
      <c r="C252" s="284"/>
      <c r="D252" s="510">
        <f>D254+D253</f>
        <v>150000</v>
      </c>
      <c r="E252" s="335"/>
    </row>
    <row r="253" spans="1:5" ht="0.75" customHeight="1" hidden="1">
      <c r="A253" s="343" t="s">
        <v>522</v>
      </c>
      <c r="B253" s="289" t="s">
        <v>784</v>
      </c>
      <c r="C253" s="284" t="s">
        <v>523</v>
      </c>
      <c r="D253" s="510">
        <f>3195-3195</f>
        <v>0</v>
      </c>
      <c r="E253" s="335"/>
    </row>
    <row r="254" spans="1:5" s="308" customFormat="1" ht="25.5" customHeight="1">
      <c r="A254" s="343" t="s">
        <v>516</v>
      </c>
      <c r="B254" s="289" t="s">
        <v>784</v>
      </c>
      <c r="C254" s="284" t="s">
        <v>517</v>
      </c>
      <c r="D254" s="510">
        <f>100000+50000</f>
        <v>150000</v>
      </c>
      <c r="E254" s="336"/>
    </row>
    <row r="255" spans="1:5" s="308" customFormat="1" ht="26.25">
      <c r="A255" s="479" t="s">
        <v>1208</v>
      </c>
      <c r="B255" s="289" t="s">
        <v>1209</v>
      </c>
      <c r="C255" s="284"/>
      <c r="D255" s="510">
        <f>D256</f>
        <v>395440</v>
      </c>
      <c r="E255" s="336"/>
    </row>
    <row r="256" spans="1:5" s="308" customFormat="1" ht="26.25">
      <c r="A256" s="373" t="s">
        <v>520</v>
      </c>
      <c r="B256" s="289" t="s">
        <v>1227</v>
      </c>
      <c r="C256" s="284"/>
      <c r="D256" s="510">
        <f>D257+D258+D259</f>
        <v>395440</v>
      </c>
      <c r="E256" s="336"/>
    </row>
    <row r="257" spans="1:5" ht="39">
      <c r="A257" s="343" t="s">
        <v>522</v>
      </c>
      <c r="B257" s="289" t="s">
        <v>1227</v>
      </c>
      <c r="C257" s="284" t="s">
        <v>523</v>
      </c>
      <c r="D257" s="510">
        <f>92350+27890</f>
        <v>120240</v>
      </c>
      <c r="E257" s="335"/>
    </row>
    <row r="258" spans="1:5" ht="26.25">
      <c r="A258" s="343" t="s">
        <v>516</v>
      </c>
      <c r="B258" s="289" t="s">
        <v>1227</v>
      </c>
      <c r="C258" s="284" t="s">
        <v>517</v>
      </c>
      <c r="D258" s="510">
        <f>115000+160200</f>
        <v>275200</v>
      </c>
      <c r="E258" s="335"/>
    </row>
    <row r="259" spans="1:5" ht="13.5">
      <c r="A259" s="373" t="s">
        <v>524</v>
      </c>
      <c r="B259" s="289" t="s">
        <v>787</v>
      </c>
      <c r="C259" s="284" t="s">
        <v>525</v>
      </c>
      <c r="D259" s="510"/>
      <c r="E259" s="335"/>
    </row>
    <row r="260" spans="1:5" s="308" customFormat="1" ht="58.5" customHeight="1">
      <c r="A260" s="386" t="s">
        <v>788</v>
      </c>
      <c r="B260" s="289" t="s">
        <v>789</v>
      </c>
      <c r="C260" s="324"/>
      <c r="D260" s="510">
        <f>D261+D273+D270</f>
        <v>4409213.39</v>
      </c>
      <c r="E260" s="336"/>
    </row>
    <row r="261" spans="1:5" ht="26.25">
      <c r="A261" s="373" t="s">
        <v>790</v>
      </c>
      <c r="B261" s="289" t="s">
        <v>791</v>
      </c>
      <c r="C261" s="324"/>
      <c r="D261" s="510">
        <f>D262+D265+D268</f>
        <v>1733211</v>
      </c>
      <c r="E261" s="335"/>
    </row>
    <row r="262" spans="1:5" ht="13.5">
      <c r="A262" s="370" t="s">
        <v>792</v>
      </c>
      <c r="B262" s="289" t="s">
        <v>793</v>
      </c>
      <c r="C262" s="284"/>
      <c r="D262" s="510">
        <f>D263+D264</f>
        <v>615795</v>
      </c>
      <c r="E262" s="335"/>
    </row>
    <row r="263" spans="1:5" ht="26.25">
      <c r="A263" s="343" t="s">
        <v>516</v>
      </c>
      <c r="B263" s="289" t="s">
        <v>793</v>
      </c>
      <c r="C263" s="324" t="s">
        <v>517</v>
      </c>
      <c r="D263" s="371">
        <f>237417</f>
        <v>237417</v>
      </c>
      <c r="E263" s="335"/>
    </row>
    <row r="264" spans="1:5" ht="13.5">
      <c r="A264" s="370" t="s">
        <v>550</v>
      </c>
      <c r="B264" s="289" t="s">
        <v>793</v>
      </c>
      <c r="C264" s="324" t="s">
        <v>551</v>
      </c>
      <c r="D264" s="371">
        <f>378378</f>
        <v>378378</v>
      </c>
      <c r="E264" s="335"/>
    </row>
    <row r="265" spans="1:5" ht="18.75" customHeight="1">
      <c r="A265" s="375" t="s">
        <v>794</v>
      </c>
      <c r="B265" s="289" t="s">
        <v>795</v>
      </c>
      <c r="C265" s="284"/>
      <c r="D265" s="510">
        <f>D267+D266</f>
        <v>1102863</v>
      </c>
      <c r="E265" s="335"/>
    </row>
    <row r="266" spans="1:5" ht="29.25" customHeight="1">
      <c r="A266" s="343" t="s">
        <v>516</v>
      </c>
      <c r="B266" s="289" t="s">
        <v>795</v>
      </c>
      <c r="C266" s="324" t="s">
        <v>517</v>
      </c>
      <c r="D266" s="371">
        <v>520743</v>
      </c>
      <c r="E266" s="335"/>
    </row>
    <row r="267" spans="1:5" ht="21" customHeight="1">
      <c r="A267" s="370" t="s">
        <v>550</v>
      </c>
      <c r="B267" s="289" t="s">
        <v>795</v>
      </c>
      <c r="C267" s="324" t="s">
        <v>551</v>
      </c>
      <c r="D267" s="371">
        <f>618000-20412-15468</f>
        <v>582120</v>
      </c>
      <c r="E267" s="335"/>
    </row>
    <row r="268" spans="1:5" ht="21" customHeight="1">
      <c r="A268" s="375" t="s">
        <v>798</v>
      </c>
      <c r="B268" s="289" t="s">
        <v>1207</v>
      </c>
      <c r="C268" s="284"/>
      <c r="D268" s="371">
        <f>D269</f>
        <v>14553</v>
      </c>
      <c r="E268" s="335"/>
    </row>
    <row r="269" spans="1:5" ht="21" customHeight="1">
      <c r="A269" s="370" t="s">
        <v>550</v>
      </c>
      <c r="B269" s="289" t="s">
        <v>1207</v>
      </c>
      <c r="C269" s="324" t="s">
        <v>551</v>
      </c>
      <c r="D269" s="371">
        <f>14553</f>
        <v>14553</v>
      </c>
      <c r="E269" s="335"/>
    </row>
    <row r="270" spans="1:5" ht="15.75" customHeight="1">
      <c r="A270" s="373" t="s">
        <v>796</v>
      </c>
      <c r="B270" s="289" t="s">
        <v>797</v>
      </c>
      <c r="C270" s="324"/>
      <c r="D270" s="510">
        <f>D271</f>
        <v>36000</v>
      </c>
      <c r="E270" s="335"/>
    </row>
    <row r="271" spans="1:5" ht="15" customHeight="1">
      <c r="A271" s="343" t="s">
        <v>798</v>
      </c>
      <c r="B271" s="289" t="s">
        <v>799</v>
      </c>
      <c r="C271" s="324"/>
      <c r="D271" s="510">
        <f>D272</f>
        <v>36000</v>
      </c>
      <c r="E271" s="335"/>
    </row>
    <row r="272" spans="1:5" ht="22.5" customHeight="1">
      <c r="A272" s="473" t="s">
        <v>516</v>
      </c>
      <c r="B272" s="289" t="s">
        <v>799</v>
      </c>
      <c r="C272" s="324" t="s">
        <v>517</v>
      </c>
      <c r="D272" s="510">
        <v>36000</v>
      </c>
      <c r="E272" s="335"/>
    </row>
    <row r="273" spans="1:5" ht="39.75" customHeight="1">
      <c r="A273" s="373" t="s">
        <v>800</v>
      </c>
      <c r="B273" s="289" t="s">
        <v>801</v>
      </c>
      <c r="C273" s="324"/>
      <c r="D273" s="510">
        <f>D274</f>
        <v>2640002.3899999997</v>
      </c>
      <c r="E273" s="335"/>
    </row>
    <row r="274" spans="1:5" ht="24" customHeight="1">
      <c r="A274" s="372" t="s">
        <v>520</v>
      </c>
      <c r="B274" s="289" t="s">
        <v>802</v>
      </c>
      <c r="C274" s="324"/>
      <c r="D274" s="510">
        <f>D275+D276+D277</f>
        <v>2640002.3899999997</v>
      </c>
      <c r="E274" s="335"/>
    </row>
    <row r="275" spans="1:5" ht="30.75" customHeight="1">
      <c r="A275" s="370" t="s">
        <v>803</v>
      </c>
      <c r="B275" s="289" t="s">
        <v>802</v>
      </c>
      <c r="C275" s="284" t="s">
        <v>523</v>
      </c>
      <c r="D275" s="371">
        <v>616000</v>
      </c>
      <c r="E275" s="335"/>
    </row>
    <row r="276" spans="1:5" ht="27" customHeight="1">
      <c r="A276" s="343" t="s">
        <v>516</v>
      </c>
      <c r="B276" s="289" t="s">
        <v>802</v>
      </c>
      <c r="C276" s="324" t="s">
        <v>517</v>
      </c>
      <c r="D276" s="371">
        <f>1364002.39+40000+200000+350000</f>
        <v>1954002.39</v>
      </c>
      <c r="E276" s="335"/>
    </row>
    <row r="277" spans="1:5" ht="18.75" customHeight="1">
      <c r="A277" s="373" t="s">
        <v>524</v>
      </c>
      <c r="B277" s="289" t="s">
        <v>802</v>
      </c>
      <c r="C277" s="324" t="s">
        <v>525</v>
      </c>
      <c r="D277" s="371">
        <v>70000</v>
      </c>
      <c r="E277" s="335"/>
    </row>
    <row r="278" spans="1:5" ht="43.5" customHeight="1">
      <c r="A278" s="385" t="s">
        <v>804</v>
      </c>
      <c r="B278" s="275" t="s">
        <v>805</v>
      </c>
      <c r="C278" s="303"/>
      <c r="D278" s="371">
        <f>D279</f>
        <v>1905973</v>
      </c>
      <c r="E278" s="335"/>
    </row>
    <row r="279" spans="1:5" s="308" customFormat="1" ht="57.75" customHeight="1">
      <c r="A279" s="386" t="s">
        <v>806</v>
      </c>
      <c r="B279" s="275" t="s">
        <v>807</v>
      </c>
      <c r="C279" s="303"/>
      <c r="D279" s="371">
        <f>D280</f>
        <v>1905973</v>
      </c>
      <c r="E279" s="336"/>
    </row>
    <row r="280" spans="1:5" s="308" customFormat="1" ht="27" customHeight="1">
      <c r="A280" s="386" t="s">
        <v>808</v>
      </c>
      <c r="B280" s="275" t="s">
        <v>809</v>
      </c>
      <c r="C280" s="303"/>
      <c r="D280" s="371">
        <f>D281</f>
        <v>1905973</v>
      </c>
      <c r="E280" s="336"/>
    </row>
    <row r="281" spans="1:5" ht="18" customHeight="1">
      <c r="A281" s="386" t="s">
        <v>810</v>
      </c>
      <c r="B281" s="275" t="s">
        <v>811</v>
      </c>
      <c r="C281" s="303"/>
      <c r="D281" s="371">
        <f>D283+D282</f>
        <v>1905973</v>
      </c>
      <c r="E281" s="335"/>
    </row>
    <row r="282" spans="1:5" ht="30.75" customHeight="1">
      <c r="A282" s="370" t="s">
        <v>803</v>
      </c>
      <c r="B282" s="275" t="s">
        <v>811</v>
      </c>
      <c r="C282" s="303" t="s">
        <v>523</v>
      </c>
      <c r="D282" s="371">
        <f>40000</f>
        <v>40000</v>
      </c>
      <c r="E282" s="335"/>
    </row>
    <row r="283" spans="1:5" ht="27" customHeight="1">
      <c r="A283" s="343" t="s">
        <v>516</v>
      </c>
      <c r="B283" s="275" t="s">
        <v>811</v>
      </c>
      <c r="C283" s="284" t="s">
        <v>517</v>
      </c>
      <c r="D283" s="371">
        <f>657100+30000+270000+37422+49551+13500+627400+100000-504000+585000</f>
        <v>1865973</v>
      </c>
      <c r="E283" s="335"/>
    </row>
    <row r="284" spans="1:5" ht="33" customHeight="1">
      <c r="A284" s="367" t="s">
        <v>812</v>
      </c>
      <c r="B284" s="302" t="s">
        <v>813</v>
      </c>
      <c r="C284" s="284"/>
      <c r="D284" s="510">
        <f>D285</f>
        <v>409014</v>
      </c>
      <c r="E284" s="335"/>
    </row>
    <row r="285" spans="1:5" s="308" customFormat="1" ht="60" customHeight="1">
      <c r="A285" s="376" t="s">
        <v>814</v>
      </c>
      <c r="B285" s="302" t="s">
        <v>815</v>
      </c>
      <c r="C285" s="284"/>
      <c r="D285" s="510">
        <f>D286</f>
        <v>409014</v>
      </c>
      <c r="E285" s="336"/>
    </row>
    <row r="286" spans="1:5" s="308" customFormat="1" ht="29.25" customHeight="1">
      <c r="A286" s="373" t="s">
        <v>816</v>
      </c>
      <c r="B286" s="302" t="s">
        <v>817</v>
      </c>
      <c r="C286" s="284"/>
      <c r="D286" s="510">
        <f>D287+D290</f>
        <v>409014</v>
      </c>
      <c r="E286" s="336"/>
    </row>
    <row r="287" spans="1:5" ht="28.5" customHeight="1">
      <c r="A287" s="375" t="s">
        <v>818</v>
      </c>
      <c r="B287" s="302" t="s">
        <v>819</v>
      </c>
      <c r="C287" s="284"/>
      <c r="D287" s="510">
        <f>D288+D289</f>
        <v>329014</v>
      </c>
      <c r="E287" s="335"/>
    </row>
    <row r="288" spans="1:5" ht="42.75" customHeight="1">
      <c r="A288" s="343" t="s">
        <v>522</v>
      </c>
      <c r="B288" s="302" t="s">
        <v>819</v>
      </c>
      <c r="C288" s="303" t="s">
        <v>523</v>
      </c>
      <c r="D288" s="371">
        <v>295773</v>
      </c>
      <c r="E288" s="335"/>
    </row>
    <row r="289" spans="1:5" ht="26.25">
      <c r="A289" s="343" t="s">
        <v>516</v>
      </c>
      <c r="B289" s="302" t="s">
        <v>819</v>
      </c>
      <c r="C289" s="303" t="s">
        <v>517</v>
      </c>
      <c r="D289" s="371">
        <v>33241</v>
      </c>
      <c r="E289" s="335"/>
    </row>
    <row r="290" spans="1:5" ht="13.5">
      <c r="A290" s="343" t="s">
        <v>820</v>
      </c>
      <c r="B290" s="302" t="s">
        <v>821</v>
      </c>
      <c r="C290" s="284"/>
      <c r="D290" s="371">
        <f>D291</f>
        <v>80000</v>
      </c>
      <c r="E290" s="335"/>
    </row>
    <row r="291" spans="1:5" ht="26.25">
      <c r="A291" s="343" t="s">
        <v>516</v>
      </c>
      <c r="B291" s="302" t="s">
        <v>821</v>
      </c>
      <c r="C291" s="303" t="s">
        <v>517</v>
      </c>
      <c r="D291" s="371">
        <f>80000</f>
        <v>80000</v>
      </c>
      <c r="E291" s="335"/>
    </row>
    <row r="292" spans="1:5" ht="44.25" customHeight="1">
      <c r="A292" s="394" t="s">
        <v>822</v>
      </c>
      <c r="B292" s="289" t="s">
        <v>823</v>
      </c>
      <c r="C292" s="284"/>
      <c r="D292" s="371">
        <f>D293+D308+D313</f>
        <v>18057899.55</v>
      </c>
      <c r="E292" s="335"/>
    </row>
    <row r="293" spans="1:5" s="308" customFormat="1" ht="52.5">
      <c r="A293" s="386" t="s">
        <v>824</v>
      </c>
      <c r="B293" s="289" t="s">
        <v>825</v>
      </c>
      <c r="C293" s="284"/>
      <c r="D293" s="371">
        <f>D294+D297</f>
        <v>15737299.55</v>
      </c>
      <c r="E293" s="336"/>
    </row>
    <row r="294" spans="1:4" s="308" customFormat="1" ht="26.25">
      <c r="A294" s="373" t="s">
        <v>826</v>
      </c>
      <c r="B294" s="289" t="s">
        <v>827</v>
      </c>
      <c r="C294" s="284"/>
      <c r="D294" s="371">
        <f>D295</f>
        <v>2107961.18</v>
      </c>
    </row>
    <row r="295" spans="1:4" ht="26.25">
      <c r="A295" s="343" t="s">
        <v>828</v>
      </c>
      <c r="B295" s="289" t="s">
        <v>829</v>
      </c>
      <c r="C295" s="284"/>
      <c r="D295" s="371">
        <f>D296</f>
        <v>2107961.18</v>
      </c>
    </row>
    <row r="296" spans="1:4" ht="18" customHeight="1">
      <c r="A296" s="343" t="s">
        <v>554</v>
      </c>
      <c r="B296" s="289" t="s">
        <v>829</v>
      </c>
      <c r="C296" s="284" t="s">
        <v>517</v>
      </c>
      <c r="D296" s="371">
        <f>200000+1263489.55+644471.63</f>
        <v>2107961.18</v>
      </c>
    </row>
    <row r="297" spans="1:4" ht="26.25">
      <c r="A297" s="373" t="s">
        <v>832</v>
      </c>
      <c r="B297" s="289" t="s">
        <v>833</v>
      </c>
      <c r="C297" s="284"/>
      <c r="D297" s="371">
        <f>D298+D304+D306+D302+D300</f>
        <v>13629338.370000001</v>
      </c>
    </row>
    <row r="298" spans="1:4" s="308" customFormat="1" ht="13.5">
      <c r="A298" s="343" t="s">
        <v>834</v>
      </c>
      <c r="B298" s="289" t="s">
        <v>835</v>
      </c>
      <c r="C298" s="284"/>
      <c r="D298" s="371">
        <f>D299</f>
        <v>1800000</v>
      </c>
    </row>
    <row r="299" spans="1:4" ht="22.5" customHeight="1">
      <c r="A299" s="396" t="s">
        <v>751</v>
      </c>
      <c r="B299" s="289" t="s">
        <v>835</v>
      </c>
      <c r="C299" s="284" t="s">
        <v>752</v>
      </c>
      <c r="D299" s="371">
        <f>1800000</f>
        <v>1800000</v>
      </c>
    </row>
    <row r="300" spans="1:4" ht="33" customHeight="1">
      <c r="A300" s="373" t="s">
        <v>1185</v>
      </c>
      <c r="B300" s="289" t="s">
        <v>1186</v>
      </c>
      <c r="C300" s="284"/>
      <c r="D300" s="371">
        <f>D301</f>
        <v>9060810</v>
      </c>
    </row>
    <row r="301" spans="1:4" ht="37.5" customHeight="1">
      <c r="A301" s="470" t="s">
        <v>751</v>
      </c>
      <c r="B301" s="289" t="s">
        <v>1186</v>
      </c>
      <c r="C301" s="284" t="s">
        <v>752</v>
      </c>
      <c r="D301" s="371">
        <v>9060810</v>
      </c>
    </row>
    <row r="302" spans="1:4" ht="45.75" customHeight="1">
      <c r="A302" s="471" t="s">
        <v>1187</v>
      </c>
      <c r="B302" s="289" t="s">
        <v>1188</v>
      </c>
      <c r="C302" s="284"/>
      <c r="D302" s="371">
        <f>D303</f>
        <v>100000</v>
      </c>
    </row>
    <row r="303" spans="1:4" ht="36" customHeight="1">
      <c r="A303" s="470" t="s">
        <v>751</v>
      </c>
      <c r="B303" s="289" t="s">
        <v>1188</v>
      </c>
      <c r="C303" s="284" t="s">
        <v>752</v>
      </c>
      <c r="D303" s="371">
        <f>100000</f>
        <v>100000</v>
      </c>
    </row>
    <row r="304" spans="1:4" ht="29.25" customHeight="1">
      <c r="A304" s="343" t="s">
        <v>1189</v>
      </c>
      <c r="B304" s="289" t="s">
        <v>1190</v>
      </c>
      <c r="C304" s="284"/>
      <c r="D304" s="371">
        <f>D305</f>
        <v>1105528.37</v>
      </c>
    </row>
    <row r="305" spans="1:4" ht="29.25" customHeight="1">
      <c r="A305" s="470" t="s">
        <v>751</v>
      </c>
      <c r="B305" s="289" t="s">
        <v>1190</v>
      </c>
      <c r="C305" s="284" t="s">
        <v>752</v>
      </c>
      <c r="D305" s="371">
        <f>1850000-100000-644471.63</f>
        <v>1105528.37</v>
      </c>
    </row>
    <row r="306" spans="1:4" ht="13.5">
      <c r="A306" s="343" t="s">
        <v>830</v>
      </c>
      <c r="B306" s="289" t="s">
        <v>836</v>
      </c>
      <c r="C306" s="284"/>
      <c r="D306" s="371">
        <f>D307</f>
        <v>1563000</v>
      </c>
    </row>
    <row r="307" spans="1:4" ht="26.25">
      <c r="A307" s="396" t="s">
        <v>751</v>
      </c>
      <c r="B307" s="289" t="s">
        <v>836</v>
      </c>
      <c r="C307" s="284" t="s">
        <v>752</v>
      </c>
      <c r="D307" s="371">
        <f>1435043+127957</f>
        <v>1563000</v>
      </c>
    </row>
    <row r="308" spans="1:4" s="308" customFormat="1" ht="69.75" customHeight="1">
      <c r="A308" s="395" t="s">
        <v>837</v>
      </c>
      <c r="B308" s="289" t="s">
        <v>838</v>
      </c>
      <c r="C308" s="284"/>
      <c r="D308" s="510">
        <f>D309</f>
        <v>1975000</v>
      </c>
    </row>
    <row r="309" spans="1:4" s="308" customFormat="1" ht="30" customHeight="1">
      <c r="A309" s="373" t="s">
        <v>839</v>
      </c>
      <c r="B309" s="289" t="s">
        <v>840</v>
      </c>
      <c r="C309" s="284"/>
      <c r="D309" s="510">
        <f>D310</f>
        <v>1975000</v>
      </c>
    </row>
    <row r="310" spans="1:5" ht="13.5">
      <c r="A310" s="370" t="s">
        <v>841</v>
      </c>
      <c r="B310" s="289" t="s">
        <v>842</v>
      </c>
      <c r="C310" s="284"/>
      <c r="D310" s="510">
        <f>D312+D311</f>
        <v>1975000</v>
      </c>
      <c r="E310" s="335"/>
    </row>
    <row r="311" spans="1:5" ht="13.5">
      <c r="A311" s="343" t="s">
        <v>554</v>
      </c>
      <c r="B311" s="289" t="s">
        <v>842</v>
      </c>
      <c r="C311" s="284" t="s">
        <v>517</v>
      </c>
      <c r="D311" s="510">
        <v>10000</v>
      </c>
      <c r="E311" s="335"/>
    </row>
    <row r="312" spans="1:5" ht="13.5">
      <c r="A312" s="343" t="s">
        <v>524</v>
      </c>
      <c r="B312" s="289" t="s">
        <v>842</v>
      </c>
      <c r="C312" s="284" t="s">
        <v>525</v>
      </c>
      <c r="D312" s="510">
        <f>500000+565000+600000+300000</f>
        <v>1965000</v>
      </c>
      <c r="E312" s="335"/>
    </row>
    <row r="313" spans="1:5" s="308" customFormat="1" ht="66">
      <c r="A313" s="395" t="s">
        <v>843</v>
      </c>
      <c r="B313" s="289" t="s">
        <v>844</v>
      </c>
      <c r="C313" s="284"/>
      <c r="D313" s="510">
        <f>D314+D317</f>
        <v>345600</v>
      </c>
      <c r="E313" s="336"/>
    </row>
    <row r="314" spans="1:4" ht="26.25">
      <c r="A314" s="388" t="s">
        <v>1191</v>
      </c>
      <c r="B314" s="289" t="s">
        <v>1192</v>
      </c>
      <c r="C314" s="284"/>
      <c r="D314" s="510">
        <f>D315</f>
        <v>177800</v>
      </c>
    </row>
    <row r="315" spans="1:4" ht="13.5">
      <c r="A315" s="373" t="s">
        <v>1193</v>
      </c>
      <c r="B315" s="289" t="s">
        <v>1194</v>
      </c>
      <c r="C315" s="284"/>
      <c r="D315" s="510">
        <f>D316</f>
        <v>177800</v>
      </c>
    </row>
    <row r="316" spans="1:4" ht="26.25">
      <c r="A316" s="343" t="s">
        <v>516</v>
      </c>
      <c r="B316" s="289" t="s">
        <v>1194</v>
      </c>
      <c r="C316" s="284" t="s">
        <v>517</v>
      </c>
      <c r="D316" s="510">
        <v>177800</v>
      </c>
    </row>
    <row r="317" spans="1:4" ht="57.75" customHeight="1">
      <c r="A317" s="397" t="s">
        <v>849</v>
      </c>
      <c r="B317" s="289" t="s">
        <v>850</v>
      </c>
      <c r="C317" s="284"/>
      <c r="D317" s="510">
        <f>D318</f>
        <v>167800</v>
      </c>
    </row>
    <row r="318" spans="1:4" ht="31.5" customHeight="1">
      <c r="A318" s="373" t="s">
        <v>847</v>
      </c>
      <c r="B318" s="289" t="s">
        <v>851</v>
      </c>
      <c r="C318" s="284"/>
      <c r="D318" s="510">
        <f>D319</f>
        <v>167800</v>
      </c>
    </row>
    <row r="319" spans="1:4" ht="27.75" customHeight="1">
      <c r="A319" s="343" t="s">
        <v>516</v>
      </c>
      <c r="B319" s="289" t="s">
        <v>851</v>
      </c>
      <c r="C319" s="284" t="s">
        <v>517</v>
      </c>
      <c r="D319" s="371">
        <v>167800</v>
      </c>
    </row>
    <row r="320" spans="1:5" ht="43.5" customHeight="1">
      <c r="A320" s="370" t="s">
        <v>852</v>
      </c>
      <c r="B320" s="302" t="s">
        <v>853</v>
      </c>
      <c r="C320" s="303"/>
      <c r="D320" s="510">
        <f>D327+D321</f>
        <v>662000</v>
      </c>
      <c r="E320" s="306"/>
    </row>
    <row r="321" spans="1:5" ht="80.25" customHeight="1">
      <c r="A321" s="388" t="s">
        <v>854</v>
      </c>
      <c r="B321" s="302" t="s">
        <v>855</v>
      </c>
      <c r="C321" s="284"/>
      <c r="D321" s="371">
        <f>D322</f>
        <v>70000</v>
      </c>
      <c r="E321" s="306"/>
    </row>
    <row r="322" spans="1:5" ht="31.5" customHeight="1">
      <c r="A322" s="376" t="s">
        <v>856</v>
      </c>
      <c r="B322" s="298" t="s">
        <v>857</v>
      </c>
      <c r="C322" s="284"/>
      <c r="D322" s="371">
        <f>D323+D325</f>
        <v>70000</v>
      </c>
      <c r="E322" s="306"/>
    </row>
    <row r="323" spans="1:5" ht="32.25" customHeight="1">
      <c r="A323" s="343" t="s">
        <v>858</v>
      </c>
      <c r="B323" s="298" t="s">
        <v>859</v>
      </c>
      <c r="C323" s="284"/>
      <c r="D323" s="371">
        <f>D324</f>
        <v>30000</v>
      </c>
      <c r="E323" s="306"/>
    </row>
    <row r="324" spans="1:5" ht="28.5" customHeight="1">
      <c r="A324" s="343" t="s">
        <v>516</v>
      </c>
      <c r="B324" s="298" t="s">
        <v>859</v>
      </c>
      <c r="C324" s="284" t="s">
        <v>517</v>
      </c>
      <c r="D324" s="371">
        <v>30000</v>
      </c>
      <c r="E324" s="306"/>
    </row>
    <row r="325" spans="1:5" ht="23.25" customHeight="1">
      <c r="A325" s="343" t="s">
        <v>860</v>
      </c>
      <c r="B325" s="298" t="s">
        <v>861</v>
      </c>
      <c r="C325" s="284"/>
      <c r="D325" s="371">
        <f>D326</f>
        <v>40000</v>
      </c>
      <c r="E325" s="306"/>
    </row>
    <row r="326" spans="1:5" ht="28.5" customHeight="1">
      <c r="A326" s="343" t="s">
        <v>516</v>
      </c>
      <c r="B326" s="298" t="s">
        <v>861</v>
      </c>
      <c r="C326" s="284" t="s">
        <v>517</v>
      </c>
      <c r="D326" s="371">
        <f>40000</f>
        <v>40000</v>
      </c>
      <c r="E326" s="306"/>
    </row>
    <row r="327" spans="1:4" s="308" customFormat="1" ht="59.25" customHeight="1">
      <c r="A327" s="370" t="s">
        <v>862</v>
      </c>
      <c r="B327" s="302" t="s">
        <v>863</v>
      </c>
      <c r="C327" s="303"/>
      <c r="D327" s="510">
        <f>D329+D332</f>
        <v>592000</v>
      </c>
    </row>
    <row r="328" spans="1:4" ht="45.75" customHeight="1">
      <c r="A328" s="376" t="s">
        <v>864</v>
      </c>
      <c r="B328" s="302" t="s">
        <v>865</v>
      </c>
      <c r="C328" s="303"/>
      <c r="D328" s="510">
        <f>D329+D332</f>
        <v>592000</v>
      </c>
    </row>
    <row r="329" spans="1:4" ht="40.5" customHeight="1">
      <c r="A329" s="375" t="s">
        <v>866</v>
      </c>
      <c r="B329" s="275" t="s">
        <v>867</v>
      </c>
      <c r="C329" s="284"/>
      <c r="D329" s="510">
        <f>D330+D331</f>
        <v>296000</v>
      </c>
    </row>
    <row r="330" spans="1:4" ht="43.5" customHeight="1">
      <c r="A330" s="343" t="s">
        <v>522</v>
      </c>
      <c r="B330" s="275" t="s">
        <v>867</v>
      </c>
      <c r="C330" s="303" t="s">
        <v>523</v>
      </c>
      <c r="D330" s="371">
        <v>270240</v>
      </c>
    </row>
    <row r="331" spans="1:4" ht="26.25">
      <c r="A331" s="343" t="s">
        <v>516</v>
      </c>
      <c r="B331" s="275" t="s">
        <v>867</v>
      </c>
      <c r="C331" s="303" t="s">
        <v>517</v>
      </c>
      <c r="D331" s="371">
        <v>25760</v>
      </c>
    </row>
    <row r="332" spans="1:4" ht="33.75" customHeight="1">
      <c r="A332" s="375" t="s">
        <v>868</v>
      </c>
      <c r="B332" s="275" t="s">
        <v>869</v>
      </c>
      <c r="C332" s="284"/>
      <c r="D332" s="510">
        <f>D333+D334</f>
        <v>296000</v>
      </c>
    </row>
    <row r="333" spans="1:4" ht="39">
      <c r="A333" s="343" t="s">
        <v>522</v>
      </c>
      <c r="B333" s="275" t="s">
        <v>869</v>
      </c>
      <c r="C333" s="303" t="s">
        <v>523</v>
      </c>
      <c r="D333" s="371">
        <f>193920+58564+39716+3800</f>
        <v>296000</v>
      </c>
    </row>
    <row r="334" spans="1:4" ht="26.25" hidden="1">
      <c r="A334" s="343" t="s">
        <v>516</v>
      </c>
      <c r="B334" s="275" t="s">
        <v>869</v>
      </c>
      <c r="C334" s="303" t="s">
        <v>517</v>
      </c>
      <c r="D334" s="371">
        <f>39716-39716</f>
        <v>0</v>
      </c>
    </row>
    <row r="335" spans="1:6" ht="59.25" customHeight="1">
      <c r="A335" s="376" t="s">
        <v>870</v>
      </c>
      <c r="B335" s="289" t="s">
        <v>871</v>
      </c>
      <c r="C335" s="303"/>
      <c r="D335" s="510">
        <f>D336</f>
        <v>51000</v>
      </c>
      <c r="E335" s="512"/>
      <c r="F335" s="286"/>
    </row>
    <row r="336" spans="1:6" ht="84.75" customHeight="1">
      <c r="A336" s="383" t="s">
        <v>872</v>
      </c>
      <c r="B336" s="289" t="s">
        <v>873</v>
      </c>
      <c r="C336" s="303"/>
      <c r="D336" s="510">
        <f>D337+D340+D343+D346</f>
        <v>51000</v>
      </c>
      <c r="E336" s="513"/>
      <c r="F336" s="286"/>
    </row>
    <row r="337" spans="1:6" ht="26.25" hidden="1">
      <c r="A337" s="383" t="s">
        <v>874</v>
      </c>
      <c r="B337" s="289" t="s">
        <v>875</v>
      </c>
      <c r="C337" s="303"/>
      <c r="D337" s="510">
        <f>D338</f>
        <v>0</v>
      </c>
      <c r="E337" s="512"/>
      <c r="F337" s="286"/>
    </row>
    <row r="338" spans="1:6" ht="26.25" hidden="1">
      <c r="A338" s="343" t="s">
        <v>876</v>
      </c>
      <c r="B338" s="289" t="s">
        <v>877</v>
      </c>
      <c r="C338" s="303"/>
      <c r="D338" s="510">
        <f>D339</f>
        <v>0</v>
      </c>
      <c r="E338" s="512"/>
      <c r="F338" s="286"/>
    </row>
    <row r="339" spans="1:6" ht="26.25" hidden="1">
      <c r="A339" s="343" t="s">
        <v>516</v>
      </c>
      <c r="B339" s="289" t="s">
        <v>877</v>
      </c>
      <c r="C339" s="303" t="s">
        <v>517</v>
      </c>
      <c r="D339" s="510"/>
      <c r="E339" s="512"/>
      <c r="F339" s="286"/>
    </row>
    <row r="340" spans="1:6" ht="57" customHeight="1">
      <c r="A340" s="383" t="s">
        <v>878</v>
      </c>
      <c r="B340" s="289" t="s">
        <v>879</v>
      </c>
      <c r="C340" s="303"/>
      <c r="D340" s="510">
        <f>D341</f>
        <v>51000</v>
      </c>
      <c r="E340" s="512"/>
      <c r="F340" s="286"/>
    </row>
    <row r="341" spans="1:6" ht="26.25">
      <c r="A341" s="343" t="s">
        <v>876</v>
      </c>
      <c r="B341" s="289" t="s">
        <v>880</v>
      </c>
      <c r="C341" s="303"/>
      <c r="D341" s="510">
        <f>D342</f>
        <v>51000</v>
      </c>
      <c r="E341" s="512"/>
      <c r="F341" s="286"/>
    </row>
    <row r="342" spans="1:5" ht="26.25">
      <c r="A342" s="343" t="s">
        <v>516</v>
      </c>
      <c r="B342" s="289" t="s">
        <v>880</v>
      </c>
      <c r="C342" s="303" t="s">
        <v>517</v>
      </c>
      <c r="D342" s="371">
        <v>51000</v>
      </c>
      <c r="E342" s="512"/>
    </row>
    <row r="343" spans="1:5" ht="39" hidden="1">
      <c r="A343" s="383" t="s">
        <v>881</v>
      </c>
      <c r="B343" s="289" t="s">
        <v>882</v>
      </c>
      <c r="C343" s="303"/>
      <c r="D343" s="510">
        <f>D344</f>
        <v>0</v>
      </c>
      <c r="E343" s="512"/>
    </row>
    <row r="344" spans="1:5" ht="26.25" hidden="1">
      <c r="A344" s="343" t="s">
        <v>876</v>
      </c>
      <c r="B344" s="289" t="s">
        <v>883</v>
      </c>
      <c r="C344" s="303"/>
      <c r="D344" s="510">
        <f>D345</f>
        <v>0</v>
      </c>
      <c r="E344" s="512"/>
    </row>
    <row r="345" spans="1:5" ht="26.25" hidden="1">
      <c r="A345" s="343" t="s">
        <v>516</v>
      </c>
      <c r="B345" s="289" t="s">
        <v>883</v>
      </c>
      <c r="C345" s="303" t="s">
        <v>517</v>
      </c>
      <c r="D345" s="510"/>
      <c r="E345" s="512"/>
    </row>
    <row r="346" spans="1:5" ht="26.25" hidden="1">
      <c r="A346" s="383" t="s">
        <v>884</v>
      </c>
      <c r="B346" s="289" t="s">
        <v>885</v>
      </c>
      <c r="C346" s="303"/>
      <c r="D346" s="510">
        <f>D347</f>
        <v>0</v>
      </c>
      <c r="E346" s="512"/>
    </row>
    <row r="347" spans="1:5" ht="26.25" hidden="1">
      <c r="A347" s="343" t="s">
        <v>876</v>
      </c>
      <c r="B347" s="289" t="s">
        <v>886</v>
      </c>
      <c r="C347" s="303"/>
      <c r="D347" s="510">
        <f>D348</f>
        <v>0</v>
      </c>
      <c r="E347" s="512"/>
    </row>
    <row r="348" spans="1:5" ht="26.25" hidden="1">
      <c r="A348" s="343" t="s">
        <v>516</v>
      </c>
      <c r="B348" s="289" t="s">
        <v>886</v>
      </c>
      <c r="C348" s="303" t="s">
        <v>517</v>
      </c>
      <c r="D348" s="510"/>
      <c r="E348" s="512"/>
    </row>
    <row r="349" spans="1:5" ht="45.75" customHeight="1">
      <c r="A349" s="376" t="s">
        <v>887</v>
      </c>
      <c r="B349" s="298" t="s">
        <v>888</v>
      </c>
      <c r="C349" s="284"/>
      <c r="D349" s="347">
        <f>D350+D354</f>
        <v>7777933.76</v>
      </c>
      <c r="E349" s="306"/>
    </row>
    <row r="350" spans="1:5" s="308" customFormat="1" ht="57" customHeight="1">
      <c r="A350" s="367" t="s">
        <v>889</v>
      </c>
      <c r="B350" s="298" t="s">
        <v>890</v>
      </c>
      <c r="C350" s="284"/>
      <c r="D350" s="347">
        <f>D351</f>
        <v>9602.76</v>
      </c>
      <c r="E350" s="398"/>
    </row>
    <row r="351" spans="1:4" ht="48" customHeight="1">
      <c r="A351" s="367" t="s">
        <v>891</v>
      </c>
      <c r="B351" s="298" t="s">
        <v>892</v>
      </c>
      <c r="C351" s="284"/>
      <c r="D351" s="347">
        <f>D352</f>
        <v>9602.76</v>
      </c>
    </row>
    <row r="352" spans="1:4" ht="19.5" customHeight="1">
      <c r="A352" s="370" t="s">
        <v>893</v>
      </c>
      <c r="B352" s="298" t="s">
        <v>894</v>
      </c>
      <c r="C352" s="284"/>
      <c r="D352" s="347">
        <f>D353</f>
        <v>9602.76</v>
      </c>
    </row>
    <row r="353" spans="1:4" ht="19.5" customHeight="1">
      <c r="A353" s="367" t="s">
        <v>895</v>
      </c>
      <c r="B353" s="298" t="s">
        <v>894</v>
      </c>
      <c r="C353" s="284" t="s">
        <v>896</v>
      </c>
      <c r="D353" s="347">
        <v>9602.76</v>
      </c>
    </row>
    <row r="354" spans="1:4" s="308" customFormat="1" ht="60" customHeight="1">
      <c r="A354" s="367" t="s">
        <v>897</v>
      </c>
      <c r="B354" s="275" t="s">
        <v>898</v>
      </c>
      <c r="C354" s="284"/>
      <c r="D354" s="347">
        <f>D355</f>
        <v>7768331</v>
      </c>
    </row>
    <row r="355" spans="1:4" s="308" customFormat="1" ht="36" customHeight="1">
      <c r="A355" s="376" t="s">
        <v>899</v>
      </c>
      <c r="B355" s="275" t="s">
        <v>900</v>
      </c>
      <c r="C355" s="284"/>
      <c r="D355" s="510">
        <f>D356</f>
        <v>7768331</v>
      </c>
    </row>
    <row r="356" spans="1:4" ht="29.25" customHeight="1">
      <c r="A356" s="375" t="s">
        <v>901</v>
      </c>
      <c r="B356" s="275" t="s">
        <v>902</v>
      </c>
      <c r="C356" s="284"/>
      <c r="D356" s="510">
        <f>D357</f>
        <v>7768331</v>
      </c>
    </row>
    <row r="357" spans="1:4" s="308" customFormat="1" ht="13.5">
      <c r="A357" s="401" t="s">
        <v>713</v>
      </c>
      <c r="B357" s="275" t="s">
        <v>902</v>
      </c>
      <c r="C357" s="303" t="s">
        <v>714</v>
      </c>
      <c r="D357" s="371">
        <v>7768331</v>
      </c>
    </row>
    <row r="358" spans="1:5" ht="26.25">
      <c r="A358" s="386" t="s">
        <v>903</v>
      </c>
      <c r="B358" s="275" t="s">
        <v>904</v>
      </c>
      <c r="C358" s="303"/>
      <c r="D358" s="342">
        <f>D359+D363</f>
        <v>33000</v>
      </c>
      <c r="E358" s="434"/>
    </row>
    <row r="359" spans="1:5" s="308" customFormat="1" ht="54.75" customHeight="1">
      <c r="A359" s="397" t="s">
        <v>905</v>
      </c>
      <c r="B359" s="275" t="s">
        <v>906</v>
      </c>
      <c r="C359" s="303"/>
      <c r="D359" s="510">
        <f>D360</f>
        <v>28000</v>
      </c>
      <c r="E359" s="514"/>
    </row>
    <row r="360" spans="1:5" ht="26.25">
      <c r="A360" s="397" t="s">
        <v>907</v>
      </c>
      <c r="B360" s="275" t="s">
        <v>908</v>
      </c>
      <c r="C360" s="303"/>
      <c r="D360" s="510">
        <f>D361</f>
        <v>28000</v>
      </c>
      <c r="E360" s="515"/>
    </row>
    <row r="361" spans="1:5" ht="28.5">
      <c r="A361" s="372" t="s">
        <v>909</v>
      </c>
      <c r="B361" s="275" t="s">
        <v>910</v>
      </c>
      <c r="C361" s="303"/>
      <c r="D361" s="510">
        <f>D362</f>
        <v>28000</v>
      </c>
      <c r="E361" s="515"/>
    </row>
    <row r="362" spans="1:5" ht="28.5">
      <c r="A362" s="343" t="s">
        <v>516</v>
      </c>
      <c r="B362" s="275" t="s">
        <v>910</v>
      </c>
      <c r="C362" s="303" t="s">
        <v>517</v>
      </c>
      <c r="D362" s="510">
        <v>28000</v>
      </c>
      <c r="E362" s="515"/>
    </row>
    <row r="363" spans="1:5" ht="54.75" customHeight="1">
      <c r="A363" s="376" t="s">
        <v>911</v>
      </c>
      <c r="B363" s="275" t="s">
        <v>912</v>
      </c>
      <c r="C363" s="303"/>
      <c r="D363" s="510">
        <f>D364</f>
        <v>5000</v>
      </c>
      <c r="E363" s="515"/>
    </row>
    <row r="364" spans="1:5" ht="43.5" customHeight="1">
      <c r="A364" s="397" t="s">
        <v>913</v>
      </c>
      <c r="B364" s="275" t="s">
        <v>914</v>
      </c>
      <c r="C364" s="303"/>
      <c r="D364" s="510">
        <f>D365</f>
        <v>5000</v>
      </c>
      <c r="E364" s="515"/>
    </row>
    <row r="365" spans="1:5" ht="31.5" customHeight="1">
      <c r="A365" s="343" t="s">
        <v>915</v>
      </c>
      <c r="B365" s="275" t="s">
        <v>916</v>
      </c>
      <c r="C365" s="303"/>
      <c r="D365" s="510">
        <f>D366</f>
        <v>5000</v>
      </c>
      <c r="E365" s="515"/>
    </row>
    <row r="366" spans="1:5" ht="28.5">
      <c r="A366" s="343" t="s">
        <v>516</v>
      </c>
      <c r="B366" s="275" t="s">
        <v>916</v>
      </c>
      <c r="C366" s="303" t="s">
        <v>517</v>
      </c>
      <c r="D366" s="510">
        <v>5000</v>
      </c>
      <c r="E366" s="515"/>
    </row>
    <row r="367" spans="1:5" ht="46.5" customHeight="1">
      <c r="A367" s="386" t="s">
        <v>917</v>
      </c>
      <c r="B367" s="289" t="s">
        <v>918</v>
      </c>
      <c r="C367" s="303"/>
      <c r="D367" s="510">
        <f>D368</f>
        <v>21784314.94</v>
      </c>
      <c r="E367" s="434"/>
    </row>
    <row r="368" spans="1:5" s="308" customFormat="1" ht="54.75">
      <c r="A368" s="475" t="s">
        <v>919</v>
      </c>
      <c r="B368" s="289" t="s">
        <v>920</v>
      </c>
      <c r="C368" s="303"/>
      <c r="D368" s="510">
        <f>D369+D380</f>
        <v>21784314.94</v>
      </c>
      <c r="E368" s="514"/>
    </row>
    <row r="369" spans="1:5" ht="26.25" customHeight="1">
      <c r="A369" s="401" t="s">
        <v>929</v>
      </c>
      <c r="B369" s="289" t="s">
        <v>930</v>
      </c>
      <c r="C369" s="303"/>
      <c r="D369" s="510">
        <f>D370+D372+D374+D376+D378</f>
        <v>8041989.94</v>
      </c>
      <c r="E369" s="515"/>
    </row>
    <row r="370" spans="1:5" ht="24" customHeight="1">
      <c r="A370" s="332" t="s">
        <v>934</v>
      </c>
      <c r="B370" s="289" t="s">
        <v>935</v>
      </c>
      <c r="C370" s="303"/>
      <c r="D370" s="510">
        <f>D371</f>
        <v>5578897</v>
      </c>
      <c r="E370" s="515"/>
    </row>
    <row r="371" spans="1:5" ht="24.75">
      <c r="A371" s="401" t="s">
        <v>713</v>
      </c>
      <c r="B371" s="289" t="s">
        <v>935</v>
      </c>
      <c r="C371" s="303" t="s">
        <v>714</v>
      </c>
      <c r="D371" s="371">
        <f>1615000-615000-163165+4742062</f>
        <v>5578897</v>
      </c>
      <c r="E371" s="515"/>
    </row>
    <row r="372" spans="1:5" ht="26.25" hidden="1">
      <c r="A372" s="383" t="s">
        <v>1225</v>
      </c>
      <c r="B372" s="289" t="s">
        <v>1203</v>
      </c>
      <c r="C372" s="303"/>
      <c r="D372" s="510">
        <f>D373</f>
        <v>0</v>
      </c>
      <c r="E372" s="515"/>
    </row>
    <row r="373" spans="1:5" ht="24.75" hidden="1">
      <c r="A373" s="401" t="s">
        <v>713</v>
      </c>
      <c r="B373" s="289" t="s">
        <v>1203</v>
      </c>
      <c r="C373" s="303" t="s">
        <v>714</v>
      </c>
      <c r="D373" s="510">
        <f>15000-15000</f>
        <v>0</v>
      </c>
      <c r="E373" s="515"/>
    </row>
    <row r="374" spans="1:5" ht="44.25" customHeight="1">
      <c r="A374" s="372" t="s">
        <v>755</v>
      </c>
      <c r="B374" s="289" t="s">
        <v>936</v>
      </c>
      <c r="C374" s="303"/>
      <c r="D374" s="371">
        <f>D375</f>
        <v>931564.36</v>
      </c>
      <c r="E374" s="515"/>
    </row>
    <row r="375" spans="1:5" ht="24.75">
      <c r="A375" s="401" t="s">
        <v>713</v>
      </c>
      <c r="B375" s="289" t="s">
        <v>936</v>
      </c>
      <c r="C375" s="303" t="s">
        <v>714</v>
      </c>
      <c r="D375" s="371">
        <f>600000+15000+286364.36+30200</f>
        <v>931564.36</v>
      </c>
      <c r="E375" s="515"/>
    </row>
    <row r="376" spans="1:5" ht="39">
      <c r="A376" s="383" t="s">
        <v>1204</v>
      </c>
      <c r="B376" s="289" t="s">
        <v>1205</v>
      </c>
      <c r="C376" s="303"/>
      <c r="D376" s="371">
        <f>D377</f>
        <v>230676.58</v>
      </c>
      <c r="E376" s="515"/>
    </row>
    <row r="377" spans="1:5" ht="24.75">
      <c r="A377" s="401" t="s">
        <v>713</v>
      </c>
      <c r="B377" s="289" t="s">
        <v>1205</v>
      </c>
      <c r="C377" s="303" t="s">
        <v>714</v>
      </c>
      <c r="D377" s="371">
        <f>229729.58+947</f>
        <v>230676.58</v>
      </c>
      <c r="E377" s="515"/>
    </row>
    <row r="378" spans="1:5" ht="24.75">
      <c r="A378" s="474" t="s">
        <v>932</v>
      </c>
      <c r="B378" s="289" t="s">
        <v>1206</v>
      </c>
      <c r="C378" s="303"/>
      <c r="D378" s="371">
        <f>D379</f>
        <v>1300852</v>
      </c>
      <c r="E378" s="515"/>
    </row>
    <row r="379" spans="1:5" ht="24.75">
      <c r="A379" s="401" t="s">
        <v>713</v>
      </c>
      <c r="B379" s="289" t="s">
        <v>1206</v>
      </c>
      <c r="C379" s="303" t="s">
        <v>714</v>
      </c>
      <c r="D379" s="371">
        <f>1300852</f>
        <v>1300852</v>
      </c>
      <c r="E379" s="515"/>
    </row>
    <row r="380" spans="1:5" ht="26.25">
      <c r="A380" s="373" t="s">
        <v>832</v>
      </c>
      <c r="B380" s="453" t="s">
        <v>1196</v>
      </c>
      <c r="C380" s="284"/>
      <c r="D380" s="371">
        <f>D381</f>
        <v>13742325</v>
      </c>
      <c r="E380" s="515"/>
    </row>
    <row r="381" spans="1:5" ht="26.25">
      <c r="A381" s="383" t="s">
        <v>1197</v>
      </c>
      <c r="B381" s="289" t="s">
        <v>1198</v>
      </c>
      <c r="C381" s="284"/>
      <c r="D381" s="371">
        <f>D382</f>
        <v>13742325</v>
      </c>
      <c r="E381" s="515"/>
    </row>
    <row r="382" spans="1:5" ht="27.75" customHeight="1">
      <c r="A382" s="370" t="s">
        <v>751</v>
      </c>
      <c r="B382" s="289" t="s">
        <v>1198</v>
      </c>
      <c r="C382" s="284" t="s">
        <v>752</v>
      </c>
      <c r="D382" s="371">
        <f>1569426+12172899</f>
        <v>13742325</v>
      </c>
      <c r="E382" s="515"/>
    </row>
    <row r="383" spans="1:5" ht="29.25" customHeight="1">
      <c r="A383" s="385" t="s">
        <v>937</v>
      </c>
      <c r="B383" s="275" t="s">
        <v>938</v>
      </c>
      <c r="C383" s="303"/>
      <c r="D383" s="510">
        <f>D384</f>
        <v>15000</v>
      </c>
      <c r="E383" s="434"/>
    </row>
    <row r="384" spans="1:5" ht="45.75" customHeight="1">
      <c r="A384" s="376" t="s">
        <v>939</v>
      </c>
      <c r="B384" s="275" t="s">
        <v>940</v>
      </c>
      <c r="C384" s="303"/>
      <c r="D384" s="510">
        <f>D385</f>
        <v>15000</v>
      </c>
      <c r="E384" s="515"/>
    </row>
    <row r="385" spans="1:5" ht="28.5" customHeight="1">
      <c r="A385" s="383" t="s">
        <v>941</v>
      </c>
      <c r="B385" s="275" t="s">
        <v>942</v>
      </c>
      <c r="C385" s="303"/>
      <c r="D385" s="510">
        <f>D386</f>
        <v>15000</v>
      </c>
      <c r="E385" s="515"/>
    </row>
    <row r="386" spans="1:5" ht="20.25" customHeight="1">
      <c r="A386" s="383" t="s">
        <v>943</v>
      </c>
      <c r="B386" s="275" t="s">
        <v>944</v>
      </c>
      <c r="C386" s="303"/>
      <c r="D386" s="510">
        <f>D387</f>
        <v>15000</v>
      </c>
      <c r="E386" s="515"/>
    </row>
    <row r="387" spans="1:5" ht="30" customHeight="1">
      <c r="A387" s="473" t="s">
        <v>516</v>
      </c>
      <c r="B387" s="275" t="s">
        <v>944</v>
      </c>
      <c r="C387" s="284" t="s">
        <v>517</v>
      </c>
      <c r="D387" s="510">
        <v>15000</v>
      </c>
      <c r="E387" s="515"/>
    </row>
    <row r="388" spans="1:5" ht="41.25" customHeight="1">
      <c r="A388" s="389" t="s">
        <v>945</v>
      </c>
      <c r="B388" s="289" t="s">
        <v>946</v>
      </c>
      <c r="C388" s="284"/>
      <c r="D388" s="371">
        <f>D389+D393</f>
        <v>772500</v>
      </c>
      <c r="E388" s="434"/>
    </row>
    <row r="389" spans="1:5" ht="39" hidden="1">
      <c r="A389" s="383" t="s">
        <v>947</v>
      </c>
      <c r="B389" s="289" t="s">
        <v>948</v>
      </c>
      <c r="C389" s="284"/>
      <c r="D389" s="371">
        <f>D390</f>
        <v>0</v>
      </c>
      <c r="E389" s="515"/>
    </row>
    <row r="390" spans="1:5" ht="24.75" hidden="1">
      <c r="A390" s="383" t="s">
        <v>949</v>
      </c>
      <c r="B390" s="289" t="s">
        <v>950</v>
      </c>
      <c r="C390" s="284"/>
      <c r="D390" s="371">
        <f>D391</f>
        <v>0</v>
      </c>
      <c r="E390" s="515"/>
    </row>
    <row r="391" spans="1:5" ht="28.5" hidden="1">
      <c r="A391" s="343" t="s">
        <v>951</v>
      </c>
      <c r="B391" s="289" t="s">
        <v>952</v>
      </c>
      <c r="C391" s="284"/>
      <c r="D391" s="371">
        <f>D392</f>
        <v>0</v>
      </c>
      <c r="E391" s="515"/>
    </row>
    <row r="392" spans="1:5" ht="26.25" hidden="1">
      <c r="A392" s="343" t="s">
        <v>516</v>
      </c>
      <c r="B392" s="289" t="s">
        <v>952</v>
      </c>
      <c r="C392" s="284" t="s">
        <v>517</v>
      </c>
      <c r="D392" s="371">
        <f>15000-15000</f>
        <v>0</v>
      </c>
      <c r="E392" s="516"/>
    </row>
    <row r="393" spans="1:5" ht="57.75" customHeight="1">
      <c r="A393" s="383" t="s">
        <v>953</v>
      </c>
      <c r="B393" s="289" t="s">
        <v>954</v>
      </c>
      <c r="C393" s="284"/>
      <c r="D393" s="371">
        <f>D394</f>
        <v>772500</v>
      </c>
      <c r="E393" s="515"/>
    </row>
    <row r="394" spans="1:5" ht="19.5" customHeight="1">
      <c r="A394" s="383" t="s">
        <v>955</v>
      </c>
      <c r="B394" s="289" t="s">
        <v>956</v>
      </c>
      <c r="C394" s="284"/>
      <c r="D394" s="371">
        <f>D395</f>
        <v>772500</v>
      </c>
      <c r="E394" s="515"/>
    </row>
    <row r="395" spans="1:5" ht="24.75">
      <c r="A395" s="383" t="s">
        <v>609</v>
      </c>
      <c r="B395" s="289" t="s">
        <v>957</v>
      </c>
      <c r="C395" s="284"/>
      <c r="D395" s="371">
        <f>D396</f>
        <v>772500</v>
      </c>
      <c r="E395" s="515"/>
    </row>
    <row r="396" spans="1:5" ht="26.25">
      <c r="A396" s="343" t="s">
        <v>516</v>
      </c>
      <c r="B396" s="289" t="s">
        <v>957</v>
      </c>
      <c r="C396" s="284" t="s">
        <v>517</v>
      </c>
      <c r="D396" s="371">
        <f>181500+72000+15000+504000</f>
        <v>772500</v>
      </c>
      <c r="E396" s="516"/>
    </row>
    <row r="397" spans="1:5" ht="33" customHeight="1">
      <c r="A397" s="343" t="s">
        <v>958</v>
      </c>
      <c r="B397" s="289" t="s">
        <v>959</v>
      </c>
      <c r="C397" s="324"/>
      <c r="D397" s="510">
        <f>D398</f>
        <v>2746541</v>
      </c>
      <c r="E397" s="434"/>
    </row>
    <row r="398" spans="1:4" s="308" customFormat="1" ht="61.5" customHeight="1">
      <c r="A398" s="343" t="s">
        <v>960</v>
      </c>
      <c r="B398" s="289" t="s">
        <v>961</v>
      </c>
      <c r="C398" s="324"/>
      <c r="D398" s="510">
        <f>D400</f>
        <v>2746541</v>
      </c>
    </row>
    <row r="399" spans="1:4" s="308" customFormat="1" ht="60" customHeight="1">
      <c r="A399" s="392" t="s">
        <v>962</v>
      </c>
      <c r="B399" s="289" t="s">
        <v>963</v>
      </c>
      <c r="C399" s="324"/>
      <c r="D399" s="510">
        <f>D400</f>
        <v>2746541</v>
      </c>
    </row>
    <row r="400" spans="1:4" s="308" customFormat="1" ht="36.75" customHeight="1">
      <c r="A400" s="372" t="s">
        <v>964</v>
      </c>
      <c r="B400" s="289" t="s">
        <v>965</v>
      </c>
      <c r="C400" s="324"/>
      <c r="D400" s="510">
        <f>D401+D402</f>
        <v>2746541</v>
      </c>
    </row>
    <row r="401" spans="1:4" ht="39">
      <c r="A401" s="343" t="s">
        <v>522</v>
      </c>
      <c r="B401" s="289" t="s">
        <v>965</v>
      </c>
      <c r="C401" s="324" t="s">
        <v>523</v>
      </c>
      <c r="D401" s="371">
        <v>936522.44</v>
      </c>
    </row>
    <row r="402" spans="1:4" ht="26.25">
      <c r="A402" s="343" t="s">
        <v>516</v>
      </c>
      <c r="B402" s="289" t="s">
        <v>965</v>
      </c>
      <c r="C402" s="324" t="s">
        <v>517</v>
      </c>
      <c r="D402" s="371">
        <v>1810018.56</v>
      </c>
    </row>
    <row r="403" spans="1:5" ht="15">
      <c r="A403" s="343" t="s">
        <v>966</v>
      </c>
      <c r="B403" s="302" t="s">
        <v>967</v>
      </c>
      <c r="C403" s="284"/>
      <c r="D403" s="347">
        <f>D404</f>
        <v>1552000</v>
      </c>
      <c r="E403" s="306"/>
    </row>
    <row r="404" spans="1:5" s="308" customFormat="1" ht="15">
      <c r="A404" s="370" t="s">
        <v>968</v>
      </c>
      <c r="B404" s="302" t="s">
        <v>969</v>
      </c>
      <c r="C404" s="284"/>
      <c r="D404" s="347">
        <f>D405</f>
        <v>1552000</v>
      </c>
      <c r="E404" s="336"/>
    </row>
    <row r="405" spans="1:5" ht="27">
      <c r="A405" s="372" t="s">
        <v>970</v>
      </c>
      <c r="B405" s="302" t="s">
        <v>971</v>
      </c>
      <c r="C405" s="284"/>
      <c r="D405" s="347">
        <f>D406</f>
        <v>1552000</v>
      </c>
      <c r="E405" s="335"/>
    </row>
    <row r="406" spans="1:5" ht="39">
      <c r="A406" s="343" t="s">
        <v>522</v>
      </c>
      <c r="B406" s="302" t="s">
        <v>971</v>
      </c>
      <c r="C406" s="303" t="s">
        <v>523</v>
      </c>
      <c r="D406" s="371">
        <f>1537000+15000</f>
        <v>1552000</v>
      </c>
      <c r="E406" s="335"/>
    </row>
    <row r="407" spans="1:5" ht="15" customHeight="1">
      <c r="A407" s="343" t="s">
        <v>972</v>
      </c>
      <c r="B407" s="275" t="s">
        <v>973</v>
      </c>
      <c r="C407" s="284"/>
      <c r="D407" s="510">
        <f>D408</f>
        <v>16764085</v>
      </c>
      <c r="E407" s="335"/>
    </row>
    <row r="408" spans="1:5" s="308" customFormat="1" ht="15.75" customHeight="1">
      <c r="A408" s="372" t="s">
        <v>974</v>
      </c>
      <c r="B408" s="275" t="s">
        <v>975</v>
      </c>
      <c r="C408" s="284"/>
      <c r="D408" s="510">
        <f>D412+D409</f>
        <v>16764085</v>
      </c>
      <c r="E408" s="336"/>
    </row>
    <row r="409" spans="1:5" ht="27.75" customHeight="1">
      <c r="A409" s="382" t="s">
        <v>1183</v>
      </c>
      <c r="B409" s="275" t="s">
        <v>1184</v>
      </c>
      <c r="C409" s="324"/>
      <c r="D409" s="371">
        <f>D410+D411</f>
        <v>290000</v>
      </c>
      <c r="E409" s="335"/>
    </row>
    <row r="410" spans="1:5" ht="39">
      <c r="A410" s="343" t="s">
        <v>522</v>
      </c>
      <c r="B410" s="275" t="s">
        <v>1184</v>
      </c>
      <c r="C410" s="324" t="s">
        <v>523</v>
      </c>
      <c r="D410" s="371">
        <f>168970+51030</f>
        <v>220000</v>
      </c>
      <c r="E410" s="335"/>
    </row>
    <row r="411" spans="1:5" ht="26.25">
      <c r="A411" s="343" t="s">
        <v>516</v>
      </c>
      <c r="B411" s="275" t="s">
        <v>1184</v>
      </c>
      <c r="C411" s="324" t="s">
        <v>517</v>
      </c>
      <c r="D411" s="371">
        <f>40000+30000</f>
        <v>70000</v>
      </c>
      <c r="E411" s="335"/>
    </row>
    <row r="412" spans="1:5" ht="27.75" customHeight="1">
      <c r="A412" s="372" t="s">
        <v>970</v>
      </c>
      <c r="B412" s="275" t="s">
        <v>976</v>
      </c>
      <c r="C412" s="284"/>
      <c r="D412" s="510">
        <f>D413+D414+D415</f>
        <v>16474085</v>
      </c>
      <c r="E412" s="335"/>
    </row>
    <row r="413" spans="1:5" ht="39">
      <c r="A413" s="343" t="s">
        <v>522</v>
      </c>
      <c r="B413" s="275" t="s">
        <v>976</v>
      </c>
      <c r="C413" s="303" t="s">
        <v>523</v>
      </c>
      <c r="D413" s="371">
        <f>15918200+187388+172097</f>
        <v>16277685</v>
      </c>
      <c r="E413" s="335"/>
    </row>
    <row r="414" spans="1:5" ht="26.25">
      <c r="A414" s="343" t="s">
        <v>516</v>
      </c>
      <c r="B414" s="275" t="s">
        <v>976</v>
      </c>
      <c r="C414" s="303" t="s">
        <v>517</v>
      </c>
      <c r="D414" s="377">
        <v>58500</v>
      </c>
      <c r="E414" s="335"/>
    </row>
    <row r="415" spans="1:5" ht="13.5">
      <c r="A415" s="373" t="s">
        <v>524</v>
      </c>
      <c r="B415" s="275" t="s">
        <v>976</v>
      </c>
      <c r="C415" s="303" t="s">
        <v>525</v>
      </c>
      <c r="D415" s="371">
        <f>80900+6000+51000</f>
        <v>137900</v>
      </c>
      <c r="E415" s="335"/>
    </row>
    <row r="416" spans="1:5" ht="26.25">
      <c r="A416" s="380" t="s">
        <v>977</v>
      </c>
      <c r="B416" s="298" t="s">
        <v>978</v>
      </c>
      <c r="C416" s="303"/>
      <c r="D416" s="510">
        <f>D417</f>
        <v>559000</v>
      </c>
      <c r="E416" s="335"/>
    </row>
    <row r="417" spans="1:5" s="308" customFormat="1" ht="17.25" customHeight="1">
      <c r="A417" s="380" t="s">
        <v>979</v>
      </c>
      <c r="B417" s="298" t="s">
        <v>980</v>
      </c>
      <c r="C417" s="303"/>
      <c r="D417" s="510">
        <f>D418</f>
        <v>559000</v>
      </c>
      <c r="E417" s="336"/>
    </row>
    <row r="418" spans="1:5" ht="26.25">
      <c r="A418" s="372" t="s">
        <v>970</v>
      </c>
      <c r="B418" s="298" t="s">
        <v>981</v>
      </c>
      <c r="C418" s="284"/>
      <c r="D418" s="510">
        <f>D419+D420+D421</f>
        <v>559000</v>
      </c>
      <c r="E418" s="335"/>
    </row>
    <row r="419" spans="1:5" ht="37.5" customHeight="1">
      <c r="A419" s="343" t="s">
        <v>522</v>
      </c>
      <c r="B419" s="298" t="s">
        <v>981</v>
      </c>
      <c r="C419" s="303" t="s">
        <v>523</v>
      </c>
      <c r="D419" s="371">
        <v>559000</v>
      </c>
      <c r="E419" s="335"/>
    </row>
    <row r="420" spans="1:5" ht="13.5" hidden="1">
      <c r="A420" s="343" t="s">
        <v>554</v>
      </c>
      <c r="B420" s="298" t="s">
        <v>981</v>
      </c>
      <c r="C420" s="303" t="s">
        <v>517</v>
      </c>
      <c r="D420" s="371"/>
      <c r="E420" s="335"/>
    </row>
    <row r="421" spans="1:5" ht="13.5" hidden="1">
      <c r="A421" s="373" t="s">
        <v>524</v>
      </c>
      <c r="B421" s="298" t="s">
        <v>981</v>
      </c>
      <c r="C421" s="303" t="s">
        <v>525</v>
      </c>
      <c r="D421" s="510"/>
      <c r="E421" s="335"/>
    </row>
    <row r="422" spans="1:5" ht="28.5" customHeight="1">
      <c r="A422" s="343" t="s">
        <v>982</v>
      </c>
      <c r="B422" s="302" t="s">
        <v>983</v>
      </c>
      <c r="C422" s="284"/>
      <c r="D422" s="510">
        <f>D423+D426</f>
        <v>2011315</v>
      </c>
      <c r="E422" s="306"/>
    </row>
    <row r="423" spans="1:4" s="308" customFormat="1" ht="19.5" customHeight="1">
      <c r="A423" s="370" t="s">
        <v>984</v>
      </c>
      <c r="B423" s="302" t="s">
        <v>985</v>
      </c>
      <c r="C423" s="284"/>
      <c r="D423" s="510">
        <f>D424</f>
        <v>890000</v>
      </c>
    </row>
    <row r="424" spans="1:4" ht="30.75" customHeight="1">
      <c r="A424" s="372" t="s">
        <v>970</v>
      </c>
      <c r="B424" s="302" t="s">
        <v>986</v>
      </c>
      <c r="C424" s="303"/>
      <c r="D424" s="510">
        <f>D425</f>
        <v>890000</v>
      </c>
    </row>
    <row r="425" spans="1:4" ht="39.75" customHeight="1">
      <c r="A425" s="343" t="s">
        <v>522</v>
      </c>
      <c r="B425" s="302" t="s">
        <v>986</v>
      </c>
      <c r="C425" s="303" t="s">
        <v>523</v>
      </c>
      <c r="D425" s="371">
        <f>880000+10000</f>
        <v>890000</v>
      </c>
    </row>
    <row r="426" spans="1:5" s="308" customFormat="1" ht="15.75" customHeight="1">
      <c r="A426" s="370" t="s">
        <v>987</v>
      </c>
      <c r="B426" s="302" t="s">
        <v>988</v>
      </c>
      <c r="C426" s="303"/>
      <c r="D426" s="510">
        <f>D427</f>
        <v>1121315</v>
      </c>
      <c r="E426" s="336"/>
    </row>
    <row r="427" spans="1:5" ht="28.5" customHeight="1">
      <c r="A427" s="372" t="s">
        <v>970</v>
      </c>
      <c r="B427" s="302" t="s">
        <v>989</v>
      </c>
      <c r="C427" s="303"/>
      <c r="D427" s="510">
        <f>D428+D429+D430</f>
        <v>1121315</v>
      </c>
      <c r="E427" s="335"/>
    </row>
    <row r="428" spans="1:5" ht="39">
      <c r="A428" s="343" t="s">
        <v>522</v>
      </c>
      <c r="B428" s="302" t="s">
        <v>989</v>
      </c>
      <c r="C428" s="303" t="s">
        <v>523</v>
      </c>
      <c r="D428" s="371">
        <f>1062800+22915+10600</f>
        <v>1096315</v>
      </c>
      <c r="E428" s="335"/>
    </row>
    <row r="429" spans="1:5" ht="13.5">
      <c r="A429" s="343" t="s">
        <v>554</v>
      </c>
      <c r="B429" s="302" t="s">
        <v>989</v>
      </c>
      <c r="C429" s="303" t="s">
        <v>517</v>
      </c>
      <c r="D429" s="371">
        <f>10000+15000</f>
        <v>25000</v>
      </c>
      <c r="E429" s="335"/>
    </row>
    <row r="430" spans="1:5" ht="13.5" hidden="1">
      <c r="A430" s="373" t="s">
        <v>524</v>
      </c>
      <c r="B430" s="302" t="s">
        <v>989</v>
      </c>
      <c r="C430" s="303" t="s">
        <v>525</v>
      </c>
      <c r="D430" s="510"/>
      <c r="E430" s="335"/>
    </row>
    <row r="431" spans="1:5" ht="26.25" customHeight="1">
      <c r="A431" s="343" t="s">
        <v>990</v>
      </c>
      <c r="B431" s="302" t="s">
        <v>991</v>
      </c>
      <c r="C431" s="324"/>
      <c r="D431" s="510">
        <f>D432</f>
        <v>38382960.2</v>
      </c>
      <c r="E431" s="335"/>
    </row>
    <row r="432" spans="1:5" s="308" customFormat="1" ht="17.25" customHeight="1">
      <c r="A432" s="343" t="s">
        <v>992</v>
      </c>
      <c r="B432" s="302" t="s">
        <v>993</v>
      </c>
      <c r="C432" s="324"/>
      <c r="D432" s="510">
        <f>D433</f>
        <v>38382960.2</v>
      </c>
      <c r="E432" s="336"/>
    </row>
    <row r="433" spans="1:5" ht="17.25" customHeight="1">
      <c r="A433" s="370" t="s">
        <v>609</v>
      </c>
      <c r="B433" s="302" t="s">
        <v>994</v>
      </c>
      <c r="C433" s="324"/>
      <c r="D433" s="510">
        <f>D434+D436+D435</f>
        <v>38382960.2</v>
      </c>
      <c r="E433" s="335"/>
    </row>
    <row r="434" spans="1:4" ht="16.5" customHeight="1">
      <c r="A434" s="343" t="s">
        <v>554</v>
      </c>
      <c r="B434" s="302" t="s">
        <v>994</v>
      </c>
      <c r="C434" s="324" t="s">
        <v>517</v>
      </c>
      <c r="D434" s="371">
        <f>10000.24+50000</f>
        <v>60000.24</v>
      </c>
    </row>
    <row r="435" spans="1:4" ht="16.5" customHeight="1">
      <c r="A435" s="401" t="s">
        <v>713</v>
      </c>
      <c r="B435" s="302" t="s">
        <v>994</v>
      </c>
      <c r="C435" s="324" t="s">
        <v>714</v>
      </c>
      <c r="D435" s="371">
        <v>220000</v>
      </c>
    </row>
    <row r="436" spans="1:4" ht="17.25" customHeight="1">
      <c r="A436" s="373" t="s">
        <v>524</v>
      </c>
      <c r="B436" s="302" t="s">
        <v>994</v>
      </c>
      <c r="C436" s="324" t="s">
        <v>525</v>
      </c>
      <c r="D436" s="371">
        <f>167900+67000+3521200-105748.68-68550-50947-2963820-177600+30000+2277273-410590-40000-918593.36+302308-93214+36566342</f>
        <v>38102959.96</v>
      </c>
    </row>
    <row r="437" spans="1:7" ht="18.75" customHeight="1">
      <c r="A437" s="370" t="s">
        <v>995</v>
      </c>
      <c r="B437" s="298" t="s">
        <v>996</v>
      </c>
      <c r="C437" s="303"/>
      <c r="D437" s="347">
        <f>D438+D442+D461</f>
        <v>24272673</v>
      </c>
      <c r="E437" s="306"/>
      <c r="F437" s="335"/>
      <c r="G437" s="335"/>
    </row>
    <row r="438" spans="1:6" s="308" customFormat="1" ht="30" customHeight="1">
      <c r="A438" s="376" t="s">
        <v>997</v>
      </c>
      <c r="B438" s="275" t="s">
        <v>998</v>
      </c>
      <c r="C438" s="284"/>
      <c r="D438" s="347">
        <f>D439</f>
        <v>296000</v>
      </c>
      <c r="F438" s="336"/>
    </row>
    <row r="439" spans="1:6" ht="26.25">
      <c r="A439" s="372" t="s">
        <v>999</v>
      </c>
      <c r="B439" s="275" t="s">
        <v>1000</v>
      </c>
      <c r="C439" s="284"/>
      <c r="D439" s="510">
        <f>D440+D441</f>
        <v>296000</v>
      </c>
      <c r="F439" s="335"/>
    </row>
    <row r="440" spans="1:6" ht="38.25" customHeight="1">
      <c r="A440" s="343" t="s">
        <v>522</v>
      </c>
      <c r="B440" s="275" t="s">
        <v>1000</v>
      </c>
      <c r="C440" s="303" t="s">
        <v>523</v>
      </c>
      <c r="D440" s="371">
        <f>208320+62913+20967+3800</f>
        <v>296000</v>
      </c>
      <c r="F440" s="335"/>
    </row>
    <row r="441" spans="1:6" ht="13.5" hidden="1">
      <c r="A441" s="343" t="s">
        <v>554</v>
      </c>
      <c r="B441" s="275" t="s">
        <v>1000</v>
      </c>
      <c r="C441" s="303" t="s">
        <v>517</v>
      </c>
      <c r="D441" s="371">
        <f>20967-20967</f>
        <v>0</v>
      </c>
      <c r="F441" s="335"/>
    </row>
    <row r="442" spans="1:6" ht="18" customHeight="1">
      <c r="A442" s="343" t="s">
        <v>1001</v>
      </c>
      <c r="B442" s="275" t="s">
        <v>1002</v>
      </c>
      <c r="C442" s="303"/>
      <c r="D442" s="510">
        <f>D443+D445+D447+D449+D453+D457+D451+D459</f>
        <v>23873673</v>
      </c>
      <c r="F442" s="335"/>
    </row>
    <row r="443" spans="1:6" ht="36.75" customHeight="1">
      <c r="A443" s="378" t="s">
        <v>1003</v>
      </c>
      <c r="B443" s="275" t="s">
        <v>1004</v>
      </c>
      <c r="C443" s="284"/>
      <c r="D443" s="510">
        <f>D444</f>
        <v>280884</v>
      </c>
      <c r="F443" s="335"/>
    </row>
    <row r="444" spans="1:6" ht="26.25" customHeight="1">
      <c r="A444" s="343" t="s">
        <v>516</v>
      </c>
      <c r="B444" s="275" t="s">
        <v>1004</v>
      </c>
      <c r="C444" s="303" t="s">
        <v>517</v>
      </c>
      <c r="D444" s="371">
        <f>5758+275126</f>
        <v>280884</v>
      </c>
      <c r="F444" s="335"/>
    </row>
    <row r="445" spans="1:6" ht="44.25" customHeight="1">
      <c r="A445" s="378" t="s">
        <v>1005</v>
      </c>
      <c r="B445" s="275" t="s">
        <v>1006</v>
      </c>
      <c r="C445" s="284"/>
      <c r="D445" s="510">
        <f>D446</f>
        <v>29600</v>
      </c>
      <c r="F445" s="335"/>
    </row>
    <row r="446" spans="1:6" ht="26.25">
      <c r="A446" s="343" t="s">
        <v>516</v>
      </c>
      <c r="B446" s="275" t="s">
        <v>1006</v>
      </c>
      <c r="C446" s="303" t="s">
        <v>523</v>
      </c>
      <c r="D446" s="371">
        <f>22442+6778+380</f>
        <v>29600</v>
      </c>
      <c r="F446" s="335"/>
    </row>
    <row r="447" spans="1:6" ht="39">
      <c r="A447" s="375" t="s">
        <v>1007</v>
      </c>
      <c r="B447" s="275" t="s">
        <v>1008</v>
      </c>
      <c r="C447" s="303"/>
      <c r="D447" s="510">
        <f>D448</f>
        <v>16600</v>
      </c>
      <c r="F447" s="335"/>
    </row>
    <row r="448" spans="1:6" ht="15.75" customHeight="1">
      <c r="A448" s="343" t="s">
        <v>554</v>
      </c>
      <c r="B448" s="275" t="s">
        <v>1008</v>
      </c>
      <c r="C448" s="303" t="s">
        <v>517</v>
      </c>
      <c r="D448" s="510">
        <f>16600</f>
        <v>16600</v>
      </c>
      <c r="F448" s="335"/>
    </row>
    <row r="449" spans="1:6" ht="13.5" hidden="1">
      <c r="A449" s="373" t="s">
        <v>1009</v>
      </c>
      <c r="B449" s="275" t="s">
        <v>1010</v>
      </c>
      <c r="C449" s="284"/>
      <c r="D449" s="510"/>
      <c r="F449" s="335"/>
    </row>
    <row r="450" spans="1:6" ht="26.25" hidden="1">
      <c r="A450" s="343" t="s">
        <v>516</v>
      </c>
      <c r="B450" s="275" t="s">
        <v>1010</v>
      </c>
      <c r="C450" s="303" t="s">
        <v>517</v>
      </c>
      <c r="D450" s="510"/>
      <c r="F450" s="335"/>
    </row>
    <row r="451" spans="1:5" ht="26.25">
      <c r="A451" s="343" t="s">
        <v>1011</v>
      </c>
      <c r="B451" s="275" t="s">
        <v>1012</v>
      </c>
      <c r="C451" s="303"/>
      <c r="D451" s="510">
        <f>D452</f>
        <v>175320</v>
      </c>
      <c r="E451" s="335"/>
    </row>
    <row r="452" spans="1:5" ht="13.5">
      <c r="A452" s="343" t="s">
        <v>713</v>
      </c>
      <c r="B452" s="275" t="s">
        <v>1012</v>
      </c>
      <c r="C452" s="303" t="s">
        <v>714</v>
      </c>
      <c r="D452" s="371">
        <f>175320</f>
        <v>175320</v>
      </c>
      <c r="E452" s="335"/>
    </row>
    <row r="453" spans="1:5" ht="26.25">
      <c r="A453" s="373" t="s">
        <v>520</v>
      </c>
      <c r="B453" s="275" t="s">
        <v>1013</v>
      </c>
      <c r="C453" s="284"/>
      <c r="D453" s="510">
        <f>D454+D455+D456</f>
        <v>22971269</v>
      </c>
      <c r="E453" s="335"/>
    </row>
    <row r="454" spans="1:5" ht="39">
      <c r="A454" s="343" t="s">
        <v>522</v>
      </c>
      <c r="B454" s="275" t="s">
        <v>1013</v>
      </c>
      <c r="C454" s="303" t="s">
        <v>523</v>
      </c>
      <c r="D454" s="371">
        <f>5520500+317090+83869+47049+14209</f>
        <v>5982717</v>
      </c>
      <c r="E454" s="335"/>
    </row>
    <row r="455" spans="1:5" ht="26.25">
      <c r="A455" s="343" t="s">
        <v>516</v>
      </c>
      <c r="B455" s="275" t="s">
        <v>1013</v>
      </c>
      <c r="C455" s="303" t="s">
        <v>517</v>
      </c>
      <c r="D455" s="371">
        <f>11758350+102950+40000+1487928+3551072</f>
        <v>16940300</v>
      </c>
      <c r="E455" s="335"/>
    </row>
    <row r="456" spans="1:5" ht="13.5">
      <c r="A456" s="373" t="s">
        <v>524</v>
      </c>
      <c r="B456" s="275" t="s">
        <v>1013</v>
      </c>
      <c r="C456" s="303" t="s">
        <v>525</v>
      </c>
      <c r="D456" s="371">
        <f>38927+9325</f>
        <v>48252</v>
      </c>
      <c r="E456" s="335"/>
    </row>
    <row r="457" spans="1:5" ht="13.5">
      <c r="A457" s="386" t="s">
        <v>1014</v>
      </c>
      <c r="B457" s="275" t="s">
        <v>1015</v>
      </c>
      <c r="C457" s="303"/>
      <c r="D457" s="510">
        <f>D458</f>
        <v>100000</v>
      </c>
      <c r="E457" s="335"/>
    </row>
    <row r="458" spans="1:5" ht="25.5" customHeight="1">
      <c r="A458" s="343" t="s">
        <v>516</v>
      </c>
      <c r="B458" s="275" t="s">
        <v>1015</v>
      </c>
      <c r="C458" s="303" t="s">
        <v>517</v>
      </c>
      <c r="D458" s="510">
        <v>100000</v>
      </c>
      <c r="E458" s="335"/>
    </row>
    <row r="459" spans="1:5" ht="25.5" customHeight="1">
      <c r="A459" s="370" t="s">
        <v>1100</v>
      </c>
      <c r="B459" s="275" t="s">
        <v>1016</v>
      </c>
      <c r="C459" s="303"/>
      <c r="D459" s="510">
        <f>D460</f>
        <v>300000</v>
      </c>
      <c r="E459" s="335"/>
    </row>
    <row r="460" spans="1:5" ht="25.5" customHeight="1">
      <c r="A460" s="343" t="s">
        <v>516</v>
      </c>
      <c r="B460" s="275" t="s">
        <v>1016</v>
      </c>
      <c r="C460" s="303" t="s">
        <v>517</v>
      </c>
      <c r="D460" s="510">
        <v>300000</v>
      </c>
      <c r="E460" s="335"/>
    </row>
    <row r="461" spans="1:5" s="308" customFormat="1" ht="13.5">
      <c r="A461" s="517" t="s">
        <v>1017</v>
      </c>
      <c r="B461" s="486" t="s">
        <v>1018</v>
      </c>
      <c r="C461" s="487"/>
      <c r="D461" s="342">
        <f>D462</f>
        <v>103000</v>
      </c>
      <c r="E461" s="336"/>
    </row>
    <row r="462" spans="1:5" ht="13.5">
      <c r="A462" s="370" t="s">
        <v>1019</v>
      </c>
      <c r="B462" s="275" t="s">
        <v>1020</v>
      </c>
      <c r="C462" s="284"/>
      <c r="D462" s="510">
        <f>D463</f>
        <v>103000</v>
      </c>
      <c r="E462" s="335"/>
    </row>
    <row r="463" spans="1:5" ht="13.5">
      <c r="A463" s="343" t="s">
        <v>554</v>
      </c>
      <c r="B463" s="275" t="s">
        <v>1020</v>
      </c>
      <c r="C463" s="284" t="s">
        <v>525</v>
      </c>
      <c r="D463" s="510">
        <f>103000</f>
        <v>103000</v>
      </c>
      <c r="E463" s="335"/>
    </row>
    <row r="464" spans="1:5" ht="13.5">
      <c r="A464" s="343" t="s">
        <v>1021</v>
      </c>
      <c r="B464" s="302" t="s">
        <v>1022</v>
      </c>
      <c r="C464" s="338" t="s">
        <v>1023</v>
      </c>
      <c r="D464" s="510">
        <f>D465</f>
        <v>50000</v>
      </c>
      <c r="E464" s="335"/>
    </row>
    <row r="465" spans="1:4" s="308" customFormat="1" ht="13.5">
      <c r="A465" s="343" t="s">
        <v>1024</v>
      </c>
      <c r="B465" s="302" t="s">
        <v>1025</v>
      </c>
      <c r="C465" s="338" t="s">
        <v>1023</v>
      </c>
      <c r="D465" s="510">
        <f>D466</f>
        <v>50000</v>
      </c>
    </row>
    <row r="466" spans="1:4" ht="13.5">
      <c r="A466" s="372" t="s">
        <v>1026</v>
      </c>
      <c r="B466" s="302" t="s">
        <v>1027</v>
      </c>
      <c r="C466" s="338" t="s">
        <v>1023</v>
      </c>
      <c r="D466" s="510">
        <f>D467</f>
        <v>50000</v>
      </c>
    </row>
    <row r="467" spans="1:4" ht="15.75" customHeight="1">
      <c r="A467" s="343" t="s">
        <v>524</v>
      </c>
      <c r="B467" s="302" t="s">
        <v>1027</v>
      </c>
      <c r="C467" s="338" t="s">
        <v>525</v>
      </c>
      <c r="D467" s="510">
        <v>50000</v>
      </c>
    </row>
    <row r="468" spans="1:4" ht="26.25">
      <c r="A468" s="288" t="s">
        <v>1114</v>
      </c>
      <c r="B468" s="340" t="s">
        <v>1028</v>
      </c>
      <c r="C468" s="341"/>
      <c r="D468" s="342">
        <f>D469</f>
        <v>100000</v>
      </c>
    </row>
    <row r="469" spans="1:4" ht="26.25">
      <c r="A469" s="288" t="s">
        <v>1029</v>
      </c>
      <c r="B469" s="302" t="s">
        <v>1030</v>
      </c>
      <c r="C469" s="341"/>
      <c r="D469" s="342">
        <f>D470</f>
        <v>100000</v>
      </c>
    </row>
    <row r="470" spans="1:4" ht="13.5">
      <c r="A470" s="343" t="s">
        <v>1218</v>
      </c>
      <c r="B470" s="302" t="s">
        <v>1219</v>
      </c>
      <c r="C470" s="341"/>
      <c r="D470" s="342">
        <f>D471</f>
        <v>100000</v>
      </c>
    </row>
    <row r="471" spans="1:4" ht="26.25">
      <c r="A471" s="343" t="s">
        <v>516</v>
      </c>
      <c r="B471" s="302" t="s">
        <v>1219</v>
      </c>
      <c r="C471" s="341">
        <v>200</v>
      </c>
      <c r="D471" s="342">
        <f>100000</f>
        <v>100000</v>
      </c>
    </row>
    <row r="472" spans="1:4" ht="15">
      <c r="A472" s="339" t="s">
        <v>1034</v>
      </c>
      <c r="B472" s="344" t="s">
        <v>1035</v>
      </c>
      <c r="C472" s="345"/>
      <c r="D472" s="346">
        <f>D473</f>
        <v>60000</v>
      </c>
    </row>
    <row r="473" spans="1:4" s="308" customFormat="1" ht="15">
      <c r="A473" s="343" t="s">
        <v>1024</v>
      </c>
      <c r="B473" s="298" t="s">
        <v>1036</v>
      </c>
      <c r="C473" s="303"/>
      <c r="D473" s="347">
        <f>D474</f>
        <v>60000</v>
      </c>
    </row>
    <row r="474" spans="1:5" ht="15">
      <c r="A474" s="343" t="s">
        <v>1037</v>
      </c>
      <c r="B474" s="298" t="s">
        <v>1038</v>
      </c>
      <c r="C474" s="303"/>
      <c r="D474" s="347">
        <f>D475</f>
        <v>60000</v>
      </c>
      <c r="E474" s="518"/>
    </row>
    <row r="475" spans="1:4" ht="15.75" thickBot="1">
      <c r="A475" s="348" t="s">
        <v>550</v>
      </c>
      <c r="B475" s="349" t="s">
        <v>1038</v>
      </c>
      <c r="C475" s="350" t="s">
        <v>551</v>
      </c>
      <c r="D475" s="351">
        <f>30000+30000</f>
        <v>60000</v>
      </c>
    </row>
    <row r="476" spans="1:3" ht="15">
      <c r="A476" s="352"/>
      <c r="B476" s="353"/>
      <c r="C476" s="252"/>
    </row>
    <row r="477" spans="1:5" ht="15">
      <c r="A477" s="352"/>
      <c r="B477" s="353"/>
      <c r="C477" s="252"/>
      <c r="E477" s="335"/>
    </row>
    <row r="478" spans="1:3" ht="15">
      <c r="A478" s="352"/>
      <c r="B478" s="353"/>
      <c r="C478" s="252"/>
    </row>
    <row r="479" spans="1:5" ht="15">
      <c r="A479" s="352"/>
      <c r="B479" s="353"/>
      <c r="C479" s="252"/>
      <c r="E479" s="335"/>
    </row>
  </sheetData>
  <sheetProtection/>
  <mergeCells count="8">
    <mergeCell ref="B5:D5"/>
    <mergeCell ref="B6:D6"/>
    <mergeCell ref="A8:D8"/>
    <mergeCell ref="F8:K8"/>
    <mergeCell ref="A10:A11"/>
    <mergeCell ref="B10:B11"/>
    <mergeCell ref="C10:C11"/>
    <mergeCell ref="D10:D11"/>
  </mergeCells>
  <hyperlinks>
    <hyperlink ref="A209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" right="0.7" top="0.75" bottom="0.75" header="0.3" footer="0.3"/>
  <pageSetup horizontalDpi="600" verticalDpi="600" orientation="portrait" paperSize="9" scale="7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Юля</cp:lastModifiedBy>
  <cp:lastPrinted>2019-10-18T12:20:23Z</cp:lastPrinted>
  <dcterms:created xsi:type="dcterms:W3CDTF">2015-11-12T11:51:27Z</dcterms:created>
  <dcterms:modified xsi:type="dcterms:W3CDTF">2019-10-24T07:50:45Z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