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4"/>
  </bookViews>
  <sheets>
    <sheet name="Прил №1" sheetId="1" r:id="rId1"/>
    <sheet name="Прил №5" sheetId="2" r:id="rId2"/>
    <sheet name="Прил №7" sheetId="3" r:id="rId3"/>
    <sheet name="Прил №9" sheetId="4" r:id="rId4"/>
    <sheet name="Прил №11" sheetId="5" r:id="rId5"/>
  </sheets>
  <definedNames>
    <definedName name="_xlnm.Print_Area" localSheetId="4">'Прил №11'!$A$1:$D$476</definedName>
    <definedName name="_xlnm.Print_Area" localSheetId="2">'Прил №7'!$A$1:$F$551</definedName>
    <definedName name="_xlnm.Print_Area" localSheetId="3">'Прил №9'!$A$1:$I$634</definedName>
  </definedNames>
  <calcPr fullCalcOnLoad="1"/>
</workbook>
</file>

<file path=xl/sharedStrings.xml><?xml version="1.0" encoding="utf-8"?>
<sst xmlns="http://schemas.openxmlformats.org/spreadsheetml/2006/main" count="7108" uniqueCount="1198">
  <si>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</si>
  <si>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</si>
  <si>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</si>
  <si>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</si>
  <si>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</si>
  <si>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</si>
  <si>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</si>
  <si>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</si>
  <si>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</si>
  <si>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</si>
  <si>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</si>
  <si>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</si>
  <si>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</si>
  <si>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</si>
  <si>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</si>
  <si>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</si>
  <si>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</si>
  <si>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</si>
  <si>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</si>
  <si>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</si>
  <si>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</si>
  <si>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</si>
  <si>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</si>
  <si>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</si>
  <si>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</si>
  <si>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</si>
  <si>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</si>
  <si>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</si>
  <si>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</si>
  <si>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</si>
  <si>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</si>
  <si>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</si>
  <si>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</si>
  <si>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</si>
  <si>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 xml:space="preserve">                                    от "26"  сентября  2012г. № ___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</si>
  <si>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</si>
  <si>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</si>
  <si>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</si>
  <si>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</si>
  <si>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</si>
  <si>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</si>
  <si>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</si>
  <si>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</si>
  <si>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</si>
  <si>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</si>
  <si>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</si>
  <si>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</si>
  <si>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</si>
  <si>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</si>
  <si>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</si>
  <si>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</si>
  <si>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</si>
  <si>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</si>
  <si>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</si>
  <si>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</si>
  <si>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</si>
  <si>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</si>
  <si>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</si>
  <si>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</si>
  <si>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</si>
  <si>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</si>
  <si>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</si>
  <si>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</si>
  <si>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</si>
  <si>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</si>
  <si>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</si>
  <si>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</si>
  <si>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</si>
  <si>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</si>
  <si>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</si>
  <si>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</si>
  <si>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</si>
  <si>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</si>
  <si>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</si>
  <si>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</si>
  <si>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</si>
  <si>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</si>
  <si>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</si>
  <si>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</si>
  <si>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</si>
  <si>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</si>
  <si>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</si>
  <si>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рублей</t>
  </si>
  <si>
    <t>Курской области на 2019 год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</si>
  <si>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</si>
  <si>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</si>
  <si>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</si>
  <si>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</si>
  <si>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>от " _21_ "  декабря  2018г.  № 33</t>
  </si>
  <si>
    <t xml:space="preserve">"О бюджете муниципального района "Глушковский район"  </t>
  </si>
  <si>
    <t xml:space="preserve">  Курской области на 2019год и плановый период 2020 и 2021 годов. "</t>
  </si>
  <si>
    <t>( в редакции решения Представительного</t>
  </si>
  <si>
    <t>собрания Глушковского района  Курской области</t>
  </si>
  <si>
    <t>от " _23_ "  декабря   2019г. № 112)</t>
  </si>
  <si>
    <t>Поступление доходов  в  бюджет</t>
  </si>
  <si>
    <t xml:space="preserve">муниципального района "Глушковский район" Курской области </t>
  </si>
  <si>
    <t>в 2019 году</t>
  </si>
  <si>
    <t xml:space="preserve">  рублей</t>
  </si>
  <si>
    <t>Наименование доходов</t>
  </si>
  <si>
    <t>Сумма   на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</si>
  <si>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</si>
  <si>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</si>
  <si>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</si>
  <si>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</si>
  <si>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</si>
  <si>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</si>
  <si>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</si>
  <si>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</si>
  <si>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</si>
  <si>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</si>
  <si>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</si>
  <si>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</si>
  <si>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</si>
  <si>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</si>
  <si>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</si>
  <si>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</si>
  <si>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</si>
  <si>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</si>
  <si>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</si>
  <si>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</si>
  <si>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</si>
  <si>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</si>
  <si>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</si>
  <si>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</si>
  <si>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</si>
  <si>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</si>
  <si>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</si>
  <si>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</si>
  <si>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</si>
  <si>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</si>
  <si>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</si>
  <si>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</si>
  <si>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</si>
  <si>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</si>
  <si>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</si>
  <si>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</si>
  <si>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</si>
  <si>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</si>
  <si>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</si>
  <si>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</si>
  <si>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</si>
  <si>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</si>
  <si>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</si>
  <si>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</si>
  <si>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</si>
  <si>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</si>
  <si>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</si>
  <si>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</si>
  <si>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</si>
  <si>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</si>
  <si>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</si>
  <si>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</si>
  <si>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</si>
  <si>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</si>
  <si>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</si>
  <si>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</si>
  <si>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</si>
  <si>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</si>
  <si>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</si>
  <si>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</si>
  <si>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</si>
  <si>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</si>
  <si>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</si>
  <si>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</si>
  <si>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</si>
  <si>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</si>
  <si>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</si>
  <si>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</si>
  <si>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</si>
  <si>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</si>
  <si>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</si>
  <si>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</si>
  <si>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</si>
  <si>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</si>
  <si>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</si>
  <si>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</si>
  <si>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</si>
  <si>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</si>
  <si>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</si>
  <si>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</si>
  <si>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</si>
  <si>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</si>
  <si>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</si>
  <si>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</si>
  <si>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</si>
  <si>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</si>
  <si>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</si>
  <si>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</si>
  <si>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</si>
  <si>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</si>
  <si>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</si>
  <si>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</si>
  <si>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</si>
  <si>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</si>
  <si>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</si>
  <si>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</si>
  <si>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</si>
  <si>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</si>
  <si>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</si>
  <si>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</si>
  <si>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</si>
  <si>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</si>
  <si>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</si>
  <si>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</si>
  <si>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</si>
  <si>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</si>
  <si>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</si>
  <si>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</si>
  <si>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</si>
  <si>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</si>
  <si>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</si>
  <si>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</si>
  <si>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</si>
  <si>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</si>
  <si>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</si>
  <si>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</si>
  <si>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</si>
  <si>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</si>
  <si>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</si>
  <si>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</si>
  <si>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</si>
  <si>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</si>
  <si>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</si>
  <si>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</si>
  <si>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</si>
  <si>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</si>
  <si>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</si>
  <si>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</si>
  <si>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</si>
  <si>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</si>
  <si>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</si>
  <si>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</si>
  <si>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</si>
  <si>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</si>
  <si>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</si>
  <si>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</si>
  <si>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</si>
  <si>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</si>
  <si>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</si>
  <si>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</si>
  <si>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</si>
  <si>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</si>
  <si>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</si>
  <si>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</si>
  <si>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</si>
  <si>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</si>
  <si>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</si>
  <si>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</si>
  <si>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</si>
  <si>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</si>
  <si>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</si>
  <si>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</si>
  <si>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</si>
  <si>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</si>
  <si>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</si>
  <si>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</si>
  <si>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</si>
  <si>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</si>
  <si>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</si>
  <si>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</si>
  <si>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</si>
  <si>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</si>
  <si>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</si>
  <si>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</si>
  <si>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</si>
  <si>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</si>
  <si>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</si>
  <si>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</si>
  <si>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</si>
  <si>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</si>
  <si>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</si>
  <si>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</si>
  <si>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</si>
  <si>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</si>
  <si>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</si>
  <si>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</si>
  <si>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</si>
  <si>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</si>
  <si>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</si>
  <si>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</si>
  <si>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</si>
  <si>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</si>
  <si>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</si>
  <si>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</si>
  <si>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</si>
  <si>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</si>
  <si>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</si>
  <si>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</si>
  <si>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</si>
  <si>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</si>
  <si>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</si>
  <si>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</si>
  <si>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</si>
  <si>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</si>
  <si>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</si>
  <si>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</si>
  <si>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</si>
  <si>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</si>
  <si>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</si>
  <si>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</si>
  <si>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</si>
  <si>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</si>
  <si>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</si>
  <si>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</si>
  <si>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</si>
  <si>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</si>
  <si>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</si>
  <si>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</si>
  <si>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</si>
  <si>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</si>
  <si>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</si>
  <si>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</si>
  <si>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</si>
  <si>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</si>
  <si>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</si>
  <si>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</si>
  <si>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</si>
  <si>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</si>
  <si>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</si>
  <si>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</si>
  <si>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</si>
  <si>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</si>
  <si>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</si>
  <si>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</si>
  <si>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</si>
  <si>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</si>
  <si>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</si>
  <si>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</si>
  <si>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</si>
  <si>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</si>
  <si>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</si>
  <si>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</si>
  <si>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</si>
  <si>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</si>
  <si>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</si>
  <si>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</si>
  <si>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</si>
  <si>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</si>
  <si>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</si>
  <si>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</si>
  <si>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</si>
  <si>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</si>
  <si>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</si>
  <si>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</si>
  <si>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</si>
  <si>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</si>
  <si>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</si>
  <si>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</si>
  <si>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</si>
  <si>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</si>
  <si>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</si>
  <si>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</si>
  <si>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</si>
  <si>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</si>
  <si>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</si>
  <si>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</si>
  <si>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</si>
  <si>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</si>
  <si>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</si>
  <si>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</si>
  <si>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</si>
  <si>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</si>
  <si>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</si>
  <si>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</si>
  <si>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</si>
  <si>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</si>
  <si>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</si>
  <si>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</si>
  <si>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</si>
  <si>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</si>
  <si>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</si>
  <si>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</si>
  <si>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</si>
  <si>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</si>
  <si>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</si>
  <si>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</si>
  <si>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</si>
  <si>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</si>
  <si>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</si>
  <si>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</si>
  <si>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</si>
  <si>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</si>
  <si>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</si>
  <si>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</si>
  <si>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</si>
  <si>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</si>
  <si>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</si>
  <si>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</si>
  <si>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</si>
  <si>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</si>
  <si>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</si>
  <si>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</si>
  <si>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</si>
  <si>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</si>
  <si>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</si>
  <si>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</si>
  <si>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</si>
  <si>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</si>
  <si>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</si>
  <si>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</si>
  <si>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</si>
  <si>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</si>
  <si>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</si>
  <si>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</si>
  <si>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</si>
  <si>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</si>
  <si>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</si>
  <si>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</si>
  <si>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</si>
  <si>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</si>
  <si>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</si>
  <si>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</si>
  <si>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</si>
  <si>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</si>
  <si>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</si>
  <si>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</si>
  <si>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</si>
  <si>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</si>
  <si>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</si>
  <si>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</si>
  <si>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</si>
  <si>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</si>
  <si>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</si>
  <si>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</si>
  <si>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</si>
  <si>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</si>
  <si>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</si>
  <si>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</si>
  <si>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</si>
  <si>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</si>
  <si>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</si>
  <si>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</si>
  <si>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</si>
  <si>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</si>
  <si>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</si>
  <si>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</si>
  <si>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</si>
  <si>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</si>
  <si>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</si>
  <si>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</si>
  <si>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</si>
  <si>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</si>
  <si>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</si>
  <si>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</si>
  <si>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</si>
  <si>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</si>
  <si>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</si>
  <si>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</si>
  <si>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</si>
  <si>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</si>
  <si>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</si>
  <si>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</si>
  <si>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</si>
  <si>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</si>
  <si>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</si>
  <si>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</si>
  <si>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</si>
  <si>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</si>
  <si>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</si>
  <si>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</si>
  <si>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</si>
  <si>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</si>
  <si>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</si>
  <si>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</si>
  <si>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10"/>
        <rFont val="Times New Roman"/>
        <family val="1"/>
      </rPr>
      <t>общеобразовательных</t>
    </r>
    <r>
      <rPr>
        <sz val="10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</si>
  <si>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</si>
  <si>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t>202 39999 05 0000 151</t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</si>
  <si>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</si>
  <si>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</si>
  <si>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</si>
  <si>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</si>
  <si>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</si>
  <si>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</si>
  <si>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</si>
  <si>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</si>
  <si>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</si>
  <si>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</si>
  <si>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</si>
  <si>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</si>
  <si>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</si>
  <si>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</si>
  <si>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</si>
  <si>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</si>
  <si>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</si>
  <si>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</si>
  <si>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</si>
  <si>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</si>
  <si>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</si>
  <si>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</si>
  <si>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</si>
  <si>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</si>
  <si>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</si>
  <si>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</si>
  <si>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</si>
  <si>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</si>
  <si>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</si>
  <si>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</si>
  <si>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</si>
  <si>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</si>
  <si>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</si>
  <si>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</si>
  <si>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</si>
  <si>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</si>
  <si>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</si>
  <si>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</si>
  <si>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</si>
  <si>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</si>
  <si>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</si>
  <si>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</si>
  <si>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</si>
  <si>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</si>
  <si>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</si>
  <si>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</si>
  <si>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</si>
  <si>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</si>
  <si>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</si>
  <si>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</si>
  <si>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</si>
  <si>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 редакции Решения от "_23_"  декабря   2019г. № 112</t>
  </si>
  <si>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</si>
  <si>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</si>
  <si>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</si>
  <si>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21 декабря   2018 г.  № 33</t>
  </si>
  <si>
    <t>"О бюджете муниципального района "Глушковский район" Курской области на 2019 год и плановый период 2020 и 2021 г.г."</t>
  </si>
  <si>
    <t>( в редакции решения Представительного собрания Глушковского р-на Курской области от  23.12. 2019г.  № 112 )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</si>
  <si>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</si>
  <si>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</si>
  <si>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</si>
  <si>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</si>
  <si>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</si>
  <si>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</si>
  <si>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</si>
  <si>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</si>
  <si>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</si>
  <si>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</si>
  <si>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</si>
  <si>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</si>
  <si>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</si>
  <si>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</si>
  <si>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</si>
  <si>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</si>
  <si>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</si>
  <si>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</si>
  <si>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</si>
  <si>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</si>
  <si>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</si>
  <si>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</si>
  <si>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</si>
  <si>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</si>
  <si>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</si>
  <si>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</si>
  <si>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</si>
  <si>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</si>
  <si>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</si>
  <si>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</si>
  <si>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</si>
  <si>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</si>
  <si>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</si>
  <si>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</si>
  <si>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</si>
  <si>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</si>
  <si>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</si>
  <si>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</si>
  <si>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</si>
  <si>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</si>
  <si>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</si>
  <si>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</si>
  <si>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</si>
  <si>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</si>
  <si>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</si>
  <si>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</si>
  <si>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</si>
  <si>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</si>
  <si>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</si>
  <si>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</si>
  <si>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</si>
  <si>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</si>
  <si>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</si>
  <si>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</si>
  <si>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</si>
  <si>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</si>
  <si>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</si>
  <si>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</si>
  <si>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</si>
  <si>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</si>
  <si>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</si>
  <si>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</si>
  <si>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</si>
  <si>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</si>
  <si>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</si>
  <si>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</si>
  <si>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</si>
  <si>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</si>
  <si>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</si>
  <si>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</si>
  <si>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</si>
  <si>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</si>
  <si>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</si>
  <si>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</si>
  <si>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</si>
  <si>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</si>
  <si>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</si>
  <si>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</si>
  <si>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</si>
  <si>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</si>
  <si>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</si>
  <si>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</si>
  <si>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</si>
  <si>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</si>
  <si>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</si>
  <si>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</si>
  <si>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</si>
  <si>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</si>
  <si>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</si>
  <si>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</si>
  <si>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</si>
  <si>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</si>
  <si>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</si>
  <si>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</si>
  <si>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</si>
  <si>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</si>
  <si>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</si>
  <si>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</si>
  <si>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</si>
  <si>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</si>
  <si>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</si>
  <si>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</si>
  <si>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</si>
  <si>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</si>
  <si>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</si>
  <si>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</si>
  <si>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</si>
  <si>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</si>
  <si>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</si>
  <si>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</si>
  <si>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</si>
  <si>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</si>
  <si>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</si>
  <si>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</si>
  <si>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</si>
  <si>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</si>
  <si>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</si>
  <si>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</si>
  <si>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</si>
  <si>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</si>
  <si>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</si>
  <si>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</si>
  <si>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</si>
  <si>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</si>
  <si>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</si>
  <si>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</si>
  <si>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</si>
  <si>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</si>
  <si>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</si>
  <si>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</si>
  <si>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</si>
  <si>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</si>
  <si>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</si>
  <si>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</si>
  <si>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</si>
  <si>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</si>
  <si>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</si>
  <si>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</si>
  <si>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</si>
  <si>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</si>
  <si>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</si>
  <si>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</si>
  <si>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</si>
  <si>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</si>
  <si>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</si>
  <si>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</si>
  <si>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</si>
  <si>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</si>
  <si>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</si>
  <si>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</si>
  <si>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</si>
  <si>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</si>
  <si>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</si>
  <si>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</si>
  <si>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</si>
  <si>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</si>
  <si>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</si>
  <si>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</si>
  <si>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</si>
  <si>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</si>
  <si>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</si>
  <si>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</si>
  <si>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</si>
  <si>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</si>
  <si>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</si>
  <si>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</si>
  <si>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</si>
  <si>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</si>
  <si>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</si>
  <si>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</si>
  <si>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</si>
  <si>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</si>
  <si>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</si>
  <si>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</si>
  <si>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</si>
  <si>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</si>
  <si>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</si>
  <si>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</si>
  <si>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</si>
  <si>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</si>
  <si>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</si>
  <si>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</si>
  <si>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</si>
  <si>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</si>
  <si>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</si>
  <si>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</si>
  <si>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</si>
  <si>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</si>
  <si>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</si>
  <si>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</si>
  <si>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</si>
  <si>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</si>
  <si>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</si>
  <si>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</si>
  <si>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</si>
  <si>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</si>
  <si>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</si>
  <si>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</si>
  <si>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</si>
  <si>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</si>
  <si>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</si>
  <si>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</si>
  <si>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</si>
  <si>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</si>
  <si>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</si>
  <si>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</si>
  <si>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</si>
  <si>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</si>
  <si>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</si>
  <si>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</si>
  <si>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</si>
  <si>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</si>
  <si>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</si>
  <si>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</si>
  <si>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</si>
  <si>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</si>
  <si>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</si>
  <si>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</si>
  <si>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</si>
  <si>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</si>
  <si>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</si>
  <si>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</si>
  <si>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</si>
  <si>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</si>
  <si>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</si>
  <si>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</si>
  <si>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</si>
  <si>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</si>
  <si>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</si>
  <si>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</si>
  <si>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</si>
  <si>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</si>
  <si>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</si>
  <si>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</si>
  <si>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</si>
  <si>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</si>
  <si>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</si>
  <si>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</si>
  <si>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</si>
  <si>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</si>
  <si>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</si>
  <si>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</si>
  <si>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</si>
  <si>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</si>
  <si>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</si>
  <si>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</si>
  <si>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</si>
  <si>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</si>
  <si>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</si>
  <si>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</si>
  <si>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</si>
  <si>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</si>
  <si>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</si>
  <si>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</si>
  <si>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</si>
  <si>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</si>
  <si>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</si>
  <si>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</si>
  <si>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</si>
  <si>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</si>
  <si>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</si>
  <si>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</si>
  <si>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</si>
  <si>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</si>
  <si>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</si>
  <si>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</si>
  <si>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</si>
  <si>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</si>
  <si>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</si>
  <si>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</si>
  <si>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</si>
  <si>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</si>
  <si>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</si>
  <si>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</si>
  <si>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</si>
  <si>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</si>
  <si>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</si>
  <si>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</si>
  <si>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</si>
  <si>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</si>
  <si>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</si>
  <si>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</si>
  <si>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</si>
  <si>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</si>
  <si>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</si>
  <si>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</si>
  <si>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</si>
  <si>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</si>
  <si>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</si>
  <si>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</si>
  <si>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</si>
  <si>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</si>
  <si>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</si>
  <si>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</si>
  <si>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</si>
  <si>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</si>
  <si>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</si>
  <si>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</si>
  <si>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</si>
  <si>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</si>
  <si>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</si>
  <si>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</si>
  <si>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</si>
  <si>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</si>
  <si>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</si>
  <si>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</si>
  <si>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</si>
  <si>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</si>
  <si>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</si>
  <si>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</si>
  <si>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</si>
  <si>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</si>
  <si>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</si>
  <si>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</si>
  <si>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</si>
  <si>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</si>
  <si>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</si>
  <si>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</si>
  <si>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</si>
  <si>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</si>
  <si>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</si>
  <si>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</si>
  <si>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</si>
  <si>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</si>
  <si>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</si>
  <si>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</si>
  <si>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</si>
  <si>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</si>
  <si>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</si>
  <si>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</si>
  <si>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</si>
  <si>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</si>
  <si>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</si>
  <si>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</si>
  <si>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</si>
  <si>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</si>
  <si>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</si>
  <si>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</si>
  <si>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</si>
  <si>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</si>
  <si>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</si>
  <si>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</si>
  <si>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</si>
  <si>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</si>
  <si>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</si>
  <si>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</si>
  <si>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</si>
  <si>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</si>
  <si>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</si>
  <si>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</si>
  <si>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</si>
  <si>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</si>
  <si>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</si>
  <si>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</si>
  <si>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</si>
  <si>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</si>
  <si>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</si>
  <si>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</si>
  <si>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</si>
  <si>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</si>
  <si>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</si>
  <si>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</si>
  <si>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</si>
  <si>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</si>
  <si>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</si>
  <si>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</si>
  <si>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</si>
  <si>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</si>
  <si>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</si>
  <si>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</si>
  <si>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</si>
  <si>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</si>
  <si>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</si>
  <si>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</si>
  <si>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</si>
  <si>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</si>
  <si>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</si>
  <si>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</si>
  <si>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</si>
  <si>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</si>
  <si>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</si>
  <si>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</si>
  <si>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</si>
  <si>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</si>
  <si>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</si>
  <si>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</si>
  <si>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</si>
  <si>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</si>
  <si>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</si>
  <si>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</si>
  <si>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</si>
  <si>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</si>
  <si>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</si>
  <si>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Приобретение оборудования для школьных столовых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</si>
  <si>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</si>
  <si>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</si>
  <si>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</si>
  <si>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</si>
  <si>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</si>
  <si>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</si>
  <si>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</si>
  <si>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</si>
  <si>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</si>
  <si>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</si>
  <si>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</si>
  <si>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</si>
  <si>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</si>
  <si>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</si>
  <si>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</si>
  <si>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</si>
  <si>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</si>
  <si>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</si>
  <si>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</si>
  <si>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</si>
  <si>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</si>
  <si>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</si>
  <si>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</si>
  <si>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</si>
  <si>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</si>
  <si>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</si>
  <si>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</si>
  <si>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</si>
  <si>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</si>
  <si>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</si>
  <si>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</si>
  <si>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</si>
  <si>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</si>
  <si>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</si>
  <si>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</si>
  <si>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</si>
  <si>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</si>
  <si>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</si>
  <si>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</si>
  <si>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</si>
  <si>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</si>
  <si>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</si>
  <si>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</si>
  <si>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</si>
  <si>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</si>
  <si>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</si>
  <si>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</si>
  <si>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</si>
  <si>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</si>
  <si>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</si>
  <si>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</si>
  <si>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</si>
  <si>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</si>
  <si>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</si>
  <si>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</si>
  <si>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</si>
  <si>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</si>
  <si>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</si>
  <si>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</si>
  <si>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</si>
  <si>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</si>
  <si>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</si>
  <si>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</si>
  <si>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</si>
  <si>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</si>
  <si>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</si>
  <si>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</si>
  <si>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</si>
  <si>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</si>
  <si>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</si>
  <si>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</si>
  <si>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</si>
  <si>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</si>
  <si>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</si>
  <si>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</si>
  <si>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</si>
  <si>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</si>
  <si>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</si>
  <si>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</si>
  <si>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</si>
  <si>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</si>
  <si>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</si>
  <si>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</si>
  <si>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</si>
  <si>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</si>
  <si>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</si>
  <si>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</si>
  <si>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</si>
  <si>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</si>
  <si>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</si>
  <si>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</si>
  <si>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</si>
  <si>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</si>
  <si>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муниципальных учреждений культуры</t>
  </si>
  <si>
    <t>79 1 00 L5195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</si>
  <si>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</si>
  <si>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</si>
  <si>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</si>
  <si>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</si>
  <si>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</si>
  <si>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</si>
  <si>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</si>
  <si>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</si>
  <si>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</si>
  <si>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</si>
  <si>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</si>
  <si>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</si>
  <si>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</si>
  <si>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</si>
  <si>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</si>
  <si>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</si>
  <si>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</si>
  <si>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</si>
  <si>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</si>
  <si>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</si>
  <si>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</si>
  <si>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</si>
  <si>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</si>
  <si>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</si>
  <si>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</si>
  <si>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</si>
  <si>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</si>
  <si>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</si>
  <si>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</si>
  <si>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</si>
  <si>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</si>
  <si>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</si>
  <si>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</si>
  <si>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</si>
  <si>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</si>
  <si>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</si>
  <si>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</si>
  <si>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</si>
  <si>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</si>
  <si>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</si>
  <si>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</si>
  <si>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</si>
  <si>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</si>
  <si>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</si>
  <si>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</si>
  <si>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</si>
  <si>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</si>
  <si>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</si>
  <si>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</si>
  <si>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</si>
  <si>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</si>
  <si>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</si>
  <si>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</si>
  <si>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</si>
  <si>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</si>
  <si>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</si>
  <si>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</si>
  <si>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</si>
  <si>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</si>
  <si>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</si>
  <si>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</si>
  <si>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</si>
  <si>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</si>
  <si>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</si>
  <si>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</si>
  <si>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</si>
  <si>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</si>
  <si>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</si>
  <si>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</si>
  <si>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</si>
  <si>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</si>
  <si>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</si>
  <si>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</si>
  <si>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</si>
  <si>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</si>
  <si>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</si>
  <si>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</si>
  <si>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</si>
  <si>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</si>
  <si>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</si>
  <si>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</si>
  <si>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</si>
  <si>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</si>
  <si>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</si>
  <si>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</si>
  <si>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</si>
  <si>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</si>
  <si>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</si>
  <si>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</si>
  <si>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</si>
  <si>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</si>
  <si>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</si>
  <si>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</si>
  <si>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</si>
  <si>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</si>
  <si>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</si>
  <si>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( в редакции решения Представительного собрания Глушковского района Курской области от    23.12.  2019 г. № 112 )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</si>
  <si>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2019 год</t>
  </si>
  <si>
    <t>ГРБС</t>
  </si>
  <si>
    <t>Бюджет 2019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</si>
  <si>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</si>
  <si>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</si>
  <si>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</si>
  <si>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</si>
  <si>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</si>
  <si>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</si>
  <si>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</si>
  <si>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</si>
  <si>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</si>
  <si>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</si>
  <si>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</si>
  <si>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</si>
  <si>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</si>
  <si>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</si>
  <si>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08 2 03 С1406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</si>
  <si>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</si>
  <si>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</si>
  <si>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</si>
  <si>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</si>
  <si>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</si>
  <si>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</si>
  <si>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</si>
  <si>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</si>
  <si>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</si>
  <si>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</si>
  <si>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</si>
  <si>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</si>
  <si>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</si>
  <si>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</si>
  <si>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</si>
  <si>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</si>
  <si>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</si>
  <si>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</si>
  <si>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</si>
  <si>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</si>
  <si>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</si>
  <si>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</si>
  <si>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</si>
  <si>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</si>
  <si>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</si>
  <si>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</si>
  <si>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</si>
  <si>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</si>
  <si>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01 2 1307</t>
  </si>
  <si>
    <t>Приложение № 11</t>
  </si>
  <si>
    <t xml:space="preserve"> от  21 декабря   2018 г.  № 33</t>
  </si>
  <si>
    <t>( в редакции решения Представительного собрания Глушковского района Курской области  от  23.12. 2019 г. № 112 )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</si>
  <si>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</si>
  <si>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01 0 0000000</t>
  </si>
  <si>
    <t xml:space="preserve"> 01 1 01 11820</t>
  </si>
  <si>
    <t xml:space="preserve"> 01 1 01 13320</t>
  </si>
  <si>
    <t xml:space="preserve"> 01 1 01 С1401</t>
  </si>
  <si>
    <t>Развитие библиотечного дела</t>
  </si>
  <si>
    <t xml:space="preserve"> 01 2 01 С1442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</si>
  <si>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</si>
  <si>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</si>
  <si>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</si>
  <si>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</si>
  <si>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</si>
  <si>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</si>
  <si>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</si>
  <si>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</si>
  <si>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</si>
  <si>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</si>
  <si>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</si>
  <si>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</si>
  <si>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</si>
  <si>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</si>
  <si>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</si>
  <si>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</si>
  <si>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</si>
  <si>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</si>
  <si>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</si>
  <si>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</si>
  <si>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</si>
  <si>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</si>
  <si>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</si>
  <si>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</si>
  <si>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</si>
  <si>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08 2 02 С1401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</si>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</sst>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i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29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top" wrapText="1"/>
      <protection/>
    </xf>
    <xf numFmtId="174" fontId="6" fillId="0" borderId="10" xfId="61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61" applyFont="1" applyBorder="1" applyAlignment="1">
      <alignment horizontal="center" vertical="top" wrapText="1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174" fontId="0" fillId="0" borderId="10" xfId="61" applyNumberFormat="1" applyFont="1" applyBorder="1" applyAlignment="1">
      <alignment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top" wrapText="1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6" fillId="0" borderId="10" xfId="61" applyFont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 horizontal="center" vertical="center" wrapText="1"/>
    </xf>
    <xf numFmtId="2" fontId="6" fillId="0" borderId="10" xfId="61" applyNumberFormat="1" applyFont="1" applyFill="1" applyBorder="1" applyAlignment="1">
      <alignment/>
      <protection/>
    </xf>
    <xf numFmtId="177" fontId="6" fillId="0" borderId="0" xfId="0" applyNumberFormat="1" applyFont="1" applyAlignment="1">
      <alignment/>
    </xf>
    <xf numFmtId="2" fontId="0" fillId="0" borderId="10" xfId="61" applyNumberFormat="1" applyFont="1" applyFill="1" applyBorder="1" applyAlignment="1">
      <alignment/>
      <protection/>
    </xf>
    <xf numFmtId="177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0" xfId="33" applyNumberFormat="1" applyFont="1" applyFill="1" applyBorder="1" applyAlignment="1">
      <alignment horizontal="center" wrapText="1" readingOrder="1"/>
      <protection/>
    </xf>
    <xf numFmtId="0" fontId="18" fillId="0" borderId="10" xfId="33" applyNumberFormat="1" applyFont="1" applyFill="1" applyBorder="1" applyAlignment="1">
      <alignment horizontal="left" vertical="top" wrapText="1" readingOrder="1"/>
      <protection/>
    </xf>
    <xf numFmtId="4" fontId="11" fillId="0" borderId="10" xfId="0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left" wrapText="1" readingOrder="1"/>
      <protection/>
    </xf>
    <xf numFmtId="0" fontId="20" fillId="0" borderId="10" xfId="33" applyNumberFormat="1" applyFont="1" applyFill="1" applyBorder="1" applyAlignment="1">
      <alignment horizontal="left" wrapText="1" readingOrder="1"/>
      <protection/>
    </xf>
    <xf numFmtId="0" fontId="19" fillId="0" borderId="10" xfId="33" applyNumberFormat="1" applyFont="1" applyFill="1" applyBorder="1" applyAlignment="1">
      <alignment horizontal="center" vertical="center" wrapText="1" readingOrder="1"/>
      <protection/>
    </xf>
    <xf numFmtId="0" fontId="21" fillId="0" borderId="10" xfId="33" applyNumberFormat="1" applyFont="1" applyFill="1" applyBorder="1" applyAlignment="1">
      <alignment horizontal="left" vertical="top" wrapText="1" readingOrder="1"/>
      <protection/>
    </xf>
    <xf numFmtId="0" fontId="22" fillId="0" borderId="10" xfId="33" applyNumberFormat="1" applyFont="1" applyFill="1" applyBorder="1" applyAlignment="1">
      <alignment horizontal="center" wrapText="1" readingOrder="1"/>
      <protection/>
    </xf>
    <xf numFmtId="0" fontId="22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11" fillId="0" borderId="10" xfId="57" applyNumberFormat="1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0" fontId="14" fillId="0" borderId="10" xfId="33" applyNumberFormat="1" applyFont="1" applyFill="1" applyBorder="1" applyAlignment="1">
      <alignment horizontal="left" readingOrder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49" fontId="15" fillId="0" borderId="10" xfId="65" applyNumberFormat="1" applyFont="1" applyBorder="1" applyAlignment="1">
      <alignment horizontal="center"/>
      <protection/>
    </xf>
    <xf numFmtId="0" fontId="11" fillId="0" borderId="10" xfId="65" applyFont="1" applyBorder="1" applyAlignment="1">
      <alignment wrapText="1"/>
      <protection/>
    </xf>
    <xf numFmtId="4" fontId="11" fillId="0" borderId="10" xfId="0" applyNumberFormat="1" applyFont="1" applyBorder="1" applyAlignment="1">
      <alignment horizontal="right" wrapText="1"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top" wrapText="1"/>
      <protection/>
    </xf>
    <xf numFmtId="0" fontId="18" fillId="33" borderId="10" xfId="33" applyNumberFormat="1" applyFont="1" applyFill="1" applyBorder="1" applyAlignment="1">
      <alignment horizontal="center" vertical="center" wrapText="1" readingOrder="1"/>
      <protection/>
    </xf>
    <xf numFmtId="0" fontId="18" fillId="33" borderId="10" xfId="33" applyNumberFormat="1" applyFont="1" applyFill="1" applyBorder="1" applyAlignment="1">
      <alignment horizontal="left" vertical="center" wrapText="1" readingOrder="1"/>
      <protection/>
    </xf>
    <xf numFmtId="4" fontId="11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8" fillId="0" borderId="10" xfId="33" applyNumberFormat="1" applyFont="1" applyFill="1" applyBorder="1" applyAlignment="1">
      <alignment horizontal="left" vertical="center" wrapText="1" readingOrder="1"/>
      <protection/>
    </xf>
    <xf numFmtId="4" fontId="10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wrapText="1"/>
    </xf>
    <xf numFmtId="49" fontId="15" fillId="0" borderId="10" xfId="6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wrapText="1"/>
    </xf>
    <xf numFmtId="0" fontId="11" fillId="0" borderId="10" xfId="64" applyFont="1" applyBorder="1" applyAlignment="1">
      <alignment vertical="top" wrapText="1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11" fillId="0" borderId="10" xfId="58" applyFont="1" applyBorder="1" applyAlignment="1">
      <alignment vertical="center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11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20" fillId="0" borderId="14" xfId="33" applyNumberFormat="1" applyFont="1" applyFill="1" applyBorder="1" applyAlignment="1">
      <alignment horizontal="left" vertical="top" wrapText="1" readingOrder="1"/>
      <protection/>
    </xf>
    <xf numFmtId="0" fontId="18" fillId="0" borderId="14" xfId="33" applyNumberFormat="1" applyFont="1" applyFill="1" applyBorder="1" applyAlignment="1">
      <alignment horizontal="left" vertical="top" wrapText="1" readingOrder="1"/>
      <protection/>
    </xf>
    <xf numFmtId="0" fontId="1" fillId="0" borderId="10" xfId="0" applyFont="1" applyFill="1" applyBorder="1" applyAlignment="1">
      <alignment horizontal="left" vertical="top" wrapText="1"/>
    </xf>
    <xf numFmtId="49" fontId="15" fillId="0" borderId="10" xfId="64" applyNumberFormat="1" applyFont="1" applyBorder="1" applyAlignment="1">
      <alignment horizontal="center"/>
      <protection/>
    </xf>
    <xf numFmtId="0" fontId="11" fillId="0" borderId="10" xfId="64" applyFont="1" applyBorder="1" applyAlignment="1">
      <alignment horizontal="left" vertical="center" wrapText="1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3" applyFont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/>
    </xf>
    <xf numFmtId="0" fontId="1" fillId="0" borderId="10" xfId="63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49" fontId="1" fillId="33" borderId="10" xfId="63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64" applyFont="1" applyFill="1" applyBorder="1" applyAlignment="1">
      <alignment vertical="top" wrapText="1"/>
      <protection/>
    </xf>
    <xf numFmtId="49" fontId="1" fillId="0" borderId="10" xfId="62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2" applyFont="1" applyBorder="1" applyAlignment="1">
      <alignment vertical="top" wrapText="1"/>
      <protection/>
    </xf>
    <xf numFmtId="0" fontId="1" fillId="0" borderId="10" xfId="66" applyFont="1" applyBorder="1" applyAlignment="1">
      <alignment vertical="top" wrapText="1"/>
      <protection/>
    </xf>
    <xf numFmtId="0" fontId="11" fillId="0" borderId="10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0" fontId="1" fillId="0" borderId="10" xfId="63" applyFont="1" applyBorder="1" applyAlignment="1">
      <alignment horizontal="left" wrapText="1"/>
      <protection/>
    </xf>
    <xf numFmtId="4" fontId="1" fillId="34" borderId="10" xfId="0" applyNumberFormat="1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49" fontId="15" fillId="0" borderId="10" xfId="59" applyNumberFormat="1" applyFont="1" applyBorder="1" applyAlignment="1">
      <alignment horizontal="center"/>
      <protection/>
    </xf>
    <xf numFmtId="0" fontId="11" fillId="0" borderId="10" xfId="59" applyFont="1" applyBorder="1" applyAlignment="1">
      <alignment vertical="center"/>
      <protection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center"/>
    </xf>
    <xf numFmtId="0" fontId="18" fillId="0" borderId="15" xfId="0" applyFont="1" applyBorder="1" applyAlignment="1">
      <alignment vertical="top" wrapText="1"/>
    </xf>
    <xf numFmtId="4" fontId="1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34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top" wrapText="1"/>
    </xf>
    <xf numFmtId="4" fontId="15" fillId="0" borderId="17" xfId="0" applyNumberFormat="1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4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wrapText="1"/>
    </xf>
    <xf numFmtId="9" fontId="1" fillId="35" borderId="0" xfId="71" applyFont="1" applyFill="1" applyAlignment="1">
      <alignment/>
    </xf>
    <xf numFmtId="0" fontId="2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left" wrapText="1"/>
    </xf>
    <xf numFmtId="49" fontId="9" fillId="35" borderId="0" xfId="0" applyNumberFormat="1" applyFont="1" applyFill="1" applyAlignment="1">
      <alignment horizontal="center"/>
    </xf>
    <xf numFmtId="49" fontId="1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49" fontId="1" fillId="35" borderId="19" xfId="0" applyNumberFormat="1" applyFont="1" applyFill="1" applyBorder="1" applyAlignment="1">
      <alignment horizontal="center" vertical="center" wrapText="1"/>
    </xf>
    <xf numFmtId="49" fontId="13" fillId="35" borderId="17" xfId="0" applyNumberFormat="1" applyFont="1" applyFill="1" applyBorder="1" applyAlignment="1">
      <alignment horizontal="center" vertical="center" wrapText="1"/>
    </xf>
    <xf numFmtId="49" fontId="13" fillId="35" borderId="17" xfId="0" applyNumberFormat="1" applyFont="1" applyFill="1" applyBorder="1" applyAlignment="1">
      <alignment horizontal="center" vertical="center"/>
    </xf>
    <xf numFmtId="3" fontId="13" fillId="35" borderId="20" xfId="0" applyNumberFormat="1" applyFont="1" applyFill="1" applyBorder="1" applyAlignment="1">
      <alignment horizontal="right" vertical="center" wrapText="1"/>
    </xf>
    <xf numFmtId="49" fontId="13" fillId="35" borderId="0" xfId="0" applyNumberFormat="1" applyFont="1" applyFill="1" applyAlignment="1">
      <alignment/>
    </xf>
    <xf numFmtId="0" fontId="1" fillId="35" borderId="21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right"/>
    </xf>
    <xf numFmtId="4" fontId="3" fillId="35" borderId="22" xfId="0" applyNumberFormat="1" applyFont="1" applyFill="1" applyBorder="1" applyAlignment="1">
      <alignment horizontal="right"/>
    </xf>
    <xf numFmtId="0" fontId="25" fillId="35" borderId="0" xfId="0" applyFont="1" applyFill="1" applyAlignment="1">
      <alignment/>
    </xf>
    <xf numFmtId="2" fontId="25" fillId="35" borderId="0" xfId="0" applyNumberFormat="1" applyFont="1" applyFill="1" applyAlignment="1">
      <alignment/>
    </xf>
    <xf numFmtId="4" fontId="25" fillId="35" borderId="0" xfId="0" applyNumberFormat="1" applyFont="1" applyFill="1" applyAlignment="1">
      <alignment/>
    </xf>
    <xf numFmtId="0" fontId="1" fillId="35" borderId="21" xfId="0" applyFont="1" applyFill="1" applyBorder="1" applyAlignment="1">
      <alignment wrapText="1"/>
    </xf>
    <xf numFmtId="0" fontId="18" fillId="35" borderId="21" xfId="0" applyFont="1" applyFill="1" applyBorder="1" applyAlignment="1">
      <alignment wrapText="1"/>
    </xf>
    <xf numFmtId="4" fontId="1" fillId="35" borderId="0" xfId="0" applyNumberFormat="1" applyFont="1" applyFill="1" applyAlignment="1">
      <alignment/>
    </xf>
    <xf numFmtId="0" fontId="18" fillId="35" borderId="21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center" wrapText="1"/>
    </xf>
    <xf numFmtId="49" fontId="3" fillId="35" borderId="10" xfId="60" applyNumberFormat="1" applyFont="1" applyFill="1" applyBorder="1" applyAlignment="1">
      <alignment horizontal="right" wrapText="1"/>
      <protection/>
    </xf>
    <xf numFmtId="49" fontId="26" fillId="35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 wrapText="1"/>
    </xf>
    <xf numFmtId="49" fontId="26" fillId="35" borderId="10" xfId="60" applyNumberFormat="1" applyFont="1" applyFill="1" applyBorder="1" applyAlignment="1">
      <alignment horizontal="right" wrapText="1"/>
      <protection/>
    </xf>
    <xf numFmtId="4" fontId="26" fillId="35" borderId="22" xfId="0" applyNumberFormat="1" applyFont="1" applyFill="1" applyBorder="1" applyAlignment="1">
      <alignment horizontal="right"/>
    </xf>
    <xf numFmtId="0" fontId="28" fillId="35" borderId="0" xfId="0" applyFont="1" applyFill="1" applyAlignment="1">
      <alignment/>
    </xf>
    <xf numFmtId="49" fontId="1" fillId="35" borderId="21" xfId="0" applyNumberFormat="1" applyFont="1" applyFill="1" applyBorder="1" applyAlignment="1">
      <alignment horizontal="left" vertical="top" wrapText="1"/>
    </xf>
    <xf numFmtId="182" fontId="1" fillId="35" borderId="21" xfId="0" applyNumberFormat="1" applyFont="1" applyFill="1" applyBorder="1" applyAlignment="1" applyProtection="1">
      <alignment horizontal="left" wrapText="1"/>
      <protection hidden="1"/>
    </xf>
    <xf numFmtId="49" fontId="26" fillId="35" borderId="10" xfId="0" applyNumberFormat="1" applyFont="1" applyFill="1" applyBorder="1" applyAlignment="1">
      <alignment horizontal="right"/>
    </xf>
    <xf numFmtId="0" fontId="1" fillId="35" borderId="21" xfId="0" applyFont="1" applyFill="1" applyBorder="1" applyAlignment="1">
      <alignment horizontal="left" vertical="top" wrapText="1"/>
    </xf>
    <xf numFmtId="0" fontId="1" fillId="35" borderId="21" xfId="0" applyFont="1" applyFill="1" applyBorder="1" applyAlignment="1">
      <alignment vertical="top" wrapText="1"/>
    </xf>
    <xf numFmtId="4" fontId="3" fillId="35" borderId="22" xfId="60" applyNumberFormat="1" applyFont="1" applyFill="1" applyBorder="1" applyAlignment="1">
      <alignment horizontal="right" wrapText="1"/>
      <protection/>
    </xf>
    <xf numFmtId="0" fontId="1" fillId="35" borderId="21" xfId="0" applyFont="1" applyFill="1" applyBorder="1" applyAlignment="1">
      <alignment horizontal="justify" vertical="top" wrapText="1"/>
    </xf>
    <xf numFmtId="0" fontId="18" fillId="35" borderId="23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/>
    </xf>
    <xf numFmtId="0" fontId="24" fillId="35" borderId="10" xfId="0" applyFont="1" applyFill="1" applyBorder="1" applyAlignment="1">
      <alignment horizontal="right" wrapText="1"/>
    </xf>
    <xf numFmtId="0" fontId="18" fillId="35" borderId="21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wrapText="1"/>
    </xf>
    <xf numFmtId="182" fontId="1" fillId="35" borderId="21" xfId="0" applyNumberFormat="1" applyFont="1" applyFill="1" applyBorder="1" applyAlignment="1" applyProtection="1">
      <alignment horizontal="left" vertical="top" wrapText="1"/>
      <protection hidden="1"/>
    </xf>
    <xf numFmtId="2" fontId="18" fillId="35" borderId="21" xfId="0" applyNumberFormat="1" applyFont="1" applyFill="1" applyBorder="1" applyAlignment="1">
      <alignment vertical="center" wrapText="1"/>
    </xf>
    <xf numFmtId="2" fontId="18" fillId="35" borderId="21" xfId="0" applyNumberFormat="1" applyFont="1" applyFill="1" applyBorder="1" applyAlignment="1">
      <alignment horizontal="left" vertical="center" wrapText="1"/>
    </xf>
    <xf numFmtId="2" fontId="1" fillId="35" borderId="21" xfId="0" applyNumberFormat="1" applyFont="1" applyFill="1" applyBorder="1" applyAlignment="1">
      <alignment horizontal="left" vertical="top" wrapText="1"/>
    </xf>
    <xf numFmtId="0" fontId="18" fillId="35" borderId="21" xfId="0" applyFont="1" applyFill="1" applyBorder="1" applyAlignment="1">
      <alignment horizontal="justify" vertical="top" wrapText="1"/>
    </xf>
    <xf numFmtId="0" fontId="18" fillId="35" borderId="21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right" wrapText="1"/>
    </xf>
    <xf numFmtId="49" fontId="26" fillId="35" borderId="10" xfId="0" applyNumberFormat="1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0" fontId="1" fillId="35" borderId="25" xfId="0" applyFont="1" applyFill="1" applyBorder="1" applyAlignment="1">
      <alignment vertical="center" wrapText="1"/>
    </xf>
    <xf numFmtId="49" fontId="3" fillId="35" borderId="10" xfId="60" applyNumberFormat="1" applyFont="1" applyFill="1" applyBorder="1" applyAlignment="1">
      <alignment horizontal="center" wrapText="1"/>
      <protection/>
    </xf>
    <xf numFmtId="4" fontId="3" fillId="35" borderId="10" xfId="0" applyNumberFormat="1" applyFont="1" applyFill="1" applyBorder="1" applyAlignment="1">
      <alignment horizontal="right"/>
    </xf>
    <xf numFmtId="0" fontId="1" fillId="35" borderId="21" xfId="0" applyFont="1" applyFill="1" applyBorder="1" applyAlignment="1">
      <alignment/>
    </xf>
    <xf numFmtId="2" fontId="18" fillId="35" borderId="21" xfId="0" applyNumberFormat="1" applyFont="1" applyFill="1" applyBorder="1" applyAlignment="1">
      <alignment vertical="top" wrapText="1"/>
    </xf>
    <xf numFmtId="2" fontId="18" fillId="35" borderId="21" xfId="0" applyNumberFormat="1" applyFont="1" applyFill="1" applyBorder="1" applyAlignment="1">
      <alignment horizontal="left" vertical="top" wrapText="1"/>
    </xf>
    <xf numFmtId="2" fontId="18" fillId="35" borderId="21" xfId="73" applyNumberFormat="1" applyFont="1" applyFill="1" applyBorder="1" applyAlignment="1">
      <alignment vertical="top" wrapText="1"/>
      <protection/>
    </xf>
    <xf numFmtId="2" fontId="18" fillId="35" borderId="21" xfId="73" applyNumberFormat="1" applyFont="1" applyFill="1" applyBorder="1" applyAlignment="1">
      <alignment horizontal="left" vertical="center" wrapText="1"/>
      <protection/>
    </xf>
    <xf numFmtId="0" fontId="1" fillId="35" borderId="24" xfId="0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24" fillId="35" borderId="21" xfId="0" applyFont="1" applyFill="1" applyBorder="1" applyAlignment="1">
      <alignment horizontal="left" wrapText="1"/>
    </xf>
    <xf numFmtId="2" fontId="18" fillId="35" borderId="21" xfId="73" applyNumberFormat="1" applyFont="1" applyFill="1" applyBorder="1" applyAlignment="1">
      <alignment horizontal="left" vertical="top" wrapText="1"/>
      <protection/>
    </xf>
    <xf numFmtId="2" fontId="27" fillId="35" borderId="21" xfId="73" applyNumberFormat="1" applyFont="1" applyFill="1" applyBorder="1" applyAlignment="1">
      <alignment horizontal="left" vertical="center" wrapText="1"/>
      <protection/>
    </xf>
    <xf numFmtId="182" fontId="1" fillId="35" borderId="21" xfId="55" applyNumberFormat="1" applyFont="1" applyFill="1" applyBorder="1" applyAlignment="1" applyProtection="1">
      <alignment horizontal="left" vertical="top" wrapText="1"/>
      <protection hidden="1"/>
    </xf>
    <xf numFmtId="2" fontId="1" fillId="35" borderId="21" xfId="0" applyNumberFormat="1" applyFont="1" applyFill="1" applyBorder="1" applyAlignment="1">
      <alignment horizontal="left" vertical="center" wrapText="1"/>
    </xf>
    <xf numFmtId="4" fontId="28" fillId="35" borderId="0" xfId="0" applyNumberFormat="1" applyFont="1" applyFill="1" applyAlignment="1">
      <alignment/>
    </xf>
    <xf numFmtId="2" fontId="18" fillId="35" borderId="21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49" fontId="26" fillId="35" borderId="10" xfId="60" applyNumberFormat="1" applyFont="1" applyFill="1" applyBorder="1" applyAlignment="1">
      <alignment horizontal="center" wrapText="1"/>
      <protection/>
    </xf>
    <xf numFmtId="0" fontId="1" fillId="35" borderId="21" xfId="0" applyFont="1" applyFill="1" applyBorder="1" applyAlignment="1">
      <alignment horizontal="justify"/>
    </xf>
    <xf numFmtId="0" fontId="1" fillId="35" borderId="21" xfId="0" applyFont="1" applyFill="1" applyBorder="1" applyAlignment="1" applyProtection="1">
      <alignment horizontal="left" wrapText="1"/>
      <protection/>
    </xf>
    <xf numFmtId="0" fontId="1" fillId="35" borderId="21" xfId="0" applyFont="1" applyFill="1" applyBorder="1" applyAlignment="1">
      <alignment horizontal="justify" vertical="top"/>
    </xf>
    <xf numFmtId="182" fontId="12" fillId="35" borderId="21" xfId="55" applyNumberFormat="1" applyFont="1" applyFill="1" applyBorder="1" applyAlignment="1" applyProtection="1">
      <alignment horizontal="left" vertical="top" wrapText="1"/>
      <protection hidden="1"/>
    </xf>
    <xf numFmtId="0" fontId="1" fillId="0" borderId="21" xfId="0" applyFont="1" applyBorder="1" applyAlignment="1">
      <alignment/>
    </xf>
    <xf numFmtId="0" fontId="18" fillId="35" borderId="21" xfId="0" applyFont="1" applyFill="1" applyBorder="1" applyAlignment="1">
      <alignment vertical="center" wrapText="1"/>
    </xf>
    <xf numFmtId="2" fontId="18" fillId="35" borderId="21" xfId="73" applyNumberFormat="1" applyFont="1" applyFill="1" applyBorder="1" applyAlignment="1">
      <alignment vertical="center" wrapText="1"/>
      <protection/>
    </xf>
    <xf numFmtId="0" fontId="1" fillId="35" borderId="21" xfId="67" applyFont="1" applyFill="1" applyBorder="1" applyAlignment="1">
      <alignment horizontal="left" wrapText="1"/>
      <protection/>
    </xf>
    <xf numFmtId="182" fontId="12" fillId="35" borderId="21" xfId="55" applyNumberFormat="1" applyFont="1" applyFill="1" applyBorder="1" applyAlignment="1" applyProtection="1">
      <alignment horizontal="left" wrapText="1"/>
      <protection hidden="1"/>
    </xf>
    <xf numFmtId="0" fontId="18" fillId="35" borderId="26" xfId="0" applyFont="1" applyFill="1" applyBorder="1" applyAlignment="1">
      <alignment wrapText="1"/>
    </xf>
    <xf numFmtId="0" fontId="24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21" fillId="35" borderId="21" xfId="0" applyFont="1" applyFill="1" applyBorder="1" applyAlignment="1">
      <alignment horizontal="left" wrapText="1"/>
    </xf>
    <xf numFmtId="49" fontId="18" fillId="35" borderId="21" xfId="0" applyNumberFormat="1" applyFont="1" applyFill="1" applyBorder="1" applyAlignment="1">
      <alignment horizontal="left" vertical="top" wrapText="1"/>
    </xf>
    <xf numFmtId="49" fontId="1" fillId="35" borderId="21" xfId="0" applyNumberFormat="1" applyFont="1" applyFill="1" applyBorder="1" applyAlignment="1">
      <alignment wrapText="1"/>
    </xf>
    <xf numFmtId="0" fontId="1" fillId="35" borderId="24" xfId="0" applyFont="1" applyFill="1" applyBorder="1" applyAlignment="1">
      <alignment vertical="top" wrapText="1"/>
    </xf>
    <xf numFmtId="2" fontId="18" fillId="35" borderId="25" xfId="0" applyNumberFormat="1" applyFont="1" applyFill="1" applyBorder="1" applyAlignment="1">
      <alignment horizontal="left" vertical="center" wrapText="1"/>
    </xf>
    <xf numFmtId="49" fontId="1" fillId="35" borderId="21" xfId="0" applyNumberFormat="1" applyFont="1" applyFill="1" applyBorder="1" applyAlignment="1">
      <alignment vertical="top" wrapText="1"/>
    </xf>
    <xf numFmtId="0" fontId="18" fillId="35" borderId="23" xfId="0" applyFont="1" applyFill="1" applyBorder="1" applyAlignment="1">
      <alignment vertical="top" wrapText="1"/>
    </xf>
    <xf numFmtId="4" fontId="3" fillId="35" borderId="27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8" fillId="35" borderId="23" xfId="0" applyFont="1" applyFill="1" applyBorder="1" applyAlignment="1">
      <alignment wrapText="1"/>
    </xf>
    <xf numFmtId="0" fontId="1" fillId="35" borderId="28" xfId="0" applyFont="1" applyFill="1" applyBorder="1" applyAlignment="1">
      <alignment horizontal="justify"/>
    </xf>
    <xf numFmtId="49" fontId="3" fillId="35" borderId="29" xfId="0" applyNumberFormat="1" applyFont="1" applyFill="1" applyBorder="1" applyAlignment="1">
      <alignment horizontal="center"/>
    </xf>
    <xf numFmtId="49" fontId="3" fillId="35" borderId="29" xfId="60" applyNumberFormat="1" applyFont="1" applyFill="1" applyBorder="1" applyAlignment="1">
      <alignment horizontal="right" wrapText="1"/>
      <protection/>
    </xf>
    <xf numFmtId="4" fontId="3" fillId="35" borderId="30" xfId="0" applyNumberFormat="1" applyFont="1" applyFill="1" applyBorder="1" applyAlignment="1">
      <alignment horizontal="right"/>
    </xf>
    <xf numFmtId="49" fontId="3" fillId="35" borderId="0" xfId="0" applyNumberFormat="1" applyFont="1" applyFill="1" applyAlignment="1">
      <alignment horizontal="center"/>
    </xf>
    <xf numFmtId="49" fontId="3" fillId="35" borderId="0" xfId="0" applyNumberFormat="1" applyFont="1" applyFill="1" applyAlignment="1">
      <alignment horizontal="right"/>
    </xf>
    <xf numFmtId="4" fontId="3" fillId="35" borderId="0" xfId="0" applyNumberFormat="1" applyFont="1" applyFill="1" applyAlignment="1">
      <alignment horizontal="right"/>
    </xf>
    <xf numFmtId="49" fontId="9" fillId="35" borderId="0" xfId="0" applyNumberFormat="1" applyFont="1" applyFill="1" applyAlignment="1">
      <alignment horizontal="right"/>
    </xf>
    <xf numFmtId="4" fontId="2" fillId="35" borderId="0" xfId="0" applyNumberFormat="1" applyFont="1" applyFill="1" applyAlignment="1">
      <alignment horizontal="right"/>
    </xf>
    <xf numFmtId="4" fontId="3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174" fontId="2" fillId="35" borderId="0" xfId="0" applyNumberFormat="1" applyFont="1" applyFill="1" applyAlignment="1">
      <alignment/>
    </xf>
    <xf numFmtId="0" fontId="30" fillId="35" borderId="0" xfId="0" applyFont="1" applyFill="1" applyAlignment="1">
      <alignment wrapText="1"/>
    </xf>
    <xf numFmtId="0" fontId="31" fillId="35" borderId="0" xfId="0" applyFont="1" applyFill="1" applyAlignment="1">
      <alignment wrapText="1"/>
    </xf>
    <xf numFmtId="4" fontId="1" fillId="35" borderId="0" xfId="0" applyNumberFormat="1" applyFont="1" applyFill="1" applyAlignment="1">
      <alignment horizontal="right" wrapText="1"/>
    </xf>
    <xf numFmtId="4" fontId="3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Alignment="1">
      <alignment horizontal="center"/>
    </xf>
    <xf numFmtId="49" fontId="9" fillId="35" borderId="19" xfId="0" applyNumberFormat="1" applyFont="1" applyFill="1" applyBorder="1" applyAlignment="1">
      <alignment horizontal="center" vertical="center" wrapText="1"/>
    </xf>
    <xf numFmtId="4" fontId="26" fillId="35" borderId="17" xfId="0" applyNumberFormat="1" applyFont="1" applyFill="1" applyBorder="1" applyAlignment="1">
      <alignment horizontal="right" vertical="center" wrapText="1"/>
    </xf>
    <xf numFmtId="4" fontId="26" fillId="35" borderId="17" xfId="0" applyNumberFormat="1" applyFont="1" applyFill="1" applyBorder="1" applyAlignment="1">
      <alignment horizontal="center" vertical="center" wrapText="1"/>
    </xf>
    <xf numFmtId="4" fontId="13" fillId="35" borderId="20" xfId="0" applyNumberFormat="1" applyFont="1" applyFill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center"/>
    </xf>
    <xf numFmtId="4" fontId="26" fillId="35" borderId="10" xfId="0" applyNumberFormat="1" applyFont="1" applyFill="1" applyBorder="1" applyAlignment="1">
      <alignment horizontal="right"/>
    </xf>
    <xf numFmtId="182" fontId="1" fillId="35" borderId="21" xfId="55" applyNumberFormat="1" applyFont="1" applyFill="1" applyBorder="1" applyAlignment="1" applyProtection="1">
      <alignment horizontal="left" wrapText="1"/>
      <protection hidden="1"/>
    </xf>
    <xf numFmtId="4" fontId="26" fillId="35" borderId="10" xfId="0" applyNumberFormat="1" applyFont="1" applyFill="1" applyBorder="1" applyAlignment="1">
      <alignment horizontal="center"/>
    </xf>
    <xf numFmtId="4" fontId="3" fillId="35" borderId="10" xfId="60" applyNumberFormat="1" applyFont="1" applyFill="1" applyBorder="1" applyAlignment="1">
      <alignment horizontal="right" wrapText="1"/>
      <protection/>
    </xf>
    <xf numFmtId="0" fontId="1" fillId="35" borderId="10" xfId="0" applyFont="1" applyFill="1" applyBorder="1" applyAlignment="1">
      <alignment horizontal="justify" vertical="top" wrapText="1"/>
    </xf>
    <xf numFmtId="0" fontId="1" fillId="35" borderId="21" xfId="60" applyFont="1" applyFill="1" applyBorder="1" applyAlignment="1">
      <alignment horizontal="justify" vertical="top" wrapText="1"/>
      <protection/>
    </xf>
    <xf numFmtId="0" fontId="3" fillId="35" borderId="24" xfId="0" applyFont="1" applyFill="1" applyBorder="1" applyAlignment="1">
      <alignment/>
    </xf>
    <xf numFmtId="4" fontId="3" fillId="35" borderId="31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2" fontId="1" fillId="35" borderId="21" xfId="73" applyNumberFormat="1" applyFont="1" applyFill="1" applyBorder="1" applyAlignment="1">
      <alignment horizontal="left" vertical="top" wrapText="1"/>
      <protection/>
    </xf>
    <xf numFmtId="0" fontId="18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/>
    </xf>
    <xf numFmtId="0" fontId="18" fillId="35" borderId="10" xfId="0" applyFont="1" applyFill="1" applyBorder="1" applyAlignment="1">
      <alignment horizontal="justify" vertical="top" wrapText="1"/>
    </xf>
    <xf numFmtId="2" fontId="1" fillId="35" borderId="21" xfId="73" applyNumberFormat="1" applyFont="1" applyFill="1" applyBorder="1" applyAlignment="1">
      <alignment horizontal="left" vertical="center" wrapText="1"/>
      <protection/>
    </xf>
    <xf numFmtId="2" fontId="18" fillId="35" borderId="21" xfId="73" applyNumberFormat="1" applyFont="1" applyFill="1" applyBorder="1" applyAlignment="1">
      <alignment wrapText="1"/>
      <protection/>
    </xf>
    <xf numFmtId="0" fontId="1" fillId="35" borderId="21" xfId="43" applyFont="1" applyFill="1" applyBorder="1" applyAlignment="1" applyProtection="1">
      <alignment horizontal="left" wrapText="1"/>
      <protection/>
    </xf>
    <xf numFmtId="182" fontId="1" fillId="35" borderId="10" xfId="55" applyNumberFormat="1" applyFont="1" applyFill="1" applyBorder="1" applyAlignment="1" applyProtection="1">
      <alignment horizontal="left" vertical="top" wrapText="1"/>
      <protection hidden="1"/>
    </xf>
    <xf numFmtId="2" fontId="24" fillId="35" borderId="21" xfId="73" applyNumberFormat="1" applyFont="1" applyFill="1" applyBorder="1" applyAlignment="1">
      <alignment horizontal="left" vertical="center" wrapText="1"/>
      <protection/>
    </xf>
    <xf numFmtId="4" fontId="3" fillId="35" borderId="32" xfId="0" applyNumberFormat="1" applyFont="1" applyFill="1" applyBorder="1" applyAlignment="1">
      <alignment horizontal="right"/>
    </xf>
    <xf numFmtId="2" fontId="18" fillId="35" borderId="25" xfId="73" applyNumberFormat="1" applyFont="1" applyFill="1" applyBorder="1" applyAlignment="1">
      <alignment horizontal="left" vertical="center" wrapText="1"/>
      <protection/>
    </xf>
    <xf numFmtId="4" fontId="3" fillId="35" borderId="31" xfId="0" applyNumberFormat="1" applyFont="1" applyFill="1" applyBorder="1" applyAlignment="1">
      <alignment horizontal="right"/>
    </xf>
    <xf numFmtId="4" fontId="3" fillId="35" borderId="17" xfId="0" applyNumberFormat="1" applyFont="1" applyFill="1" applyBorder="1" applyAlignment="1">
      <alignment horizontal="right"/>
    </xf>
    <xf numFmtId="182" fontId="12" fillId="35" borderId="10" xfId="55" applyNumberFormat="1" applyFont="1" applyFill="1" applyBorder="1" applyAlignment="1" applyProtection="1">
      <alignment horizontal="left" vertical="top" wrapText="1"/>
      <protection hidden="1"/>
    </xf>
    <xf numFmtId="4" fontId="26" fillId="35" borderId="31" xfId="0" applyNumberFormat="1" applyFont="1" applyFill="1" applyBorder="1" applyAlignment="1">
      <alignment horizontal="right"/>
    </xf>
    <xf numFmtId="0" fontId="1" fillId="35" borderId="24" xfId="0" applyFont="1" applyFill="1" applyBorder="1" applyAlignment="1">
      <alignment horizontal="justify"/>
    </xf>
    <xf numFmtId="0" fontId="21" fillId="35" borderId="21" xfId="0" applyFont="1" applyFill="1" applyBorder="1" applyAlignment="1">
      <alignment wrapText="1"/>
    </xf>
    <xf numFmtId="4" fontId="3" fillId="35" borderId="10" xfId="0" applyNumberFormat="1" applyFont="1" applyFill="1" applyBorder="1" applyAlignment="1">
      <alignment/>
    </xf>
    <xf numFmtId="0" fontId="24" fillId="35" borderId="23" xfId="0" applyFont="1" applyFill="1" applyBorder="1" applyAlignment="1">
      <alignment wrapText="1"/>
    </xf>
    <xf numFmtId="0" fontId="1" fillId="35" borderId="19" xfId="0" applyFont="1" applyFill="1" applyBorder="1" applyAlignment="1">
      <alignment vertical="top" wrapText="1"/>
    </xf>
    <xf numFmtId="49" fontId="3" fillId="35" borderId="17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right"/>
    </xf>
    <xf numFmtId="4" fontId="3" fillId="35" borderId="20" xfId="0" applyNumberFormat="1" applyFont="1" applyFill="1" applyBorder="1" applyAlignment="1">
      <alignment horizontal="right"/>
    </xf>
    <xf numFmtId="49" fontId="1" fillId="35" borderId="28" xfId="0" applyNumberFormat="1" applyFont="1" applyFill="1" applyBorder="1" applyAlignment="1">
      <alignment vertical="top" wrapText="1"/>
    </xf>
    <xf numFmtId="49" fontId="3" fillId="35" borderId="29" xfId="0" applyNumberFormat="1" applyFont="1" applyFill="1" applyBorder="1" applyAlignment="1">
      <alignment horizontal="right"/>
    </xf>
    <xf numFmtId="4" fontId="3" fillId="35" borderId="29" xfId="0" applyNumberFormat="1" applyFont="1" applyFill="1" applyBorder="1" applyAlignment="1">
      <alignment horizontal="right"/>
    </xf>
    <xf numFmtId="4" fontId="3" fillId="35" borderId="29" xfId="0" applyNumberFormat="1" applyFont="1" applyFill="1" applyBorder="1" applyAlignment="1">
      <alignment horizontal="center"/>
    </xf>
    <xf numFmtId="49" fontId="3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9" fontId="1" fillId="35" borderId="0" xfId="0" applyNumberFormat="1" applyFont="1" applyFill="1" applyAlignment="1">
      <alignment wrapText="1"/>
    </xf>
    <xf numFmtId="0" fontId="3" fillId="35" borderId="0" xfId="0" applyFont="1" applyFill="1" applyAlignment="1">
      <alignment horizontal="left" wrapText="1"/>
    </xf>
    <xf numFmtId="4" fontId="2" fillId="35" borderId="0" xfId="0" applyNumberFormat="1" applyFont="1" applyFill="1" applyAlignment="1">
      <alignment wrapText="1"/>
    </xf>
    <xf numFmtId="4" fontId="1" fillId="35" borderId="0" xfId="0" applyNumberFormat="1" applyFont="1" applyFill="1" applyAlignment="1">
      <alignment wrapText="1"/>
    </xf>
    <xf numFmtId="0" fontId="1" fillId="35" borderId="0" xfId="0" applyFont="1" applyFill="1" applyBorder="1" applyAlignment="1">
      <alignment horizontal="right"/>
    </xf>
    <xf numFmtId="49" fontId="12" fillId="35" borderId="19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center" vertical="center"/>
    </xf>
    <xf numFmtId="4" fontId="12" fillId="35" borderId="20" xfId="0" applyNumberFormat="1" applyFont="1" applyFill="1" applyBorder="1" applyAlignment="1">
      <alignment horizontal="center" vertical="center" wrapText="1"/>
    </xf>
    <xf numFmtId="49" fontId="9" fillId="35" borderId="0" xfId="0" applyNumberFormat="1" applyFont="1" applyFill="1" applyAlignment="1">
      <alignment/>
    </xf>
    <xf numFmtId="4" fontId="13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 horizontal="right"/>
    </xf>
    <xf numFmtId="4" fontId="2" fillId="35" borderId="22" xfId="0" applyNumberFormat="1" applyFont="1" applyFill="1" applyBorder="1" applyAlignment="1">
      <alignment/>
    </xf>
    <xf numFmtId="174" fontId="3" fillId="35" borderId="0" xfId="0" applyNumberFormat="1" applyFont="1" applyFill="1" applyAlignment="1">
      <alignment/>
    </xf>
    <xf numFmtId="174" fontId="1" fillId="35" borderId="0" xfId="0" applyNumberFormat="1" applyFont="1" applyFill="1" applyAlignment="1">
      <alignment/>
    </xf>
    <xf numFmtId="4" fontId="3" fillId="35" borderId="22" xfId="0" applyNumberFormat="1" applyFont="1" applyFill="1" applyBorder="1" applyAlignment="1">
      <alignment/>
    </xf>
    <xf numFmtId="174" fontId="28" fillId="35" borderId="0" xfId="0" applyNumberFormat="1" applyFont="1" applyFill="1" applyAlignment="1">
      <alignment/>
    </xf>
    <xf numFmtId="0" fontId="1" fillId="35" borderId="21" xfId="43" applyFont="1" applyFill="1" applyBorder="1" applyAlignment="1" applyProtection="1">
      <alignment horizontal="justify"/>
      <protection/>
    </xf>
    <xf numFmtId="4" fontId="3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26" fillId="35" borderId="0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0" fontId="35" fillId="35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49" fontId="1" fillId="35" borderId="19" xfId="0" applyNumberFormat="1" applyFont="1" applyFill="1" applyBorder="1" applyAlignment="1">
      <alignment vertical="top" wrapText="1"/>
    </xf>
    <xf numFmtId="0" fontId="24" fillId="35" borderId="17" xfId="0" applyFont="1" applyFill="1" applyBorder="1" applyAlignment="1">
      <alignment horizontal="center" wrapText="1"/>
    </xf>
    <xf numFmtId="0" fontId="24" fillId="35" borderId="17" xfId="0" applyFont="1" applyFill="1" applyBorder="1" applyAlignment="1">
      <alignment horizontal="right" wrapText="1"/>
    </xf>
    <xf numFmtId="0" fontId="1" fillId="35" borderId="19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wrapText="1"/>
    </xf>
    <xf numFmtId="49" fontId="3" fillId="35" borderId="17" xfId="60" applyNumberFormat="1" applyFont="1" applyFill="1" applyBorder="1" applyAlignment="1">
      <alignment horizontal="right" wrapText="1"/>
      <protection/>
    </xf>
    <xf numFmtId="4" fontId="2" fillId="35" borderId="2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wrapText="1"/>
    </xf>
    <xf numFmtId="49" fontId="3" fillId="35" borderId="34" xfId="60" applyNumberFormat="1" applyFont="1" applyFill="1" applyBorder="1" applyAlignment="1">
      <alignment horizontal="right" wrapText="1"/>
      <protection/>
    </xf>
    <xf numFmtId="4" fontId="2" fillId="35" borderId="35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54" applyFont="1" applyAlignment="1">
      <alignment horizontal="right"/>
      <protection/>
    </xf>
    <xf numFmtId="0" fontId="9" fillId="0" borderId="0" xfId="54" applyFont="1" applyAlignment="1">
      <alignment horizontal="right" wrapText="1"/>
      <protection/>
    </xf>
    <xf numFmtId="0" fontId="10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49" fontId="1" fillId="35" borderId="0" xfId="0" applyNumberFormat="1" applyFont="1" applyFill="1" applyAlignment="1">
      <alignment horizontal="left" wrapText="1"/>
    </xf>
    <xf numFmtId="0" fontId="1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 wrapText="1"/>
    </xf>
    <xf numFmtId="49" fontId="9" fillId="35" borderId="29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49" fontId="9" fillId="35" borderId="29" xfId="0" applyNumberFormat="1" applyFont="1" applyFill="1" applyBorder="1" applyAlignment="1">
      <alignment horizontal="center" vertical="center"/>
    </xf>
    <xf numFmtId="4" fontId="2" fillId="35" borderId="38" xfId="0" applyNumberFormat="1" applyFont="1" applyFill="1" applyBorder="1" applyAlignment="1">
      <alignment horizontal="center" vertical="center" wrapText="1"/>
    </xf>
    <xf numFmtId="4" fontId="2" fillId="35" borderId="35" xfId="0" applyNumberFormat="1" applyFont="1" applyFill="1" applyBorder="1" applyAlignment="1">
      <alignment horizontal="center" vertical="center" wrapText="1"/>
    </xf>
    <xf numFmtId="4" fontId="3" fillId="35" borderId="37" xfId="0" applyNumberFormat="1" applyFont="1" applyFill="1" applyBorder="1" applyAlignment="1">
      <alignment horizontal="right" vertical="center" wrapText="1"/>
    </xf>
    <xf numFmtId="4" fontId="3" fillId="35" borderId="29" xfId="0" applyNumberFormat="1" applyFont="1" applyFill="1" applyBorder="1" applyAlignment="1">
      <alignment horizontal="right" vertical="center" wrapText="1"/>
    </xf>
    <xf numFmtId="4" fontId="3" fillId="35" borderId="37" xfId="0" applyNumberFormat="1" applyFont="1" applyFill="1" applyBorder="1" applyAlignment="1">
      <alignment horizontal="center" vertical="center" wrapText="1"/>
    </xf>
    <xf numFmtId="4" fontId="3" fillId="35" borderId="29" xfId="0" applyNumberFormat="1" applyFont="1" applyFill="1" applyBorder="1" applyAlignment="1">
      <alignment horizontal="center" vertical="center" wrapText="1"/>
    </xf>
    <xf numFmtId="4" fontId="3" fillId="35" borderId="38" xfId="0" applyNumberFormat="1" applyFont="1" applyFill="1" applyBorder="1" applyAlignment="1">
      <alignment horizontal="center" vertical="center" wrapText="1"/>
    </xf>
    <xf numFmtId="4" fontId="3" fillId="35" borderId="35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Alignment="1">
      <alignment horizontal="left" vertical="top" wrapText="1"/>
    </xf>
    <xf numFmtId="44" fontId="32" fillId="35" borderId="0" xfId="44" applyFont="1" applyFill="1" applyAlignment="1">
      <alignment horizontal="center" wrapText="1"/>
    </xf>
    <xf numFmtId="0" fontId="34" fillId="35" borderId="0" xfId="0" applyFont="1" applyFill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49" fontId="3" fillId="35" borderId="40" xfId="0" applyNumberFormat="1" applyFont="1" applyFill="1" applyBorder="1" applyAlignment="1">
      <alignment horizontal="center" vertical="center"/>
    </xf>
    <xf numFmtId="49" fontId="3" fillId="35" borderId="34" xfId="0" applyNumberFormat="1" applyFont="1" applyFill="1" applyBorder="1" applyAlignment="1">
      <alignment horizontal="center" vertical="center"/>
    </xf>
    <xf numFmtId="49" fontId="9" fillId="35" borderId="40" xfId="0" applyNumberFormat="1" applyFont="1" applyFill="1" applyBorder="1" applyAlignment="1">
      <alignment horizontal="right" vertical="center"/>
    </xf>
    <xf numFmtId="49" fontId="9" fillId="35" borderId="34" xfId="0" applyNumberFormat="1" applyFont="1" applyFill="1" applyBorder="1" applyAlignment="1">
      <alignment horizontal="righ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38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414" t="s">
        <v>1</v>
      </c>
      <c r="B1" s="414"/>
      <c r="C1" s="414"/>
      <c r="D1" s="3"/>
      <c r="I1" s="26"/>
      <c r="K1" s="26"/>
    </row>
    <row r="2" spans="1:11" s="1" customFormat="1" ht="12.75">
      <c r="A2" s="415" t="s">
        <v>2</v>
      </c>
      <c r="B2" s="415"/>
      <c r="C2" s="415"/>
      <c r="D2" s="4"/>
      <c r="I2" s="26"/>
      <c r="K2" s="26"/>
    </row>
    <row r="3" spans="1:11" s="1" customFormat="1" ht="12.75">
      <c r="A3" s="415" t="s">
        <v>64</v>
      </c>
      <c r="B3" s="415"/>
      <c r="C3" s="415"/>
      <c r="D3" s="4"/>
      <c r="I3" s="26"/>
      <c r="K3" s="26"/>
    </row>
    <row r="4" spans="1:11" s="11" customFormat="1" ht="39.75" customHeight="1">
      <c r="A4" s="4"/>
      <c r="B4" s="416" t="s">
        <v>84</v>
      </c>
      <c r="C4" s="416"/>
      <c r="D4" s="4"/>
      <c r="I4" s="27"/>
      <c r="K4" s="27"/>
    </row>
    <row r="5" spans="1:11" s="11" customFormat="1" ht="28.5" customHeight="1" hidden="1">
      <c r="A5" s="4"/>
      <c r="B5" s="416" t="s">
        <v>30</v>
      </c>
      <c r="C5" s="416"/>
      <c r="D5" s="4"/>
      <c r="I5" s="27"/>
      <c r="K5" s="27"/>
    </row>
    <row r="6" spans="1:11" s="11" customFormat="1" ht="12.75" hidden="1">
      <c r="A6" s="4"/>
      <c r="B6" s="417" t="s">
        <v>34</v>
      </c>
      <c r="C6" s="417"/>
      <c r="I6" s="27"/>
      <c r="K6" s="27"/>
    </row>
    <row r="7" spans="1:4" ht="12.75" customHeight="1">
      <c r="A7" s="2"/>
      <c r="B7" s="418" t="s">
        <v>518</v>
      </c>
      <c r="C7" s="418"/>
      <c r="D7" s="2"/>
    </row>
    <row r="8" spans="1:4" ht="9.75" customHeight="1">
      <c r="A8" s="419" t="s">
        <v>68</v>
      </c>
      <c r="B8" s="419"/>
      <c r="C8" s="419"/>
      <c r="D8" s="419"/>
    </row>
    <row r="9" spans="1:4" ht="38.25" customHeight="1">
      <c r="A9" s="420" t="s">
        <v>69</v>
      </c>
      <c r="B9" s="420"/>
      <c r="C9" s="420"/>
      <c r="D9" s="420"/>
    </row>
    <row r="10" spans="1:4" ht="15.75" customHeight="1">
      <c r="A10" s="419" t="s">
        <v>83</v>
      </c>
      <c r="B10" s="419"/>
      <c r="C10" s="419"/>
      <c r="D10" s="419"/>
    </row>
    <row r="11" ht="13.5" customHeight="1">
      <c r="C11" s="29" t="s">
        <v>82</v>
      </c>
    </row>
    <row r="12" spans="1:3" ht="38.25" customHeight="1">
      <c r="A12" s="7" t="s">
        <v>62</v>
      </c>
      <c r="B12" s="7" t="s">
        <v>3</v>
      </c>
      <c r="C12" s="30" t="s">
        <v>63</v>
      </c>
    </row>
    <row r="13" spans="1:3" ht="12.75" customHeight="1">
      <c r="A13" s="7">
        <v>1</v>
      </c>
      <c r="B13" s="7">
        <v>2</v>
      </c>
      <c r="C13" s="39">
        <v>3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1544804.5900000334</v>
      </c>
      <c r="D14" s="10" t="e">
        <f>D15</f>
        <v>#REF!</v>
      </c>
      <c r="I14" s="32"/>
      <c r="K14" s="32"/>
    </row>
    <row r="15" spans="1:4" ht="26.25" customHeight="1">
      <c r="A15" s="15" t="s">
        <v>6</v>
      </c>
      <c r="B15" s="16" t="s">
        <v>7</v>
      </c>
      <c r="C15" s="33">
        <f>C21+C26+C16+C35</f>
        <v>1544804.5900000334</v>
      </c>
      <c r="D15" s="17" t="e">
        <f>#REF!+D21+D26</f>
        <v>#REF!</v>
      </c>
    </row>
    <row r="16" spans="1:4" ht="0.75" customHeight="1">
      <c r="A16" s="8" t="s">
        <v>59</v>
      </c>
      <c r="B16" s="14" t="s">
        <v>58</v>
      </c>
      <c r="C16" s="33">
        <f>C17+C20</f>
        <v>0</v>
      </c>
      <c r="D16" s="17"/>
    </row>
    <row r="17" spans="1:4" ht="26.25" customHeight="1" hidden="1">
      <c r="A17" s="15" t="s">
        <v>57</v>
      </c>
      <c r="B17" s="16" t="s">
        <v>60</v>
      </c>
      <c r="C17" s="33">
        <f>C18</f>
        <v>0</v>
      </c>
      <c r="D17" s="17"/>
    </row>
    <row r="18" spans="1:4" ht="39" customHeight="1" hidden="1">
      <c r="A18" s="21" t="s">
        <v>31</v>
      </c>
      <c r="B18" s="16" t="s">
        <v>61</v>
      </c>
      <c r="C18" s="33">
        <v>0</v>
      </c>
      <c r="D18" s="17"/>
    </row>
    <row r="19" spans="1:4" ht="39" customHeight="1" hidden="1">
      <c r="A19" s="21" t="s">
        <v>32</v>
      </c>
      <c r="B19" s="22" t="s">
        <v>66</v>
      </c>
      <c r="C19" s="33">
        <v>0</v>
      </c>
      <c r="D19" s="17"/>
    </row>
    <row r="20" spans="1:4" ht="39" customHeight="1" hidden="1">
      <c r="A20" s="21" t="s">
        <v>33</v>
      </c>
      <c r="B20" s="22" t="s">
        <v>67</v>
      </c>
      <c r="C20" s="33">
        <v>0</v>
      </c>
      <c r="D20" s="17"/>
    </row>
    <row r="21" spans="1:11" ht="42" customHeight="1">
      <c r="A21" s="8" t="s">
        <v>8</v>
      </c>
      <c r="B21" s="23" t="s">
        <v>9</v>
      </c>
      <c r="C21" s="31">
        <f>C22+C24</f>
        <v>-13537000</v>
      </c>
      <c r="D21" s="17">
        <f>D22+D24</f>
        <v>-3544.7309999999998</v>
      </c>
      <c r="J21" s="418"/>
      <c r="K21" s="418"/>
    </row>
    <row r="22" spans="1:11" ht="40.5" customHeight="1">
      <c r="A22" s="21" t="s">
        <v>70</v>
      </c>
      <c r="B22" s="18" t="s">
        <v>10</v>
      </c>
      <c r="C22" s="33">
        <f>C23</f>
        <v>0</v>
      </c>
      <c r="D22" s="17">
        <f>D23</f>
        <v>21657</v>
      </c>
      <c r="J22" s="421"/>
      <c r="K22" s="421"/>
    </row>
    <row r="23" spans="1:12" ht="52.5" customHeight="1">
      <c r="A23" s="21" t="s">
        <v>71</v>
      </c>
      <c r="B23" s="18" t="s">
        <v>11</v>
      </c>
      <c r="C23" s="33">
        <v>0</v>
      </c>
      <c r="D23" s="17">
        <v>21657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v>-13537000</v>
      </c>
      <c r="D24" s="17">
        <f>D25</f>
        <v>-25201.731</v>
      </c>
      <c r="H24" s="28"/>
      <c r="J24" s="28"/>
    </row>
    <row r="25" spans="1:11" ht="51">
      <c r="A25" s="21" t="s">
        <v>73</v>
      </c>
      <c r="B25" s="18" t="s">
        <v>13</v>
      </c>
      <c r="C25" s="33">
        <v>-13537000</v>
      </c>
      <c r="D25" s="17">
        <v>-25201.731</v>
      </c>
      <c r="H25" s="28"/>
      <c r="K25"/>
    </row>
    <row r="26" spans="1:8" ht="25.5" customHeight="1">
      <c r="A26" s="8" t="s">
        <v>14</v>
      </c>
      <c r="B26" s="9" t="s">
        <v>15</v>
      </c>
      <c r="C26" s="31">
        <f>C27+C31</f>
        <v>15081804.590000033</v>
      </c>
      <c r="D26" s="17" t="e">
        <f>D27+D31</f>
        <v>#REF!</v>
      </c>
      <c r="H26" s="6"/>
    </row>
    <row r="27" spans="1:8" ht="12.75">
      <c r="A27" s="15" t="s">
        <v>16</v>
      </c>
      <c r="B27" s="18" t="s">
        <v>17</v>
      </c>
      <c r="C27" s="33">
        <f>C28</f>
        <v>-717469303.1</v>
      </c>
      <c r="D27" s="17">
        <f>D32</f>
        <v>0</v>
      </c>
      <c r="H27" s="28"/>
    </row>
    <row r="28" spans="1:8" ht="21" customHeight="1">
      <c r="A28" s="15" t="s">
        <v>18</v>
      </c>
      <c r="B28" s="19" t="s">
        <v>19</v>
      </c>
      <c r="C28" s="33">
        <f>C29</f>
        <v>-717469303.1</v>
      </c>
      <c r="D28" s="17"/>
      <c r="H28" s="6"/>
    </row>
    <row r="29" spans="1:4" ht="25.5">
      <c r="A29" s="15" t="s">
        <v>20</v>
      </c>
      <c r="B29" s="18" t="s">
        <v>21</v>
      </c>
      <c r="C29" s="33">
        <f>C30</f>
        <v>-717469303.1</v>
      </c>
      <c r="D29" s="17"/>
    </row>
    <row r="30" spans="1:8" ht="25.5">
      <c r="A30" s="15" t="s">
        <v>22</v>
      </c>
      <c r="B30" s="18" t="s">
        <v>65</v>
      </c>
      <c r="C30" s="33">
        <f>-717469303.1-C37</f>
        <v>-717469303.1</v>
      </c>
      <c r="D30" s="17"/>
      <c r="H30" s="6"/>
    </row>
    <row r="31" spans="1:4" ht="14.25" customHeight="1">
      <c r="A31" s="15" t="s">
        <v>23</v>
      </c>
      <c r="B31" s="18" t="s">
        <v>24</v>
      </c>
      <c r="C31" s="33">
        <f>C32</f>
        <v>732551107.69</v>
      </c>
      <c r="D31" s="17" t="e">
        <f>#REF!</f>
        <v>#REF!</v>
      </c>
    </row>
    <row r="32" spans="1:8" ht="12.75">
      <c r="A32" s="15" t="s">
        <v>25</v>
      </c>
      <c r="B32" s="20" t="s">
        <v>26</v>
      </c>
      <c r="C32" s="33">
        <f>C33</f>
        <v>732551107.69</v>
      </c>
      <c r="D32" s="17"/>
      <c r="H32" s="6"/>
    </row>
    <row r="33" spans="1:4" ht="25.5">
      <c r="A33" s="15" t="s">
        <v>27</v>
      </c>
      <c r="B33" s="18" t="s">
        <v>28</v>
      </c>
      <c r="C33" s="33">
        <f>C34</f>
        <v>732551107.69</v>
      </c>
      <c r="D33" s="17"/>
    </row>
    <row r="34" spans="1:10" ht="25.5">
      <c r="A34" s="15" t="s">
        <v>29</v>
      </c>
      <c r="B34" s="18" t="s">
        <v>0</v>
      </c>
      <c r="C34" s="33">
        <f>732551107.69-C44</f>
        <v>732551107.69</v>
      </c>
      <c r="D34" s="17">
        <v>274680.758</v>
      </c>
      <c r="H34" s="6"/>
      <c r="J34" s="5"/>
    </row>
    <row r="35" spans="1:3" ht="25.5">
      <c r="A35" s="24" t="s">
        <v>35</v>
      </c>
      <c r="B35" s="25" t="s">
        <v>36</v>
      </c>
      <c r="C35" s="35">
        <f>C36</f>
        <v>0</v>
      </c>
    </row>
    <row r="36" spans="1:3" ht="38.25">
      <c r="A36" s="24" t="s">
        <v>37</v>
      </c>
      <c r="B36" s="25" t="s">
        <v>38</v>
      </c>
      <c r="C36" s="35">
        <f>C37+C44</f>
        <v>0</v>
      </c>
    </row>
    <row r="37" spans="1:3" ht="27.75" customHeight="1">
      <c r="A37" s="12" t="s">
        <v>39</v>
      </c>
      <c r="B37" s="13" t="s">
        <v>40</v>
      </c>
      <c r="C37" s="36">
        <f>C41+C43</f>
        <v>0</v>
      </c>
    </row>
    <row r="38" spans="1:3" ht="55.5" customHeight="1">
      <c r="A38" s="12" t="s">
        <v>41</v>
      </c>
      <c r="B38" s="13" t="s">
        <v>54</v>
      </c>
      <c r="C38" s="36">
        <f>C39</f>
        <v>0</v>
      </c>
    </row>
    <row r="39" spans="1:3" ht="51">
      <c r="A39" s="12" t="s">
        <v>42</v>
      </c>
      <c r="B39" s="13" t="s">
        <v>43</v>
      </c>
      <c r="C39" s="36">
        <f>C40</f>
        <v>0</v>
      </c>
    </row>
    <row r="40" spans="1:3" ht="25.5">
      <c r="A40" s="12" t="s">
        <v>44</v>
      </c>
      <c r="B40" s="13" t="s">
        <v>45</v>
      </c>
      <c r="C40" s="36">
        <f>C41</f>
        <v>0</v>
      </c>
    </row>
    <row r="41" spans="1:3" ht="76.5">
      <c r="A41" s="12" t="s">
        <v>46</v>
      </c>
      <c r="B41" s="13" t="s">
        <v>47</v>
      </c>
      <c r="C41" s="36"/>
    </row>
    <row r="42" spans="1:3" ht="45">
      <c r="A42" s="12" t="s">
        <v>74</v>
      </c>
      <c r="B42" s="37" t="s">
        <v>75</v>
      </c>
      <c r="C42" s="36">
        <v>0</v>
      </c>
    </row>
    <row r="43" spans="1:3" ht="75">
      <c r="A43" s="12" t="s">
        <v>76</v>
      </c>
      <c r="B43" s="37" t="s">
        <v>77</v>
      </c>
      <c r="C43" s="36">
        <v>0</v>
      </c>
    </row>
    <row r="44" spans="1:3" ht="25.5">
      <c r="A44" s="12" t="s">
        <v>48</v>
      </c>
      <c r="B44" s="13" t="s">
        <v>49</v>
      </c>
      <c r="C44" s="36">
        <f>C45</f>
        <v>0</v>
      </c>
    </row>
    <row r="45" spans="1:3" ht="38.25">
      <c r="A45" s="12" t="s">
        <v>50</v>
      </c>
      <c r="B45" s="13" t="s">
        <v>51</v>
      </c>
      <c r="C45" s="36">
        <f>C46</f>
        <v>0</v>
      </c>
    </row>
    <row r="46" spans="1:3" ht="51">
      <c r="A46" s="12" t="s">
        <v>52</v>
      </c>
      <c r="B46" s="13" t="s">
        <v>53</v>
      </c>
      <c r="C46" s="36">
        <f>C47+C49</f>
        <v>0</v>
      </c>
    </row>
    <row r="47" spans="1:3" ht="25.5">
      <c r="A47" s="12" t="s">
        <v>55</v>
      </c>
      <c r="B47" s="13" t="s">
        <v>45</v>
      </c>
      <c r="C47" s="36"/>
    </row>
    <row r="48" spans="1:3" ht="25.5">
      <c r="A48" s="12" t="s">
        <v>56</v>
      </c>
      <c r="B48" s="13" t="s">
        <v>45</v>
      </c>
      <c r="C48" s="36"/>
    </row>
    <row r="49" spans="1:3" ht="25.5">
      <c r="A49" s="12" t="s">
        <v>78</v>
      </c>
      <c r="B49" s="13" t="s">
        <v>79</v>
      </c>
      <c r="C49" s="36">
        <v>0</v>
      </c>
    </row>
    <row r="50" spans="1:3" ht="48.75" customHeight="1">
      <c r="A50" s="12" t="s">
        <v>80</v>
      </c>
      <c r="B50" s="13" t="s">
        <v>81</v>
      </c>
      <c r="C50" s="36">
        <v>0</v>
      </c>
    </row>
    <row r="61" ht="12.75">
      <c r="B61" s="5"/>
    </row>
    <row r="62" ht="12.75">
      <c r="B62" s="5"/>
    </row>
    <row r="69" ht="12.75">
      <c r="B69" s="5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4.625" style="213" customWidth="1"/>
  </cols>
  <sheetData>
    <row r="1" spans="1:3" ht="12.75">
      <c r="A1" s="2"/>
      <c r="B1" s="422" t="s">
        <v>85</v>
      </c>
      <c r="C1" s="422"/>
    </row>
    <row r="2" spans="1:3" ht="11.25" customHeight="1">
      <c r="A2" s="2"/>
      <c r="B2" s="422" t="s">
        <v>86</v>
      </c>
      <c r="C2" s="422"/>
    </row>
    <row r="3" spans="1:3" ht="12.75" customHeight="1">
      <c r="A3" s="2"/>
      <c r="B3" s="422" t="s">
        <v>87</v>
      </c>
      <c r="C3" s="422"/>
    </row>
    <row r="4" spans="1:3" ht="12.75" customHeight="1">
      <c r="A4" s="2"/>
      <c r="B4" s="422" t="s">
        <v>88</v>
      </c>
      <c r="C4" s="422"/>
    </row>
    <row r="5" spans="1:3" ht="12.75" customHeight="1">
      <c r="A5" s="2"/>
      <c r="B5" s="422" t="s">
        <v>89</v>
      </c>
      <c r="C5" s="422"/>
    </row>
    <row r="6" spans="1:3" ht="13.5" customHeight="1">
      <c r="A6" s="2"/>
      <c r="B6" s="423" t="s">
        <v>90</v>
      </c>
      <c r="C6" s="423"/>
    </row>
    <row r="7" spans="1:3" ht="11.25" customHeight="1">
      <c r="A7" s="2"/>
      <c r="B7" s="422" t="s">
        <v>91</v>
      </c>
      <c r="C7" s="422"/>
    </row>
    <row r="8" spans="1:3" ht="12" customHeight="1">
      <c r="A8" s="2"/>
      <c r="B8" s="422" t="s">
        <v>92</v>
      </c>
      <c r="C8" s="422"/>
    </row>
    <row r="9" spans="1:3" ht="11.25" customHeight="1">
      <c r="A9" s="2"/>
      <c r="B9" s="422" t="s">
        <v>93</v>
      </c>
      <c r="C9" s="422"/>
    </row>
    <row r="10" spans="1:3" ht="12" customHeight="1">
      <c r="A10" s="426"/>
      <c r="B10" s="426"/>
      <c r="C10" s="426"/>
    </row>
    <row r="11" spans="2:3" ht="12.75" hidden="1">
      <c r="B11" s="40"/>
      <c r="C11" s="40"/>
    </row>
    <row r="12" spans="1:3" ht="15" customHeight="1">
      <c r="A12" s="427" t="s">
        <v>94</v>
      </c>
      <c r="B12" s="427"/>
      <c r="C12" s="427"/>
    </row>
    <row r="13" spans="1:3" ht="14.25" customHeight="1">
      <c r="A13" s="427" t="s">
        <v>95</v>
      </c>
      <c r="B13" s="427"/>
      <c r="C13" s="427"/>
    </row>
    <row r="14" spans="1:3" ht="15" customHeight="1">
      <c r="A14" s="424" t="s">
        <v>96</v>
      </c>
      <c r="B14" s="424"/>
      <c r="C14" s="424"/>
    </row>
    <row r="15" spans="1:3" ht="12.75" hidden="1">
      <c r="A15" s="41"/>
      <c r="B15" s="42"/>
      <c r="C15" s="43"/>
    </row>
    <row r="16" spans="1:3" ht="13.5" customHeight="1">
      <c r="A16" s="41"/>
      <c r="B16" s="42"/>
      <c r="C16" s="44" t="s">
        <v>97</v>
      </c>
    </row>
    <row r="17" spans="1:3" ht="38.25" customHeight="1">
      <c r="A17" s="45" t="s">
        <v>62</v>
      </c>
      <c r="B17" s="46" t="s">
        <v>98</v>
      </c>
      <c r="C17" s="47" t="s">
        <v>99</v>
      </c>
    </row>
    <row r="18" spans="1:3" ht="12.75">
      <c r="A18" s="48">
        <v>1</v>
      </c>
      <c r="B18" s="48">
        <v>2</v>
      </c>
      <c r="C18" s="49">
        <v>3</v>
      </c>
    </row>
    <row r="19" spans="1:3" ht="14.25" customHeight="1">
      <c r="A19" s="425" t="s">
        <v>100</v>
      </c>
      <c r="B19" s="425"/>
      <c r="C19" s="50">
        <f>C20+C158</f>
        <v>719727810.0999999</v>
      </c>
    </row>
    <row r="20" spans="1:3" ht="15.75" customHeight="1">
      <c r="A20" s="51" t="s">
        <v>101</v>
      </c>
      <c r="B20" s="52" t="s">
        <v>102</v>
      </c>
      <c r="C20" s="50">
        <f>C21+C37+C52+C60+C82+C90+C93+C113+C116+C155+C58+C27</f>
        <v>307303821</v>
      </c>
    </row>
    <row r="21" spans="1:3" ht="16.5" customHeight="1">
      <c r="A21" s="53" t="s">
        <v>103</v>
      </c>
      <c r="B21" s="54" t="s">
        <v>104</v>
      </c>
      <c r="C21" s="50">
        <f>C22</f>
        <v>132418673</v>
      </c>
    </row>
    <row r="22" spans="1:3" ht="16.5" customHeight="1">
      <c r="A22" s="53" t="s">
        <v>105</v>
      </c>
      <c r="B22" s="55" t="s">
        <v>106</v>
      </c>
      <c r="C22" s="50">
        <f>C23+C24+C25+C26</f>
        <v>132418673</v>
      </c>
    </row>
    <row r="23" spans="1:3" ht="52.5" customHeight="1">
      <c r="A23" s="56" t="s">
        <v>107</v>
      </c>
      <c r="B23" s="57" t="s">
        <v>108</v>
      </c>
      <c r="C23" s="58">
        <f>128289798+2900000+310000</f>
        <v>131499798</v>
      </c>
    </row>
    <row r="24" spans="1:3" ht="79.5" customHeight="1">
      <c r="A24" s="56" t="s">
        <v>109</v>
      </c>
      <c r="B24" s="57" t="s">
        <v>110</v>
      </c>
      <c r="C24" s="59">
        <f>2650408-2100000-50000</f>
        <v>500408</v>
      </c>
    </row>
    <row r="25" spans="1:3" ht="38.25">
      <c r="A25" s="60" t="s">
        <v>111</v>
      </c>
      <c r="B25" s="57" t="s">
        <v>112</v>
      </c>
      <c r="C25" s="59">
        <f>1478467-800000-260000</f>
        <v>418467</v>
      </c>
    </row>
    <row r="26" spans="1:3" ht="63.75" hidden="1">
      <c r="A26" s="56" t="s">
        <v>113</v>
      </c>
      <c r="B26" s="57" t="s">
        <v>114</v>
      </c>
      <c r="C26" s="58"/>
    </row>
    <row r="27" spans="1:3" s="63" customFormat="1" ht="24" customHeight="1">
      <c r="A27" s="61" t="s">
        <v>115</v>
      </c>
      <c r="B27" s="62" t="s">
        <v>116</v>
      </c>
      <c r="C27" s="50">
        <f>C28</f>
        <v>4904469</v>
      </c>
    </row>
    <row r="28" spans="1:3" s="63" customFormat="1" ht="27" customHeight="1">
      <c r="A28" s="61" t="s">
        <v>117</v>
      </c>
      <c r="B28" s="57" t="s">
        <v>118</v>
      </c>
      <c r="C28" s="50">
        <f>C29+C31+C33+C35</f>
        <v>4904469</v>
      </c>
    </row>
    <row r="29" spans="1:3" ht="50.25" customHeight="1">
      <c r="A29" s="61" t="s">
        <v>119</v>
      </c>
      <c r="B29" s="62" t="s">
        <v>120</v>
      </c>
      <c r="C29" s="64">
        <f>C30</f>
        <v>1778489</v>
      </c>
    </row>
    <row r="30" spans="1:3" ht="78" customHeight="1">
      <c r="A30" s="65" t="s">
        <v>121</v>
      </c>
      <c r="B30" s="66" t="s">
        <v>122</v>
      </c>
      <c r="C30" s="58">
        <v>1778489</v>
      </c>
    </row>
    <row r="31" spans="1:3" ht="63" customHeight="1">
      <c r="A31" s="61" t="s">
        <v>123</v>
      </c>
      <c r="B31" s="62" t="s">
        <v>124</v>
      </c>
      <c r="C31" s="64">
        <f>C32</f>
        <v>12461</v>
      </c>
    </row>
    <row r="32" spans="1:3" ht="93" customHeight="1">
      <c r="A32" s="65" t="s">
        <v>125</v>
      </c>
      <c r="B32" s="67" t="s">
        <v>126</v>
      </c>
      <c r="C32" s="58">
        <v>12461</v>
      </c>
    </row>
    <row r="33" spans="1:3" ht="47.25" customHeight="1">
      <c r="A33" s="61" t="s">
        <v>127</v>
      </c>
      <c r="B33" s="62" t="s">
        <v>128</v>
      </c>
      <c r="C33" s="64">
        <f>C34</f>
        <v>3444233</v>
      </c>
    </row>
    <row r="34" spans="1:3" ht="77.25" customHeight="1">
      <c r="A34" s="65" t="s">
        <v>129</v>
      </c>
      <c r="B34" s="66" t="s">
        <v>130</v>
      </c>
      <c r="C34" s="58">
        <v>3444233</v>
      </c>
    </row>
    <row r="35" spans="1:3" ht="47.25" customHeight="1">
      <c r="A35" s="61" t="s">
        <v>131</v>
      </c>
      <c r="B35" s="62" t="s">
        <v>132</v>
      </c>
      <c r="C35" s="64">
        <f>C36</f>
        <v>-330714</v>
      </c>
    </row>
    <row r="36" spans="1:3" ht="77.25" customHeight="1">
      <c r="A36" s="65" t="s">
        <v>133</v>
      </c>
      <c r="B36" s="66" t="s">
        <v>134</v>
      </c>
      <c r="C36" s="58">
        <v>-330714</v>
      </c>
    </row>
    <row r="37" spans="1:3" ht="18" customHeight="1">
      <c r="A37" s="51" t="s">
        <v>135</v>
      </c>
      <c r="B37" s="52" t="s">
        <v>136</v>
      </c>
      <c r="C37" s="50">
        <f>C44+C47+C50+C38</f>
        <v>4939770</v>
      </c>
    </row>
    <row r="38" spans="1:3" ht="25.5" customHeight="1">
      <c r="A38" s="68" t="s">
        <v>137</v>
      </c>
      <c r="B38" s="69" t="s">
        <v>138</v>
      </c>
      <c r="C38" s="70">
        <f>C39+C41+C43</f>
        <v>379624</v>
      </c>
    </row>
    <row r="39" spans="1:3" ht="26.25" customHeight="1">
      <c r="A39" s="68" t="s">
        <v>139</v>
      </c>
      <c r="B39" s="71" t="s">
        <v>140</v>
      </c>
      <c r="C39" s="70">
        <f>C40</f>
        <v>241067</v>
      </c>
    </row>
    <row r="40" spans="1:3" ht="27" customHeight="1">
      <c r="A40" s="68" t="s">
        <v>141</v>
      </c>
      <c r="B40" s="71" t="s">
        <v>140</v>
      </c>
      <c r="C40" s="59">
        <f>150067+31000+60000</f>
        <v>241067</v>
      </c>
    </row>
    <row r="41" spans="1:3" ht="27" customHeight="1">
      <c r="A41" s="68" t="s">
        <v>142</v>
      </c>
      <c r="B41" s="72" t="s">
        <v>143</v>
      </c>
      <c r="C41" s="70">
        <f>C42</f>
        <v>138557</v>
      </c>
    </row>
    <row r="42" spans="1:3" ht="38.25" customHeight="1">
      <c r="A42" s="73" t="s">
        <v>144</v>
      </c>
      <c r="B42" s="74" t="s">
        <v>145</v>
      </c>
      <c r="C42" s="58">
        <f>68557+50000+20000</f>
        <v>138557</v>
      </c>
    </row>
    <row r="43" spans="1:3" ht="22.5" hidden="1">
      <c r="A43" s="75" t="s">
        <v>146</v>
      </c>
      <c r="B43" s="76" t="s">
        <v>147</v>
      </c>
      <c r="C43" s="58"/>
    </row>
    <row r="44" spans="1:3" s="5" customFormat="1" ht="17.25" customHeight="1">
      <c r="A44" s="51" t="s">
        <v>148</v>
      </c>
      <c r="B44" s="52" t="s">
        <v>149</v>
      </c>
      <c r="C44" s="50">
        <f>C45+C46</f>
        <v>4426661</v>
      </c>
    </row>
    <row r="45" spans="1:3" ht="17.25" customHeight="1">
      <c r="A45" s="56" t="s">
        <v>150</v>
      </c>
      <c r="B45" s="77" t="s">
        <v>149</v>
      </c>
      <c r="C45" s="58">
        <f>4686961-50000-110000-100300</f>
        <v>4426661</v>
      </c>
    </row>
    <row r="46" spans="1:3" ht="27" customHeight="1" hidden="1">
      <c r="A46" s="56" t="s">
        <v>151</v>
      </c>
      <c r="B46" s="57" t="s">
        <v>152</v>
      </c>
      <c r="C46" s="58"/>
    </row>
    <row r="47" spans="1:3" s="5" customFormat="1" ht="15.75" customHeight="1">
      <c r="A47" s="51" t="s">
        <v>153</v>
      </c>
      <c r="B47" s="54" t="s">
        <v>154</v>
      </c>
      <c r="C47" s="50">
        <f>C48+C49</f>
        <v>131195</v>
      </c>
    </row>
    <row r="48" spans="1:3" ht="16.5" customHeight="1">
      <c r="A48" s="56" t="s">
        <v>155</v>
      </c>
      <c r="B48" s="78" t="s">
        <v>154</v>
      </c>
      <c r="C48" s="58">
        <f>22195+64000+45000</f>
        <v>131195</v>
      </c>
    </row>
    <row r="49" spans="1:3" ht="25.5" hidden="1">
      <c r="A49" s="56" t="s">
        <v>156</v>
      </c>
      <c r="B49" s="57" t="s">
        <v>157</v>
      </c>
      <c r="C49" s="58"/>
    </row>
    <row r="50" spans="1:3" s="5" customFormat="1" ht="25.5">
      <c r="A50" s="51" t="s">
        <v>158</v>
      </c>
      <c r="B50" s="69" t="s">
        <v>159</v>
      </c>
      <c r="C50" s="50">
        <f>C51</f>
        <v>2290</v>
      </c>
    </row>
    <row r="51" spans="1:3" ht="25.5">
      <c r="A51" s="56" t="s">
        <v>160</v>
      </c>
      <c r="B51" s="69" t="s">
        <v>161</v>
      </c>
      <c r="C51" s="59">
        <f>27990-26000+300</f>
        <v>2290</v>
      </c>
    </row>
    <row r="52" spans="1:3" ht="15.75" customHeight="1">
      <c r="A52" s="51" t="s">
        <v>162</v>
      </c>
      <c r="B52" s="52" t="s">
        <v>163</v>
      </c>
      <c r="C52" s="50">
        <f>C53+C55</f>
        <v>1159228</v>
      </c>
    </row>
    <row r="53" spans="1:3" ht="23.25" customHeight="1">
      <c r="A53" s="51" t="s">
        <v>164</v>
      </c>
      <c r="B53" s="62" t="s">
        <v>165</v>
      </c>
      <c r="C53" s="50">
        <f>C54</f>
        <v>1154228</v>
      </c>
    </row>
    <row r="54" spans="1:3" ht="39.75" customHeight="1">
      <c r="A54" s="56" t="s">
        <v>166</v>
      </c>
      <c r="B54" s="57" t="s">
        <v>167</v>
      </c>
      <c r="C54" s="58">
        <f>1159228-5000</f>
        <v>1154228</v>
      </c>
    </row>
    <row r="55" spans="1:3" s="81" customFormat="1" ht="24.75" customHeight="1">
      <c r="A55" s="79" t="s">
        <v>168</v>
      </c>
      <c r="B55" s="80" t="s">
        <v>169</v>
      </c>
      <c r="C55" s="70">
        <f>C56+C57</f>
        <v>5000</v>
      </c>
    </row>
    <row r="56" spans="1:3" ht="51" hidden="1">
      <c r="A56" s="56" t="s">
        <v>170</v>
      </c>
      <c r="B56" s="57" t="s">
        <v>171</v>
      </c>
      <c r="C56" s="59"/>
    </row>
    <row r="57" spans="1:3" ht="24.75" customHeight="1">
      <c r="A57" s="56" t="s">
        <v>172</v>
      </c>
      <c r="B57" s="57" t="s">
        <v>173</v>
      </c>
      <c r="C57" s="58">
        <v>5000</v>
      </c>
    </row>
    <row r="58" spans="1:3" ht="25.5" hidden="1">
      <c r="A58" s="82" t="s">
        <v>174</v>
      </c>
      <c r="B58" s="83" t="s">
        <v>175</v>
      </c>
      <c r="C58" s="50">
        <f>C59</f>
        <v>0</v>
      </c>
    </row>
    <row r="59" spans="1:3" s="42" customFormat="1" ht="51" hidden="1">
      <c r="A59" s="84" t="s">
        <v>176</v>
      </c>
      <c r="B59" s="85" t="s">
        <v>177</v>
      </c>
      <c r="C59" s="58"/>
    </row>
    <row r="60" spans="1:3" ht="26.25" customHeight="1">
      <c r="A60" s="51" t="s">
        <v>178</v>
      </c>
      <c r="B60" s="86" t="s">
        <v>179</v>
      </c>
      <c r="C60" s="50">
        <f>C61+C63+C65+C67+C75+C77+C79</f>
        <v>48283691</v>
      </c>
    </row>
    <row r="61" spans="1:3" ht="51" hidden="1">
      <c r="A61" s="87" t="s">
        <v>180</v>
      </c>
      <c r="B61" s="88" t="s">
        <v>181</v>
      </c>
      <c r="C61" s="50">
        <f>C62</f>
        <v>0</v>
      </c>
    </row>
    <row r="62" spans="1:3" ht="38.25" hidden="1">
      <c r="A62" s="89" t="s">
        <v>182</v>
      </c>
      <c r="B62" s="67" t="s">
        <v>183</v>
      </c>
      <c r="C62" s="58"/>
    </row>
    <row r="63" spans="1:3" ht="12.75" hidden="1">
      <c r="A63" s="87" t="s">
        <v>184</v>
      </c>
      <c r="B63" s="88" t="s">
        <v>185</v>
      </c>
      <c r="C63" s="50">
        <f>C64</f>
        <v>0</v>
      </c>
    </row>
    <row r="64" spans="1:3" ht="0.75" customHeight="1" hidden="1">
      <c r="A64" s="89" t="s">
        <v>186</v>
      </c>
      <c r="B64" s="57" t="s">
        <v>187</v>
      </c>
      <c r="C64" s="58"/>
    </row>
    <row r="65" spans="1:3" ht="25.5" hidden="1">
      <c r="A65" s="51" t="s">
        <v>188</v>
      </c>
      <c r="B65" s="88" t="s">
        <v>189</v>
      </c>
      <c r="C65" s="50">
        <f>C66</f>
        <v>0</v>
      </c>
    </row>
    <row r="66" spans="1:3" ht="25.5" hidden="1">
      <c r="A66" s="56" t="s">
        <v>190</v>
      </c>
      <c r="B66" s="57" t="s">
        <v>191</v>
      </c>
      <c r="C66" s="59"/>
    </row>
    <row r="67" spans="1:3" ht="58.5" customHeight="1">
      <c r="A67" s="51" t="s">
        <v>192</v>
      </c>
      <c r="B67" s="62" t="s">
        <v>193</v>
      </c>
      <c r="C67" s="50">
        <f>C68+C71+C73</f>
        <v>48283691</v>
      </c>
    </row>
    <row r="68" spans="1:3" ht="48.75" customHeight="1">
      <c r="A68" s="51" t="s">
        <v>194</v>
      </c>
      <c r="B68" s="62" t="s">
        <v>195</v>
      </c>
      <c r="C68" s="50">
        <f>C69+C70</f>
        <v>46512991</v>
      </c>
    </row>
    <row r="69" spans="1:3" ht="63.75" customHeight="1">
      <c r="A69" s="56" t="s">
        <v>196</v>
      </c>
      <c r="B69" s="67" t="s">
        <v>197</v>
      </c>
      <c r="C69" s="90">
        <f>4716009+2100000+1715000+1550000+5000000+24000000+7000000</f>
        <v>46081009</v>
      </c>
    </row>
    <row r="70" spans="1:3" ht="62.25" customHeight="1">
      <c r="A70" s="56" t="s">
        <v>198</v>
      </c>
      <c r="B70" s="57" t="s">
        <v>199</v>
      </c>
      <c r="C70" s="90">
        <f>446982-15000</f>
        <v>431982</v>
      </c>
    </row>
    <row r="71" spans="1:3" ht="15.75" customHeight="1" hidden="1">
      <c r="A71" s="91" t="s">
        <v>200</v>
      </c>
      <c r="B71" s="88" t="s">
        <v>201</v>
      </c>
      <c r="C71" s="58">
        <f>C72</f>
        <v>0</v>
      </c>
    </row>
    <row r="72" spans="1:3" ht="15.75" customHeight="1" hidden="1">
      <c r="A72" s="56" t="s">
        <v>202</v>
      </c>
      <c r="B72" s="57" t="s">
        <v>203</v>
      </c>
      <c r="C72" s="58"/>
    </row>
    <row r="73" spans="1:3" ht="63.75" customHeight="1">
      <c r="A73" s="51" t="s">
        <v>204</v>
      </c>
      <c r="B73" s="88" t="s">
        <v>205</v>
      </c>
      <c r="C73" s="50">
        <f>C74</f>
        <v>1770700</v>
      </c>
    </row>
    <row r="74" spans="1:3" ht="51" customHeight="1">
      <c r="A74" s="56" t="s">
        <v>206</v>
      </c>
      <c r="B74" s="57" t="s">
        <v>207</v>
      </c>
      <c r="C74" s="58">
        <f>1070700+350000+250000+100000</f>
        <v>1770700</v>
      </c>
    </row>
    <row r="75" spans="1:3" ht="25.5" hidden="1">
      <c r="A75" s="91" t="s">
        <v>208</v>
      </c>
      <c r="B75" s="88" t="s">
        <v>209</v>
      </c>
      <c r="C75" s="50">
        <f>C76</f>
        <v>0</v>
      </c>
    </row>
    <row r="76" spans="1:3" ht="38.25" hidden="1">
      <c r="A76" s="56" t="s">
        <v>210</v>
      </c>
      <c r="B76" s="57" t="s">
        <v>211</v>
      </c>
      <c r="C76" s="58"/>
    </row>
    <row r="77" spans="1:3" ht="63.75" hidden="1">
      <c r="A77" s="91" t="s">
        <v>212</v>
      </c>
      <c r="B77" s="88" t="s">
        <v>213</v>
      </c>
      <c r="C77" s="50">
        <f>C78</f>
        <v>0</v>
      </c>
    </row>
    <row r="78" spans="1:3" ht="63.75" hidden="1">
      <c r="A78" s="56" t="s">
        <v>214</v>
      </c>
      <c r="B78" s="57" t="s">
        <v>215</v>
      </c>
      <c r="C78" s="58"/>
    </row>
    <row r="79" spans="1:3" ht="3.75" customHeight="1" hidden="1">
      <c r="A79" s="91" t="s">
        <v>216</v>
      </c>
      <c r="B79" s="88" t="s">
        <v>217</v>
      </c>
      <c r="C79" s="50">
        <f>C80</f>
        <v>0</v>
      </c>
    </row>
    <row r="80" spans="1:3" ht="63.75" hidden="1">
      <c r="A80" s="56" t="s">
        <v>218</v>
      </c>
      <c r="B80" s="57" t="s">
        <v>219</v>
      </c>
      <c r="C80" s="58">
        <f>C81</f>
        <v>0</v>
      </c>
    </row>
    <row r="81" spans="1:3" ht="51" hidden="1">
      <c r="A81" s="56" t="s">
        <v>220</v>
      </c>
      <c r="B81" s="57" t="s">
        <v>221</v>
      </c>
      <c r="C81" s="58"/>
    </row>
    <row r="82" spans="1:3" ht="16.5" customHeight="1">
      <c r="A82" s="51" t="s">
        <v>222</v>
      </c>
      <c r="B82" s="52" t="s">
        <v>223</v>
      </c>
      <c r="C82" s="50">
        <f>C83</f>
        <v>165220</v>
      </c>
    </row>
    <row r="83" spans="1:3" ht="15.75" customHeight="1">
      <c r="A83" s="56" t="s">
        <v>224</v>
      </c>
      <c r="B83" s="77" t="s">
        <v>225</v>
      </c>
      <c r="C83" s="50">
        <f>SUM(C84:C87)</f>
        <v>165220</v>
      </c>
    </row>
    <row r="84" spans="1:3" ht="24.75" customHeight="1">
      <c r="A84" s="56" t="s">
        <v>226</v>
      </c>
      <c r="B84" s="71" t="s">
        <v>227</v>
      </c>
      <c r="C84" s="58">
        <f>133210+6000+23250</f>
        <v>162460</v>
      </c>
    </row>
    <row r="85" spans="1:3" ht="12.75" hidden="1">
      <c r="A85" s="56" t="s">
        <v>228</v>
      </c>
      <c r="B85" s="71" t="s">
        <v>229</v>
      </c>
      <c r="C85" s="58"/>
    </row>
    <row r="86" spans="1:3" ht="15" customHeight="1">
      <c r="A86" s="56" t="s">
        <v>230</v>
      </c>
      <c r="B86" s="71" t="s">
        <v>229</v>
      </c>
      <c r="C86" s="58">
        <f>7260-6000-350</f>
        <v>910</v>
      </c>
    </row>
    <row r="87" spans="1:3" s="93" customFormat="1" ht="15">
      <c r="A87" s="51" t="s">
        <v>231</v>
      </c>
      <c r="B87" s="92" t="s">
        <v>232</v>
      </c>
      <c r="C87" s="50">
        <f>C88+C89</f>
        <v>1850</v>
      </c>
    </row>
    <row r="88" spans="1:3" s="93" customFormat="1" ht="13.5" customHeight="1">
      <c r="A88" s="60" t="s">
        <v>233</v>
      </c>
      <c r="B88" s="94" t="s">
        <v>234</v>
      </c>
      <c r="C88" s="58">
        <f>2750-900</f>
        <v>1850</v>
      </c>
    </row>
    <row r="89" spans="1:3" s="81" customFormat="1" ht="15" customHeight="1" hidden="1">
      <c r="A89" s="60" t="s">
        <v>235</v>
      </c>
      <c r="B89" s="95" t="s">
        <v>236</v>
      </c>
      <c r="C89" s="59"/>
    </row>
    <row r="90" spans="1:3" ht="22.5" customHeight="1">
      <c r="A90" s="51" t="s">
        <v>237</v>
      </c>
      <c r="B90" s="96" t="s">
        <v>238</v>
      </c>
      <c r="C90" s="50">
        <f>C91</f>
        <v>8758843</v>
      </c>
    </row>
    <row r="91" spans="1:3" ht="15.75" customHeight="1">
      <c r="A91" s="51" t="s">
        <v>239</v>
      </c>
      <c r="B91" s="97" t="s">
        <v>240</v>
      </c>
      <c r="C91" s="50">
        <f>C92</f>
        <v>8758843</v>
      </c>
    </row>
    <row r="92" spans="1:3" ht="24.75" customHeight="1">
      <c r="A92" s="56" t="s">
        <v>241</v>
      </c>
      <c r="B92" s="69" t="s">
        <v>242</v>
      </c>
      <c r="C92" s="59">
        <f>14124184+712000-6327341+250000</f>
        <v>8758843</v>
      </c>
    </row>
    <row r="93" spans="1:3" ht="24" customHeight="1">
      <c r="A93" s="51" t="s">
        <v>243</v>
      </c>
      <c r="B93" s="62" t="s">
        <v>244</v>
      </c>
      <c r="C93" s="50">
        <f>C94+C96+C101+C102+C105+C107</f>
        <v>105829000</v>
      </c>
    </row>
    <row r="94" spans="1:3" ht="12.75" hidden="1">
      <c r="A94" s="87" t="s">
        <v>245</v>
      </c>
      <c r="B94" s="88" t="s">
        <v>246</v>
      </c>
      <c r="C94" s="50">
        <f>C95</f>
        <v>0</v>
      </c>
    </row>
    <row r="95" spans="1:3" ht="25.5" hidden="1">
      <c r="A95" s="89" t="s">
        <v>247</v>
      </c>
      <c r="B95" s="57" t="s">
        <v>248</v>
      </c>
      <c r="C95" s="58"/>
    </row>
    <row r="96" spans="1:3" ht="51" hidden="1">
      <c r="A96" s="87" t="s">
        <v>249</v>
      </c>
      <c r="B96" s="88" t="s">
        <v>250</v>
      </c>
      <c r="C96" s="50">
        <f>C97+C98+C99+C100</f>
        <v>0</v>
      </c>
    </row>
    <row r="97" spans="1:3" ht="63.75" hidden="1">
      <c r="A97" s="89" t="s">
        <v>251</v>
      </c>
      <c r="B97" s="57" t="s">
        <v>252</v>
      </c>
      <c r="C97" s="58"/>
    </row>
    <row r="98" spans="1:3" ht="63.75" hidden="1">
      <c r="A98" s="89" t="s">
        <v>253</v>
      </c>
      <c r="B98" s="57" t="s">
        <v>254</v>
      </c>
      <c r="C98" s="58"/>
    </row>
    <row r="99" spans="1:3" ht="63.75" hidden="1">
      <c r="A99" s="89" t="s">
        <v>255</v>
      </c>
      <c r="B99" s="57" t="s">
        <v>256</v>
      </c>
      <c r="C99" s="58"/>
    </row>
    <row r="100" spans="1:3" ht="63.75" hidden="1">
      <c r="A100" s="89" t="s">
        <v>257</v>
      </c>
      <c r="B100" s="57" t="s">
        <v>258</v>
      </c>
      <c r="C100" s="58"/>
    </row>
    <row r="101" spans="1:3" ht="38.25" hidden="1">
      <c r="A101" s="87" t="s">
        <v>259</v>
      </c>
      <c r="B101" s="88" t="s">
        <v>260</v>
      </c>
      <c r="C101" s="50">
        <f>C103</f>
        <v>0</v>
      </c>
    </row>
    <row r="102" spans="1:3" ht="38.25" hidden="1">
      <c r="A102" s="87" t="s">
        <v>261</v>
      </c>
      <c r="B102" s="88" t="s">
        <v>262</v>
      </c>
      <c r="C102" s="50">
        <f>C104</f>
        <v>0</v>
      </c>
    </row>
    <row r="103" spans="1:3" ht="0.75" customHeight="1" hidden="1">
      <c r="A103" s="89" t="s">
        <v>263</v>
      </c>
      <c r="B103" s="57" t="s">
        <v>264</v>
      </c>
      <c r="C103" s="58"/>
    </row>
    <row r="104" spans="1:3" ht="38.25" hidden="1">
      <c r="A104" s="89" t="s">
        <v>265</v>
      </c>
      <c r="B104" s="57" t="s">
        <v>266</v>
      </c>
      <c r="C104" s="58"/>
    </row>
    <row r="105" spans="1:3" ht="12.75" hidden="1">
      <c r="A105" s="87" t="s">
        <v>267</v>
      </c>
      <c r="B105" s="88" t="s">
        <v>268</v>
      </c>
      <c r="C105" s="58">
        <f>C106</f>
        <v>0</v>
      </c>
    </row>
    <row r="106" spans="1:3" ht="25.5" hidden="1">
      <c r="A106" s="89" t="s">
        <v>269</v>
      </c>
      <c r="B106" s="57" t="s">
        <v>270</v>
      </c>
      <c r="C106" s="58"/>
    </row>
    <row r="107" spans="1:3" ht="26.25" customHeight="1">
      <c r="A107" s="51" t="s">
        <v>271</v>
      </c>
      <c r="B107" s="88" t="s">
        <v>272</v>
      </c>
      <c r="C107" s="50">
        <f>C108+C111</f>
        <v>105829000</v>
      </c>
    </row>
    <row r="108" spans="1:3" ht="26.25" customHeight="1">
      <c r="A108" s="51" t="s">
        <v>273</v>
      </c>
      <c r="B108" s="88" t="s">
        <v>274</v>
      </c>
      <c r="C108" s="50">
        <f>C109+C110</f>
        <v>105829000</v>
      </c>
    </row>
    <row r="109" spans="1:3" ht="39" customHeight="1">
      <c r="A109" s="56" t="s">
        <v>275</v>
      </c>
      <c r="B109" s="67" t="s">
        <v>276</v>
      </c>
      <c r="C109" s="59">
        <f>2000+23475000+600000+22900000+2380000+4700000+40000000+5100000+6510000</f>
        <v>105667000</v>
      </c>
    </row>
    <row r="110" spans="1:3" ht="42" customHeight="1">
      <c r="A110" s="56" t="s">
        <v>277</v>
      </c>
      <c r="B110" s="57" t="s">
        <v>278</v>
      </c>
      <c r="C110" s="59">
        <f>2000+50000+20000+50000+50000-10000</f>
        <v>162000</v>
      </c>
    </row>
    <row r="111" spans="1:3" ht="38.25" hidden="1">
      <c r="A111" s="98" t="s">
        <v>279</v>
      </c>
      <c r="B111" s="99" t="s">
        <v>280</v>
      </c>
      <c r="C111" s="58">
        <f>C112</f>
        <v>0</v>
      </c>
    </row>
    <row r="112" spans="1:3" ht="38.25" hidden="1">
      <c r="A112" s="100" t="s">
        <v>281</v>
      </c>
      <c r="B112" s="67" t="s">
        <v>282</v>
      </c>
      <c r="C112" s="58"/>
    </row>
    <row r="113" spans="1:3" ht="12.75" hidden="1">
      <c r="A113" s="51" t="s">
        <v>283</v>
      </c>
      <c r="B113" s="52" t="s">
        <v>284</v>
      </c>
      <c r="C113" s="50">
        <f>C114</f>
        <v>0</v>
      </c>
    </row>
    <row r="114" spans="1:3" ht="25.5" hidden="1">
      <c r="A114" s="51" t="s">
        <v>285</v>
      </c>
      <c r="B114" s="88" t="s">
        <v>286</v>
      </c>
      <c r="C114" s="50">
        <f>C115</f>
        <v>0</v>
      </c>
    </row>
    <row r="115" spans="1:3" ht="25.5" hidden="1">
      <c r="A115" s="56" t="s">
        <v>287</v>
      </c>
      <c r="B115" s="57" t="s">
        <v>288</v>
      </c>
      <c r="C115" s="58"/>
    </row>
    <row r="116" spans="1:3" ht="17.25" customHeight="1">
      <c r="A116" s="51" t="s">
        <v>289</v>
      </c>
      <c r="B116" s="52" t="s">
        <v>290</v>
      </c>
      <c r="C116" s="50">
        <f>C117+C120+C122+C124+C126+C128+C139+C143+C144+C148+C153+C152+C142+C150+C146</f>
        <v>817927</v>
      </c>
    </row>
    <row r="117" spans="1:3" ht="25.5" customHeight="1">
      <c r="A117" s="51" t="s">
        <v>291</v>
      </c>
      <c r="B117" s="88" t="s">
        <v>292</v>
      </c>
      <c r="C117" s="50">
        <f>C118+C119</f>
        <v>7500</v>
      </c>
    </row>
    <row r="118" spans="1:3" ht="0.75" customHeight="1" hidden="1">
      <c r="A118" s="56" t="s">
        <v>293</v>
      </c>
      <c r="B118" s="57" t="s">
        <v>294</v>
      </c>
      <c r="C118" s="58"/>
    </row>
    <row r="119" spans="1:3" ht="38.25">
      <c r="A119" s="56" t="s">
        <v>295</v>
      </c>
      <c r="B119" s="57" t="s">
        <v>296</v>
      </c>
      <c r="C119" s="58">
        <f>3000+3000+1500</f>
        <v>7500</v>
      </c>
    </row>
    <row r="120" spans="1:3" ht="36" customHeight="1">
      <c r="A120" s="51" t="s">
        <v>297</v>
      </c>
      <c r="B120" s="62" t="s">
        <v>298</v>
      </c>
      <c r="C120" s="50">
        <f>C121</f>
        <v>60100</v>
      </c>
    </row>
    <row r="121" spans="1:3" ht="41.25" customHeight="1">
      <c r="A121" s="56" t="s">
        <v>299</v>
      </c>
      <c r="B121" s="57" t="s">
        <v>300</v>
      </c>
      <c r="C121" s="59">
        <f>45000+15100</f>
        <v>60100</v>
      </c>
    </row>
    <row r="122" spans="1:3" ht="25.5" hidden="1">
      <c r="A122" s="51" t="s">
        <v>301</v>
      </c>
      <c r="B122" s="88" t="s">
        <v>302</v>
      </c>
      <c r="C122" s="50">
        <f>C123</f>
        <v>0</v>
      </c>
    </row>
    <row r="123" spans="1:3" ht="25.5" hidden="1">
      <c r="A123" s="56" t="s">
        <v>303</v>
      </c>
      <c r="B123" s="57" t="s">
        <v>304</v>
      </c>
      <c r="C123" s="58"/>
    </row>
    <row r="124" spans="1:3" ht="23.25" customHeight="1">
      <c r="A124" s="51" t="s">
        <v>305</v>
      </c>
      <c r="B124" s="62" t="s">
        <v>306</v>
      </c>
      <c r="C124" s="50">
        <f>C125</f>
        <v>94000</v>
      </c>
    </row>
    <row r="125" spans="1:3" ht="38.25" customHeight="1">
      <c r="A125" s="56" t="s">
        <v>307</v>
      </c>
      <c r="B125" s="57" t="s">
        <v>308</v>
      </c>
      <c r="C125" s="58">
        <f>41000+26000+17000+10000</f>
        <v>94000</v>
      </c>
    </row>
    <row r="126" spans="1:3" s="5" customFormat="1" ht="12.75" hidden="1">
      <c r="A126" s="51" t="s">
        <v>309</v>
      </c>
      <c r="B126" s="52" t="s">
        <v>310</v>
      </c>
      <c r="C126" s="50">
        <f>C127</f>
        <v>0</v>
      </c>
    </row>
    <row r="127" spans="1:3" ht="38.25" hidden="1">
      <c r="A127" s="56" t="s">
        <v>311</v>
      </c>
      <c r="B127" s="57" t="s">
        <v>312</v>
      </c>
      <c r="C127" s="58"/>
    </row>
    <row r="128" spans="1:3" ht="72" hidden="1">
      <c r="A128" s="51" t="s">
        <v>313</v>
      </c>
      <c r="B128" s="62" t="s">
        <v>314</v>
      </c>
      <c r="C128" s="70">
        <f>C129+C130+C131+C132+C133+C134+C135+C137</f>
        <v>0</v>
      </c>
    </row>
    <row r="129" spans="1:3" ht="25.5" hidden="1">
      <c r="A129" s="56" t="s">
        <v>315</v>
      </c>
      <c r="B129" s="57" t="s">
        <v>316</v>
      </c>
      <c r="C129" s="58"/>
    </row>
    <row r="130" spans="1:3" ht="25.5" hidden="1">
      <c r="A130" s="56" t="s">
        <v>317</v>
      </c>
      <c r="B130" s="57" t="s">
        <v>318</v>
      </c>
      <c r="C130" s="58"/>
    </row>
    <row r="131" spans="1:3" ht="25.5" hidden="1">
      <c r="A131" s="56" t="s">
        <v>319</v>
      </c>
      <c r="B131" s="57" t="s">
        <v>320</v>
      </c>
      <c r="C131" s="58"/>
    </row>
    <row r="132" spans="1:3" ht="25.5" hidden="1">
      <c r="A132" s="56" t="s">
        <v>321</v>
      </c>
      <c r="B132" s="57" t="s">
        <v>322</v>
      </c>
      <c r="C132" s="58"/>
    </row>
    <row r="133" spans="1:3" ht="25.5" hidden="1">
      <c r="A133" s="56" t="s">
        <v>323</v>
      </c>
      <c r="B133" s="57" t="s">
        <v>324</v>
      </c>
      <c r="C133" s="58"/>
    </row>
    <row r="134" spans="1:3" s="81" customFormat="1" ht="24" customHeight="1" hidden="1">
      <c r="A134" s="60" t="s">
        <v>325</v>
      </c>
      <c r="B134" s="101" t="s">
        <v>326</v>
      </c>
      <c r="C134" s="59"/>
    </row>
    <row r="135" spans="1:3" ht="25.5" hidden="1">
      <c r="A135" s="91" t="s">
        <v>327</v>
      </c>
      <c r="B135" s="88" t="s">
        <v>328</v>
      </c>
      <c r="C135" s="58">
        <f>C136</f>
        <v>0</v>
      </c>
    </row>
    <row r="136" spans="1:3" ht="38.25" hidden="1">
      <c r="A136" s="56" t="s">
        <v>329</v>
      </c>
      <c r="B136" s="57" t="s">
        <v>330</v>
      </c>
      <c r="C136" s="58"/>
    </row>
    <row r="137" spans="1:3" ht="25.5" hidden="1">
      <c r="A137" s="91" t="s">
        <v>331</v>
      </c>
      <c r="B137" s="88" t="s">
        <v>332</v>
      </c>
      <c r="C137" s="58">
        <f>C138</f>
        <v>0</v>
      </c>
    </row>
    <row r="138" spans="1:3" ht="38.25" hidden="1">
      <c r="A138" s="56" t="s">
        <v>333</v>
      </c>
      <c r="B138" s="57" t="s">
        <v>334</v>
      </c>
      <c r="C138" s="58"/>
    </row>
    <row r="139" spans="1:3" ht="38.25">
      <c r="A139" s="56" t="s">
        <v>335</v>
      </c>
      <c r="B139" s="57" t="s">
        <v>336</v>
      </c>
      <c r="C139" s="50">
        <f>2000+500+1000+500</f>
        <v>4000</v>
      </c>
    </row>
    <row r="140" spans="1:3" ht="24">
      <c r="A140" s="102" t="s">
        <v>337</v>
      </c>
      <c r="B140" s="62" t="s">
        <v>338</v>
      </c>
      <c r="C140" s="70">
        <f>C141+C143</f>
        <v>45000</v>
      </c>
    </row>
    <row r="141" spans="1:3" ht="38.25" hidden="1">
      <c r="A141" s="61" t="s">
        <v>339</v>
      </c>
      <c r="B141" s="88" t="s">
        <v>340</v>
      </c>
      <c r="C141" s="70">
        <f>C142</f>
        <v>0</v>
      </c>
    </row>
    <row r="142" spans="1:3" ht="38.25" hidden="1">
      <c r="A142" s="103" t="s">
        <v>341</v>
      </c>
      <c r="B142" s="57" t="s">
        <v>342</v>
      </c>
      <c r="C142" s="58"/>
    </row>
    <row r="143" spans="1:3" ht="24" customHeight="1">
      <c r="A143" s="56" t="s">
        <v>343</v>
      </c>
      <c r="B143" s="57" t="s">
        <v>344</v>
      </c>
      <c r="C143" s="58">
        <f>25000+15000+2500+2500</f>
        <v>45000</v>
      </c>
    </row>
    <row r="144" spans="1:3" ht="25.5" hidden="1">
      <c r="A144" s="91" t="s">
        <v>345</v>
      </c>
      <c r="B144" s="88" t="s">
        <v>346</v>
      </c>
      <c r="C144" s="50">
        <f>C145</f>
        <v>0</v>
      </c>
    </row>
    <row r="145" spans="1:3" ht="38.25" hidden="1">
      <c r="A145" s="56" t="s">
        <v>347</v>
      </c>
      <c r="B145" s="57" t="s">
        <v>348</v>
      </c>
      <c r="C145" s="58"/>
    </row>
    <row r="146" spans="1:3" ht="35.25" customHeight="1" hidden="1">
      <c r="A146" s="104" t="s">
        <v>349</v>
      </c>
      <c r="B146" s="105" t="s">
        <v>350</v>
      </c>
      <c r="C146" s="50">
        <f>C147</f>
        <v>0</v>
      </c>
    </row>
    <row r="147" spans="1:3" ht="51" hidden="1">
      <c r="A147" s="106" t="s">
        <v>351</v>
      </c>
      <c r="B147" s="67" t="s">
        <v>352</v>
      </c>
      <c r="C147" s="58"/>
    </row>
    <row r="148" spans="1:3" ht="16.5" customHeight="1">
      <c r="A148" s="107" t="s">
        <v>353</v>
      </c>
      <c r="B148" s="108" t="s">
        <v>354</v>
      </c>
      <c r="C148" s="109">
        <f>C149</f>
        <v>36042</v>
      </c>
    </row>
    <row r="149" spans="1:3" ht="25.5" customHeight="1">
      <c r="A149" s="110" t="s">
        <v>355</v>
      </c>
      <c r="B149" s="111" t="s">
        <v>356</v>
      </c>
      <c r="C149" s="58">
        <f>2842+8000+24000+1200</f>
        <v>36042</v>
      </c>
    </row>
    <row r="150" spans="1:3" s="115" customFormat="1" ht="25.5" hidden="1">
      <c r="A150" s="112" t="s">
        <v>357</v>
      </c>
      <c r="B150" s="113" t="s">
        <v>358</v>
      </c>
      <c r="C150" s="114">
        <f>C151</f>
        <v>0</v>
      </c>
    </row>
    <row r="151" spans="1:3" ht="38.25" hidden="1">
      <c r="A151" s="116" t="s">
        <v>359</v>
      </c>
      <c r="B151" s="117" t="s">
        <v>360</v>
      </c>
      <c r="C151" s="70"/>
    </row>
    <row r="152" spans="1:3" ht="51" customHeight="1">
      <c r="A152" s="65" t="s">
        <v>361</v>
      </c>
      <c r="B152" s="57" t="s">
        <v>362</v>
      </c>
      <c r="C152" s="58">
        <f>114676-50000+17000+1000</f>
        <v>82676</v>
      </c>
    </row>
    <row r="153" spans="1:3" s="5" customFormat="1" ht="24" customHeight="1">
      <c r="A153" s="51" t="s">
        <v>363</v>
      </c>
      <c r="B153" s="62" t="s">
        <v>364</v>
      </c>
      <c r="C153" s="50">
        <f>C154</f>
        <v>488609</v>
      </c>
    </row>
    <row r="154" spans="1:3" ht="26.25" customHeight="1">
      <c r="A154" s="56" t="s">
        <v>365</v>
      </c>
      <c r="B154" s="57" t="s">
        <v>366</v>
      </c>
      <c r="C154" s="58">
        <f>670409-14000-77000-78100-12700</f>
        <v>488609</v>
      </c>
    </row>
    <row r="155" spans="1:3" ht="15.75" hidden="1">
      <c r="A155" s="87" t="s">
        <v>367</v>
      </c>
      <c r="B155" s="52" t="s">
        <v>368</v>
      </c>
      <c r="C155" s="118">
        <f>C156</f>
        <v>27000</v>
      </c>
    </row>
    <row r="156" spans="1:3" ht="12.75">
      <c r="A156" s="87" t="s">
        <v>369</v>
      </c>
      <c r="B156" s="99" t="s">
        <v>370</v>
      </c>
      <c r="C156" s="119">
        <f>C157</f>
        <v>27000</v>
      </c>
    </row>
    <row r="157" spans="1:3" ht="12.75">
      <c r="A157" s="56" t="s">
        <v>371</v>
      </c>
      <c r="B157" s="57" t="s">
        <v>372</v>
      </c>
      <c r="C157" s="120">
        <v>27000</v>
      </c>
    </row>
    <row r="158" spans="1:3" ht="17.25" customHeight="1">
      <c r="A158" s="121" t="s">
        <v>373</v>
      </c>
      <c r="B158" s="122" t="s">
        <v>374</v>
      </c>
      <c r="C158" s="123">
        <f>C159+C250+C257+C254</f>
        <v>412423989.09999996</v>
      </c>
    </row>
    <row r="159" spans="1:3" ht="27" customHeight="1">
      <c r="A159" s="121" t="s">
        <v>375</v>
      </c>
      <c r="B159" s="124" t="s">
        <v>376</v>
      </c>
      <c r="C159" s="125">
        <f>C160+C165+C193+C243</f>
        <v>405064700.33</v>
      </c>
    </row>
    <row r="160" spans="1:3" ht="16.5" customHeight="1">
      <c r="A160" s="126" t="s">
        <v>377</v>
      </c>
      <c r="B160" s="127" t="s">
        <v>378</v>
      </c>
      <c r="C160" s="128">
        <f>C161+C163</f>
        <v>12846773</v>
      </c>
    </row>
    <row r="161" spans="1:3" ht="12.75">
      <c r="A161" s="126" t="s">
        <v>379</v>
      </c>
      <c r="B161" s="129" t="s">
        <v>380</v>
      </c>
      <c r="C161" s="128">
        <f>C162</f>
        <v>9341043</v>
      </c>
    </row>
    <row r="162" spans="1:3" s="81" customFormat="1" ht="25.5">
      <c r="A162" s="130" t="s">
        <v>381</v>
      </c>
      <c r="B162" s="131" t="s">
        <v>382</v>
      </c>
      <c r="C162" s="132">
        <v>9341043</v>
      </c>
    </row>
    <row r="163" spans="1:3" ht="25.5">
      <c r="A163" s="126" t="s">
        <v>383</v>
      </c>
      <c r="B163" s="133" t="s">
        <v>384</v>
      </c>
      <c r="C163" s="125">
        <f>C164</f>
        <v>3505730</v>
      </c>
    </row>
    <row r="164" spans="1:3" ht="25.5">
      <c r="A164" s="134" t="s">
        <v>385</v>
      </c>
      <c r="B164" s="135" t="s">
        <v>386</v>
      </c>
      <c r="C164" s="132">
        <f>1960843+321209+1223678</f>
        <v>3505730</v>
      </c>
    </row>
    <row r="165" spans="1:3" ht="25.5" customHeight="1">
      <c r="A165" s="51" t="s">
        <v>387</v>
      </c>
      <c r="B165" s="136" t="s">
        <v>388</v>
      </c>
      <c r="C165" s="125">
        <f>C180+C166+C168+C172+C170+C176+C174</f>
        <v>46996032.33</v>
      </c>
    </row>
    <row r="166" spans="1:3" s="5" customFormat="1" ht="0.75" customHeight="1" hidden="1">
      <c r="A166" s="137"/>
      <c r="B166" s="138"/>
      <c r="C166" s="125">
        <f>C167</f>
        <v>0</v>
      </c>
    </row>
    <row r="167" spans="1:3" ht="12.75" hidden="1">
      <c r="A167" s="139"/>
      <c r="B167" s="140"/>
      <c r="C167" s="132"/>
    </row>
    <row r="168" spans="1:3" s="5" customFormat="1" ht="24" hidden="1">
      <c r="A168" s="104" t="s">
        <v>389</v>
      </c>
      <c r="B168" s="141" t="s">
        <v>390</v>
      </c>
      <c r="C168" s="125">
        <f>C169</f>
        <v>0</v>
      </c>
    </row>
    <row r="169" spans="1:3" ht="33" customHeight="1" hidden="1">
      <c r="A169" s="142" t="s">
        <v>391</v>
      </c>
      <c r="B169" s="140" t="s">
        <v>392</v>
      </c>
      <c r="C169" s="132"/>
    </row>
    <row r="170" spans="1:3" ht="24" hidden="1">
      <c r="A170" s="143" t="s">
        <v>393</v>
      </c>
      <c r="B170" s="144" t="s">
        <v>394</v>
      </c>
      <c r="C170" s="125">
        <f>C171</f>
        <v>0</v>
      </c>
    </row>
    <row r="171" spans="1:3" ht="38.25" hidden="1">
      <c r="A171" s="145" t="s">
        <v>395</v>
      </c>
      <c r="B171" s="146" t="s">
        <v>396</v>
      </c>
      <c r="C171" s="132"/>
    </row>
    <row r="172" spans="1:3" ht="35.25" customHeight="1">
      <c r="A172" s="104" t="s">
        <v>397</v>
      </c>
      <c r="B172" s="141" t="s">
        <v>398</v>
      </c>
      <c r="C172" s="125">
        <f>C173</f>
        <v>1300000</v>
      </c>
    </row>
    <row r="173" spans="1:3" ht="41.25" customHeight="1">
      <c r="A173" s="142" t="s">
        <v>399</v>
      </c>
      <c r="B173" s="140" t="s">
        <v>400</v>
      </c>
      <c r="C173" s="132">
        <v>1300000</v>
      </c>
    </row>
    <row r="174" spans="1:3" ht="36">
      <c r="A174" s="104" t="s">
        <v>401</v>
      </c>
      <c r="B174" s="147" t="s">
        <v>402</v>
      </c>
      <c r="C174" s="125">
        <f>C175</f>
        <v>1302450</v>
      </c>
    </row>
    <row r="175" spans="1:3" ht="38.25">
      <c r="A175" s="142" t="s">
        <v>403</v>
      </c>
      <c r="B175" s="148" t="s">
        <v>404</v>
      </c>
      <c r="C175" s="132">
        <v>1302450</v>
      </c>
    </row>
    <row r="176" spans="1:3" s="93" customFormat="1" ht="36.75" customHeight="1">
      <c r="A176" s="104" t="s">
        <v>405</v>
      </c>
      <c r="B176" s="147" t="s">
        <v>406</v>
      </c>
      <c r="C176" s="125">
        <f>C177+C178+C179</f>
        <v>18215813</v>
      </c>
    </row>
    <row r="177" spans="1:3" ht="52.5" customHeight="1">
      <c r="A177" s="142" t="s">
        <v>407</v>
      </c>
      <c r="B177" s="148" t="s">
        <v>408</v>
      </c>
      <c r="C177" s="132">
        <v>4742062</v>
      </c>
    </row>
    <row r="178" spans="1:3" ht="51.75" customHeight="1">
      <c r="A178" s="142" t="s">
        <v>407</v>
      </c>
      <c r="B178" s="148" t="s">
        <v>409</v>
      </c>
      <c r="C178" s="132">
        <v>12172899</v>
      </c>
    </row>
    <row r="179" spans="1:3" ht="50.25" customHeight="1">
      <c r="A179" s="142" t="s">
        <v>407</v>
      </c>
      <c r="B179" s="149" t="s">
        <v>410</v>
      </c>
      <c r="C179" s="132">
        <v>1300852</v>
      </c>
    </row>
    <row r="180" spans="1:3" ht="18" customHeight="1">
      <c r="A180" s="150" t="s">
        <v>411</v>
      </c>
      <c r="B180" s="151" t="s">
        <v>412</v>
      </c>
      <c r="C180" s="125">
        <f>SUM(C181:C192)</f>
        <v>26177769.33</v>
      </c>
    </row>
    <row r="181" spans="1:3" ht="38.25" hidden="1">
      <c r="A181" s="152" t="s">
        <v>413</v>
      </c>
      <c r="B181" s="149" t="s">
        <v>414</v>
      </c>
      <c r="C181" s="132"/>
    </row>
    <row r="182" spans="1:3" ht="51" hidden="1">
      <c r="A182" s="152" t="s">
        <v>413</v>
      </c>
      <c r="B182" s="153" t="s">
        <v>415</v>
      </c>
      <c r="C182" s="132"/>
    </row>
    <row r="183" spans="1:3" ht="24.75" customHeight="1">
      <c r="A183" s="152" t="s">
        <v>416</v>
      </c>
      <c r="B183" s="154" t="s">
        <v>417</v>
      </c>
      <c r="C183" s="132">
        <v>1800000</v>
      </c>
    </row>
    <row r="184" spans="1:3" ht="0.75" customHeight="1" hidden="1">
      <c r="A184" s="152" t="s">
        <v>416</v>
      </c>
      <c r="B184" s="149"/>
      <c r="C184" s="132"/>
    </row>
    <row r="185" spans="1:3" ht="38.25">
      <c r="A185" s="152" t="s">
        <v>416</v>
      </c>
      <c r="B185" s="153" t="s">
        <v>418</v>
      </c>
      <c r="C185" s="132">
        <v>1017730</v>
      </c>
    </row>
    <row r="186" spans="1:3" ht="25.5">
      <c r="A186" s="152" t="s">
        <v>416</v>
      </c>
      <c r="B186" s="154" t="s">
        <v>419</v>
      </c>
      <c r="C186" s="155">
        <v>1607171</v>
      </c>
    </row>
    <row r="187" spans="1:3" ht="51" customHeight="1">
      <c r="A187" s="152" t="s">
        <v>416</v>
      </c>
      <c r="B187" s="156" t="s">
        <v>420</v>
      </c>
      <c r="C187" s="157">
        <v>48449</v>
      </c>
    </row>
    <row r="188" spans="1:3" ht="48.75" customHeight="1">
      <c r="A188" s="152" t="s">
        <v>416</v>
      </c>
      <c r="B188" s="156" t="s">
        <v>421</v>
      </c>
      <c r="C188" s="132">
        <v>889886</v>
      </c>
    </row>
    <row r="189" spans="1:3" ht="39" customHeight="1">
      <c r="A189" s="152" t="s">
        <v>416</v>
      </c>
      <c r="B189" s="153" t="s">
        <v>422</v>
      </c>
      <c r="C189" s="132">
        <v>615795</v>
      </c>
    </row>
    <row r="190" spans="1:3" ht="39" customHeight="1">
      <c r="A190" s="152" t="s">
        <v>416</v>
      </c>
      <c r="B190" s="153" t="s">
        <v>423</v>
      </c>
      <c r="C190" s="132">
        <v>1748640</v>
      </c>
    </row>
    <row r="191" spans="1:3" ht="39" customHeight="1">
      <c r="A191" s="152" t="s">
        <v>416</v>
      </c>
      <c r="B191" s="153" t="s">
        <v>424</v>
      </c>
      <c r="C191" s="132">
        <f>9060810-110711.67</f>
        <v>8950098.33</v>
      </c>
    </row>
    <row r="192" spans="1:3" ht="51" customHeight="1">
      <c r="A192" s="152" t="s">
        <v>416</v>
      </c>
      <c r="B192" s="153" t="s">
        <v>425</v>
      </c>
      <c r="C192" s="132">
        <f>13131613-3631613</f>
        <v>9500000</v>
      </c>
    </row>
    <row r="193" spans="1:3" ht="14.25" customHeight="1">
      <c r="A193" s="51" t="s">
        <v>426</v>
      </c>
      <c r="B193" s="158" t="s">
        <v>427</v>
      </c>
      <c r="C193" s="125">
        <f>C196+C198+C200+C202+C204+C206+C208+C220+C210+C215+C217+C212+C194</f>
        <v>344741895</v>
      </c>
    </row>
    <row r="194" spans="1:3" ht="36" customHeight="1">
      <c r="A194" s="51" t="s">
        <v>428</v>
      </c>
      <c r="B194" s="159" t="s">
        <v>429</v>
      </c>
      <c r="C194" s="160">
        <f>C195</f>
        <v>63415</v>
      </c>
    </row>
    <row r="195" spans="1:3" ht="38.25">
      <c r="A195" s="60" t="s">
        <v>430</v>
      </c>
      <c r="B195" s="149" t="s">
        <v>431</v>
      </c>
      <c r="C195" s="161">
        <v>63415</v>
      </c>
    </row>
    <row r="196" spans="1:3" ht="25.5" customHeight="1">
      <c r="A196" s="51" t="s">
        <v>432</v>
      </c>
      <c r="B196" s="159" t="s">
        <v>433</v>
      </c>
      <c r="C196" s="125">
        <f>C197</f>
        <v>9973127</v>
      </c>
    </row>
    <row r="197" spans="1:3" ht="39" customHeight="1">
      <c r="A197" s="60" t="s">
        <v>434</v>
      </c>
      <c r="B197" s="149" t="s">
        <v>435</v>
      </c>
      <c r="C197" s="161">
        <v>9973127</v>
      </c>
    </row>
    <row r="198" spans="1:3" ht="36">
      <c r="A198" s="162" t="s">
        <v>436</v>
      </c>
      <c r="B198" s="105" t="s">
        <v>437</v>
      </c>
      <c r="C198" s="125">
        <f>C199</f>
        <v>16600</v>
      </c>
    </row>
    <row r="199" spans="1:3" s="81" customFormat="1" ht="51" customHeight="1">
      <c r="A199" s="163" t="s">
        <v>438</v>
      </c>
      <c r="B199" s="67" t="s">
        <v>439</v>
      </c>
      <c r="C199" s="132">
        <v>16600</v>
      </c>
    </row>
    <row r="200" spans="1:3" ht="12.75" hidden="1">
      <c r="A200" s="56"/>
      <c r="B200" s="164"/>
      <c r="C200" s="132">
        <f>C201</f>
        <v>0</v>
      </c>
    </row>
    <row r="201" spans="1:3" ht="12.75" hidden="1">
      <c r="A201" s="165"/>
      <c r="B201" s="166"/>
      <c r="C201" s="167"/>
    </row>
    <row r="202" spans="1:3" ht="17.25" customHeight="1">
      <c r="A202" s="51" t="s">
        <v>440</v>
      </c>
      <c r="B202" s="168" t="s">
        <v>441</v>
      </c>
      <c r="C202" s="125">
        <f>C203</f>
        <v>2746541</v>
      </c>
    </row>
    <row r="203" spans="1:3" ht="15" customHeight="1">
      <c r="A203" s="169" t="s">
        <v>442</v>
      </c>
      <c r="B203" s="170" t="s">
        <v>443</v>
      </c>
      <c r="C203" s="132">
        <v>2746541</v>
      </c>
    </row>
    <row r="204" spans="1:3" ht="25.5" hidden="1">
      <c r="A204" s="56" t="s">
        <v>444</v>
      </c>
      <c r="B204" s="164" t="s">
        <v>445</v>
      </c>
      <c r="C204" s="132">
        <f>C205</f>
        <v>0</v>
      </c>
    </row>
    <row r="205" spans="1:3" ht="38.25" hidden="1">
      <c r="A205" s="56" t="s">
        <v>446</v>
      </c>
      <c r="B205" s="164" t="s">
        <v>447</v>
      </c>
      <c r="C205" s="132"/>
    </row>
    <row r="206" spans="1:3" ht="26.25" customHeight="1" hidden="1">
      <c r="A206" s="56" t="s">
        <v>448</v>
      </c>
      <c r="B206" s="164" t="s">
        <v>449</v>
      </c>
      <c r="C206" s="132">
        <f>C207</f>
        <v>0</v>
      </c>
    </row>
    <row r="207" spans="1:3" ht="0.75" customHeight="1" hidden="1">
      <c r="A207" s="56" t="s">
        <v>450</v>
      </c>
      <c r="B207" s="171"/>
      <c r="C207" s="167"/>
    </row>
    <row r="208" spans="1:3" ht="38.25" customHeight="1" hidden="1">
      <c r="A208" s="172"/>
      <c r="B208" s="172"/>
      <c r="C208" s="132">
        <f>C209</f>
        <v>0</v>
      </c>
    </row>
    <row r="209" spans="1:3" ht="41.25" customHeight="1" hidden="1">
      <c r="A209" s="172"/>
      <c r="B209" s="172"/>
      <c r="C209" s="132"/>
    </row>
    <row r="210" spans="1:3" ht="12.75" hidden="1">
      <c r="A210" s="173" t="s">
        <v>451</v>
      </c>
      <c r="B210" s="57"/>
      <c r="C210" s="132">
        <f>C211</f>
        <v>0</v>
      </c>
    </row>
    <row r="211" spans="1:3" ht="12.75" hidden="1">
      <c r="A211" s="174" t="s">
        <v>452</v>
      </c>
      <c r="B211" s="175"/>
      <c r="C211" s="167"/>
    </row>
    <row r="212" spans="1:3" ht="132" customHeight="1" hidden="1">
      <c r="A212" s="176" t="s">
        <v>453</v>
      </c>
      <c r="B212" s="177" t="s">
        <v>454</v>
      </c>
      <c r="C212" s="132"/>
    </row>
    <row r="213" spans="1:3" ht="102" hidden="1">
      <c r="A213" s="176" t="s">
        <v>455</v>
      </c>
      <c r="B213" s="177" t="s">
        <v>456</v>
      </c>
      <c r="C213" s="132"/>
    </row>
    <row r="214" spans="1:3" ht="102" hidden="1">
      <c r="A214" s="176" t="s">
        <v>455</v>
      </c>
      <c r="B214" s="177" t="s">
        <v>457</v>
      </c>
      <c r="C214" s="132"/>
    </row>
    <row r="215" spans="1:3" ht="12.75" hidden="1">
      <c r="A215" s="176"/>
      <c r="B215" s="57"/>
      <c r="C215" s="132"/>
    </row>
    <row r="216" spans="1:3" ht="12.75" hidden="1">
      <c r="A216" s="176"/>
      <c r="B216" s="178"/>
      <c r="C216" s="132"/>
    </row>
    <row r="217" spans="1:3" ht="12.75" hidden="1">
      <c r="A217" s="176"/>
      <c r="B217" s="179"/>
      <c r="C217" s="132"/>
    </row>
    <row r="218" spans="1:3" ht="12.75" hidden="1">
      <c r="A218" s="176"/>
      <c r="B218" s="179"/>
      <c r="C218" s="132"/>
    </row>
    <row r="219" spans="1:3" s="181" customFormat="1" ht="15.75" customHeight="1">
      <c r="A219" s="79" t="s">
        <v>458</v>
      </c>
      <c r="B219" s="180" t="s">
        <v>459</v>
      </c>
      <c r="C219" s="125">
        <f>C220</f>
        <v>331942212</v>
      </c>
    </row>
    <row r="220" spans="1:3" ht="15.75" customHeight="1">
      <c r="A220" s="79" t="s">
        <v>460</v>
      </c>
      <c r="B220" s="180" t="s">
        <v>461</v>
      </c>
      <c r="C220" s="160">
        <f>SUM(C222:C242)</f>
        <v>331942212</v>
      </c>
    </row>
    <row r="221" spans="1:3" ht="13.5" customHeight="1">
      <c r="A221" s="134"/>
      <c r="B221" s="182" t="s">
        <v>462</v>
      </c>
      <c r="C221" s="132"/>
    </row>
    <row r="222" spans="1:3" ht="38.25" customHeight="1">
      <c r="A222" s="134" t="s">
        <v>460</v>
      </c>
      <c r="B222" s="101" t="s">
        <v>463</v>
      </c>
      <c r="C222" s="161">
        <v>888000</v>
      </c>
    </row>
    <row r="223" spans="1:3" ht="62.25" customHeight="1">
      <c r="A223" s="134" t="s">
        <v>460</v>
      </c>
      <c r="B223" s="149" t="s">
        <v>464</v>
      </c>
      <c r="C223" s="161">
        <v>232837438</v>
      </c>
    </row>
    <row r="224" spans="1:3" ht="63" customHeight="1">
      <c r="A224" s="134" t="s">
        <v>460</v>
      </c>
      <c r="B224" s="149" t="s">
        <v>465</v>
      </c>
      <c r="C224" s="161">
        <v>20466008</v>
      </c>
    </row>
    <row r="225" spans="1:3" ht="26.25" customHeight="1" hidden="1">
      <c r="A225" s="134" t="s">
        <v>466</v>
      </c>
      <c r="B225" s="164" t="s">
        <v>467</v>
      </c>
      <c r="C225" s="161"/>
    </row>
    <row r="226" spans="1:3" ht="63" customHeight="1">
      <c r="A226" s="134" t="s">
        <v>460</v>
      </c>
      <c r="B226" s="149" t="s">
        <v>468</v>
      </c>
      <c r="C226" s="183">
        <v>49846444</v>
      </c>
    </row>
    <row r="227" spans="1:3" ht="53.25" customHeight="1">
      <c r="A227" s="134" t="s">
        <v>460</v>
      </c>
      <c r="B227" s="184" t="s">
        <v>469</v>
      </c>
      <c r="C227" s="161">
        <f>2080810+262780</f>
        <v>2343590</v>
      </c>
    </row>
    <row r="228" spans="1:3" ht="64.5" customHeight="1">
      <c r="A228" s="134" t="s">
        <v>460</v>
      </c>
      <c r="B228" s="149" t="s">
        <v>470</v>
      </c>
      <c r="C228" s="161">
        <v>223052</v>
      </c>
    </row>
    <row r="229" spans="1:3" ht="38.25" customHeight="1">
      <c r="A229" s="134" t="s">
        <v>460</v>
      </c>
      <c r="B229" s="149" t="s">
        <v>471</v>
      </c>
      <c r="C229" s="161">
        <v>1575907</v>
      </c>
    </row>
    <row r="230" spans="1:3" ht="51" customHeight="1">
      <c r="A230" s="134" t="s">
        <v>460</v>
      </c>
      <c r="B230" s="149" t="s">
        <v>472</v>
      </c>
      <c r="C230" s="161">
        <v>52872</v>
      </c>
    </row>
    <row r="231" spans="1:3" ht="25.5" customHeight="1">
      <c r="A231" s="134" t="s">
        <v>460</v>
      </c>
      <c r="B231" s="149" t="s">
        <v>473</v>
      </c>
      <c r="C231" s="161">
        <v>329014</v>
      </c>
    </row>
    <row r="232" spans="1:3" ht="39.75" customHeight="1">
      <c r="A232" s="134" t="s">
        <v>460</v>
      </c>
      <c r="B232" s="149" t="s">
        <v>474</v>
      </c>
      <c r="C232" s="161">
        <v>296000</v>
      </c>
    </row>
    <row r="233" spans="1:3" ht="38.25" customHeight="1">
      <c r="A233" s="134" t="s">
        <v>460</v>
      </c>
      <c r="B233" s="149" t="s">
        <v>475</v>
      </c>
      <c r="C233" s="161">
        <v>296000</v>
      </c>
    </row>
    <row r="234" spans="1:3" ht="25.5" customHeight="1">
      <c r="A234" s="134" t="s">
        <v>460</v>
      </c>
      <c r="B234" s="149" t="s">
        <v>476</v>
      </c>
      <c r="C234" s="161">
        <v>296000</v>
      </c>
    </row>
    <row r="235" spans="1:3" ht="38.25" customHeight="1">
      <c r="A235" s="134" t="s">
        <v>460</v>
      </c>
      <c r="B235" s="149" t="s">
        <v>477</v>
      </c>
      <c r="C235" s="161">
        <v>124300</v>
      </c>
    </row>
    <row r="236" spans="1:3" ht="26.25" customHeight="1">
      <c r="A236" s="134" t="s">
        <v>460</v>
      </c>
      <c r="B236" s="185" t="s">
        <v>478</v>
      </c>
      <c r="C236" s="183">
        <f>9944982+386632</f>
        <v>10331614</v>
      </c>
    </row>
    <row r="237" spans="1:3" ht="26.25" customHeight="1">
      <c r="A237" s="134" t="s">
        <v>460</v>
      </c>
      <c r="B237" s="101" t="s">
        <v>479</v>
      </c>
      <c r="C237" s="183">
        <v>1404078</v>
      </c>
    </row>
    <row r="238" spans="1:3" ht="64.5" customHeight="1">
      <c r="A238" s="134" t="s">
        <v>460</v>
      </c>
      <c r="B238" s="149" t="s">
        <v>480</v>
      </c>
      <c r="C238" s="161">
        <v>261767</v>
      </c>
    </row>
    <row r="239" spans="1:3" ht="38.25" customHeight="1">
      <c r="A239" s="134" t="s">
        <v>460</v>
      </c>
      <c r="B239" s="149" t="s">
        <v>481</v>
      </c>
      <c r="C239" s="161">
        <v>2072000</v>
      </c>
    </row>
    <row r="240" spans="1:3" ht="38.25" customHeight="1">
      <c r="A240" s="134" t="s">
        <v>460</v>
      </c>
      <c r="B240" s="101" t="s">
        <v>482</v>
      </c>
      <c r="C240" s="161">
        <f>280884+219313</f>
        <v>500197</v>
      </c>
    </row>
    <row r="241" spans="1:3" ht="40.5" customHeight="1">
      <c r="A241" s="134" t="s">
        <v>460</v>
      </c>
      <c r="B241" s="101" t="s">
        <v>483</v>
      </c>
      <c r="C241" s="161">
        <v>29600</v>
      </c>
    </row>
    <row r="242" spans="1:3" ht="51" customHeight="1">
      <c r="A242" s="134" t="s">
        <v>460</v>
      </c>
      <c r="B242" s="149" t="s">
        <v>484</v>
      </c>
      <c r="C242" s="161">
        <v>7768331</v>
      </c>
    </row>
    <row r="243" spans="1:3" s="5" customFormat="1" ht="15" customHeight="1">
      <c r="A243" s="186" t="s">
        <v>485</v>
      </c>
      <c r="B243" s="187" t="s">
        <v>486</v>
      </c>
      <c r="C243" s="125">
        <f>C246+C248+C244</f>
        <v>480000</v>
      </c>
    </row>
    <row r="244" spans="1:3" s="5" customFormat="1" ht="35.25" customHeight="1">
      <c r="A244" s="188" t="s">
        <v>487</v>
      </c>
      <c r="B244" s="189" t="s">
        <v>488</v>
      </c>
      <c r="C244" s="125">
        <f>C245</f>
        <v>290000</v>
      </c>
    </row>
    <row r="245" spans="1:3" s="5" customFormat="1" ht="51" customHeight="1">
      <c r="A245" s="190" t="s">
        <v>489</v>
      </c>
      <c r="B245" s="191" t="s">
        <v>490</v>
      </c>
      <c r="C245" s="132">
        <v>290000</v>
      </c>
    </row>
    <row r="246" spans="1:3" ht="36" customHeight="1">
      <c r="A246" s="104" t="s">
        <v>491</v>
      </c>
      <c r="B246" s="105" t="s">
        <v>492</v>
      </c>
      <c r="C246" s="192">
        <f>C247</f>
        <v>90000</v>
      </c>
    </row>
    <row r="247" spans="1:3" ht="39" customHeight="1">
      <c r="A247" s="142" t="s">
        <v>493</v>
      </c>
      <c r="B247" s="67" t="s">
        <v>494</v>
      </c>
      <c r="C247" s="193">
        <f>30000+30000+30000</f>
        <v>90000</v>
      </c>
    </row>
    <row r="248" spans="1:3" s="93" customFormat="1" ht="24.75" customHeight="1">
      <c r="A248" s="104" t="s">
        <v>495</v>
      </c>
      <c r="B248" s="189" t="s">
        <v>496</v>
      </c>
      <c r="C248" s="192">
        <f>C249</f>
        <v>100000</v>
      </c>
    </row>
    <row r="249" spans="1:3" ht="25.5" customHeight="1">
      <c r="A249" s="142" t="s">
        <v>497</v>
      </c>
      <c r="B249" s="191" t="s">
        <v>498</v>
      </c>
      <c r="C249" s="132">
        <v>100000</v>
      </c>
    </row>
    <row r="250" spans="1:3" ht="15" customHeight="1">
      <c r="A250" s="194" t="s">
        <v>499</v>
      </c>
      <c r="B250" s="195" t="s">
        <v>500</v>
      </c>
      <c r="C250" s="196">
        <f>C251</f>
        <v>8037472</v>
      </c>
    </row>
    <row r="251" spans="1:3" ht="16.5" customHeight="1">
      <c r="A251" s="61" t="s">
        <v>501</v>
      </c>
      <c r="B251" s="86" t="s">
        <v>502</v>
      </c>
      <c r="C251" s="197">
        <f>C253+C252</f>
        <v>8037472</v>
      </c>
    </row>
    <row r="252" spans="1:3" ht="38.25" customHeight="1">
      <c r="A252" s="198" t="s">
        <v>503</v>
      </c>
      <c r="B252" s="199" t="s">
        <v>504</v>
      </c>
      <c r="C252" s="200">
        <f>6327341</f>
        <v>6327341</v>
      </c>
    </row>
    <row r="253" spans="1:3" s="5" customFormat="1" ht="18" customHeight="1">
      <c r="A253" s="198" t="s">
        <v>505</v>
      </c>
      <c r="B253" s="77" t="s">
        <v>502</v>
      </c>
      <c r="C253" s="201">
        <f>1710131</f>
        <v>1710131</v>
      </c>
    </row>
    <row r="254" spans="1:3" s="5" customFormat="1" ht="1.5" customHeight="1" hidden="1">
      <c r="A254" s="202" t="s">
        <v>506</v>
      </c>
      <c r="B254" s="203" t="s">
        <v>507</v>
      </c>
      <c r="C254" s="204">
        <f>C255</f>
        <v>0</v>
      </c>
    </row>
    <row r="255" spans="1:3" s="5" customFormat="1" ht="48" hidden="1">
      <c r="A255" s="205" t="s">
        <v>508</v>
      </c>
      <c r="B255" s="206" t="s">
        <v>509</v>
      </c>
      <c r="C255" s="132">
        <f>C256</f>
        <v>0</v>
      </c>
    </row>
    <row r="256" spans="1:3" s="5" customFormat="1" ht="36" hidden="1">
      <c r="A256" s="205" t="s">
        <v>510</v>
      </c>
      <c r="B256" s="206" t="s">
        <v>511</v>
      </c>
      <c r="C256" s="132"/>
    </row>
    <row r="257" spans="1:3" s="5" customFormat="1" ht="35.25" customHeight="1">
      <c r="A257" s="207" t="s">
        <v>512</v>
      </c>
      <c r="B257" s="208" t="s">
        <v>513</v>
      </c>
      <c r="C257" s="209">
        <f>C258</f>
        <v>-678183.23</v>
      </c>
    </row>
    <row r="258" spans="1:3" s="5" customFormat="1" ht="24.75" customHeight="1">
      <c r="A258" s="210" t="s">
        <v>514</v>
      </c>
      <c r="B258" s="211" t="s">
        <v>515</v>
      </c>
      <c r="C258" s="212">
        <f>C259</f>
        <v>-678183.23</v>
      </c>
    </row>
    <row r="259" spans="1:3" s="5" customFormat="1" ht="38.25" customHeight="1">
      <c r="A259" s="210" t="s">
        <v>516</v>
      </c>
      <c r="B259" s="211" t="s">
        <v>517</v>
      </c>
      <c r="C259" s="212">
        <v>-678183.23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1"/>
  <sheetViews>
    <sheetView zoomScalePageLayoutView="0" workbookViewId="0" topLeftCell="A431">
      <selection activeCell="F433" sqref="F433"/>
    </sheetView>
  </sheetViews>
  <sheetFormatPr defaultColWidth="9.00390625" defaultRowHeight="12.75"/>
  <cols>
    <col min="1" max="1" width="64.875" style="218" customWidth="1"/>
    <col min="2" max="2" width="4.875" style="224" customWidth="1"/>
    <col min="3" max="3" width="5.00390625" style="224" customWidth="1"/>
    <col min="4" max="4" width="15.375" style="224" customWidth="1"/>
    <col min="5" max="5" width="8.875" style="322" customWidth="1"/>
    <col min="6" max="6" width="19.125" style="323" customWidth="1"/>
    <col min="7" max="7" width="9.125" style="214" customWidth="1"/>
    <col min="8" max="8" width="22.875" style="214" customWidth="1"/>
    <col min="9" max="9" width="16.125" style="214" customWidth="1"/>
    <col min="10" max="10" width="13.125" style="214" bestFit="1" customWidth="1"/>
    <col min="11" max="11" width="20.00390625" style="214" customWidth="1"/>
    <col min="12" max="16384" width="9.125" style="214" customWidth="1"/>
  </cols>
  <sheetData>
    <row r="1" spans="1:6" ht="12.75">
      <c r="A1" s="214"/>
      <c r="B1" s="215" t="s">
        <v>519</v>
      </c>
      <c r="C1" s="215"/>
      <c r="D1" s="215"/>
      <c r="E1" s="216"/>
      <c r="F1" s="217"/>
    </row>
    <row r="2" spans="2:6" ht="15.75">
      <c r="B2" s="219" t="s">
        <v>520</v>
      </c>
      <c r="C2" s="215"/>
      <c r="D2" s="215"/>
      <c r="E2" s="216"/>
      <c r="F2" s="220"/>
    </row>
    <row r="3" spans="2:6" ht="15.75">
      <c r="B3" s="221" t="s">
        <v>521</v>
      </c>
      <c r="C3" s="221"/>
      <c r="D3" s="221"/>
      <c r="E3" s="222"/>
      <c r="F3" s="220"/>
    </row>
    <row r="4" spans="2:6" ht="12.75">
      <c r="B4" s="428" t="s">
        <v>522</v>
      </c>
      <c r="C4" s="428"/>
      <c r="D4" s="428"/>
      <c r="E4" s="428"/>
      <c r="F4" s="428"/>
    </row>
    <row r="5" spans="2:6" ht="12.75">
      <c r="B5" s="429" t="s">
        <v>523</v>
      </c>
      <c r="C5" s="429"/>
      <c r="D5" s="429"/>
      <c r="E5" s="429"/>
      <c r="F5" s="429"/>
    </row>
    <row r="6" spans="2:6" ht="23.25" customHeight="1">
      <c r="B6" s="430" t="s">
        <v>524</v>
      </c>
      <c r="C6" s="430"/>
      <c r="D6" s="430"/>
      <c r="E6" s="430"/>
      <c r="F6" s="430"/>
    </row>
    <row r="7" spans="2:6" ht="23.25" customHeight="1">
      <c r="B7" s="223"/>
      <c r="C7" s="223"/>
      <c r="D7" s="223"/>
      <c r="E7" s="223"/>
      <c r="F7" s="223"/>
    </row>
    <row r="8" spans="1:6" ht="51.75" customHeight="1">
      <c r="A8" s="431" t="s">
        <v>525</v>
      </c>
      <c r="B8" s="431"/>
      <c r="C8" s="431"/>
      <c r="D8" s="431"/>
      <c r="E8" s="431"/>
      <c r="F8" s="431"/>
    </row>
    <row r="9" spans="5:6" ht="16.5" thickBot="1">
      <c r="E9" s="225"/>
      <c r="F9" s="226" t="s">
        <v>526</v>
      </c>
    </row>
    <row r="10" spans="1:11" ht="15.75">
      <c r="A10" s="432" t="s">
        <v>527</v>
      </c>
      <c r="B10" s="434" t="s">
        <v>528</v>
      </c>
      <c r="C10" s="434" t="s">
        <v>529</v>
      </c>
      <c r="D10" s="436" t="s">
        <v>530</v>
      </c>
      <c r="E10" s="436" t="s">
        <v>531</v>
      </c>
      <c r="F10" s="438" t="s">
        <v>532</v>
      </c>
      <c r="K10" s="227"/>
    </row>
    <row r="11" spans="1:6" ht="13.5" thickBot="1">
      <c r="A11" s="433"/>
      <c r="B11" s="435"/>
      <c r="C11" s="435"/>
      <c r="D11" s="437"/>
      <c r="E11" s="437"/>
      <c r="F11" s="439"/>
    </row>
    <row r="12" spans="1:6" s="232" customFormat="1" ht="12.75">
      <c r="A12" s="228">
        <v>1</v>
      </c>
      <c r="B12" s="229" t="s">
        <v>533</v>
      </c>
      <c r="C12" s="229" t="s">
        <v>534</v>
      </c>
      <c r="D12" s="230" t="s">
        <v>535</v>
      </c>
      <c r="E12" s="230" t="s">
        <v>536</v>
      </c>
      <c r="F12" s="231">
        <v>6</v>
      </c>
    </row>
    <row r="13" spans="1:11" s="237" customFormat="1" ht="20.25">
      <c r="A13" s="233" t="s">
        <v>537</v>
      </c>
      <c r="B13" s="234"/>
      <c r="C13" s="234"/>
      <c r="D13" s="234"/>
      <c r="E13" s="235"/>
      <c r="F13" s="236">
        <f>F14+F190+F262+F306+F425+F469+F524+F536+F543+F463+F174+F300</f>
        <v>721272614.6899999</v>
      </c>
      <c r="H13" s="238"/>
      <c r="J13" s="238"/>
      <c r="K13" s="239"/>
    </row>
    <row r="14" spans="1:6" ht="15">
      <c r="A14" s="240" t="s">
        <v>538</v>
      </c>
      <c r="B14" s="234" t="s">
        <v>539</v>
      </c>
      <c r="C14" s="234"/>
      <c r="D14" s="234"/>
      <c r="E14" s="235"/>
      <c r="F14" s="236">
        <f>F15+F20+F29+F87+F92+F75+F70+F82</f>
        <v>129111617.2</v>
      </c>
    </row>
    <row r="15" spans="1:8" ht="26.25">
      <c r="A15" s="241" t="s">
        <v>540</v>
      </c>
      <c r="B15" s="234" t="s">
        <v>539</v>
      </c>
      <c r="C15" s="234" t="s">
        <v>541</v>
      </c>
      <c r="D15" s="234"/>
      <c r="E15" s="235"/>
      <c r="F15" s="236">
        <f>F17</f>
        <v>1552000</v>
      </c>
      <c r="H15" s="242"/>
    </row>
    <row r="16" spans="1:6" ht="15">
      <c r="A16" s="243" t="s">
        <v>542</v>
      </c>
      <c r="B16" s="234" t="s">
        <v>539</v>
      </c>
      <c r="C16" s="234" t="s">
        <v>541</v>
      </c>
      <c r="D16" s="244" t="s">
        <v>543</v>
      </c>
      <c r="E16" s="235"/>
      <c r="F16" s="236">
        <f>F17</f>
        <v>1552000</v>
      </c>
    </row>
    <row r="17" spans="1:6" ht="15">
      <c r="A17" s="240" t="s">
        <v>544</v>
      </c>
      <c r="B17" s="234" t="s">
        <v>539</v>
      </c>
      <c r="C17" s="234" t="s">
        <v>541</v>
      </c>
      <c r="D17" s="244" t="s">
        <v>545</v>
      </c>
      <c r="E17" s="235"/>
      <c r="F17" s="236">
        <f>F19</f>
        <v>1552000</v>
      </c>
    </row>
    <row r="18" spans="1:6" ht="26.25">
      <c r="A18" s="241" t="s">
        <v>546</v>
      </c>
      <c r="B18" s="234" t="s">
        <v>539</v>
      </c>
      <c r="C18" s="234" t="s">
        <v>541</v>
      </c>
      <c r="D18" s="244" t="s">
        <v>547</v>
      </c>
      <c r="E18" s="235"/>
      <c r="F18" s="236">
        <f>F19</f>
        <v>1552000</v>
      </c>
    </row>
    <row r="19" spans="1:6" ht="39">
      <c r="A19" s="243" t="s">
        <v>548</v>
      </c>
      <c r="B19" s="234" t="s">
        <v>539</v>
      </c>
      <c r="C19" s="234" t="s">
        <v>541</v>
      </c>
      <c r="D19" s="244" t="s">
        <v>547</v>
      </c>
      <c r="E19" s="245" t="s">
        <v>549</v>
      </c>
      <c r="F19" s="236">
        <f>1537000+15000</f>
        <v>1552000</v>
      </c>
    </row>
    <row r="20" spans="1:6" ht="39">
      <c r="A20" s="241" t="s">
        <v>550</v>
      </c>
      <c r="B20" s="234" t="s">
        <v>539</v>
      </c>
      <c r="C20" s="234" t="s">
        <v>551</v>
      </c>
      <c r="D20" s="234"/>
      <c r="E20" s="235"/>
      <c r="F20" s="236">
        <f>F21</f>
        <v>2204792</v>
      </c>
    </row>
    <row r="21" spans="1:6" ht="26.25">
      <c r="A21" s="243" t="s">
        <v>552</v>
      </c>
      <c r="B21" s="234" t="s">
        <v>539</v>
      </c>
      <c r="C21" s="234" t="s">
        <v>551</v>
      </c>
      <c r="D21" s="244" t="s">
        <v>553</v>
      </c>
      <c r="E21" s="235"/>
      <c r="F21" s="236">
        <f>F22+F25</f>
        <v>2204792</v>
      </c>
    </row>
    <row r="22" spans="1:6" ht="15">
      <c r="A22" s="240" t="s">
        <v>554</v>
      </c>
      <c r="B22" s="234" t="s">
        <v>539</v>
      </c>
      <c r="C22" s="234" t="s">
        <v>551</v>
      </c>
      <c r="D22" s="244" t="s">
        <v>555</v>
      </c>
      <c r="E22" s="235"/>
      <c r="F22" s="236">
        <f>F23</f>
        <v>986300</v>
      </c>
    </row>
    <row r="23" spans="1:6" ht="26.25">
      <c r="A23" s="241" t="s">
        <v>546</v>
      </c>
      <c r="B23" s="234" t="s">
        <v>539</v>
      </c>
      <c r="C23" s="234" t="s">
        <v>551</v>
      </c>
      <c r="D23" s="244" t="s">
        <v>556</v>
      </c>
      <c r="E23" s="245"/>
      <c r="F23" s="236">
        <f>F24</f>
        <v>986300</v>
      </c>
    </row>
    <row r="24" spans="1:6" ht="39">
      <c r="A24" s="243" t="s">
        <v>548</v>
      </c>
      <c r="B24" s="234" t="s">
        <v>539</v>
      </c>
      <c r="C24" s="234" t="s">
        <v>551</v>
      </c>
      <c r="D24" s="244" t="s">
        <v>556</v>
      </c>
      <c r="E24" s="245" t="s">
        <v>549</v>
      </c>
      <c r="F24" s="236">
        <v>986300</v>
      </c>
    </row>
    <row r="25" spans="1:6" ht="15">
      <c r="A25" s="240" t="s">
        <v>557</v>
      </c>
      <c r="B25" s="234" t="s">
        <v>539</v>
      </c>
      <c r="C25" s="234" t="s">
        <v>551</v>
      </c>
      <c r="D25" s="244" t="s">
        <v>558</v>
      </c>
      <c r="E25" s="245"/>
      <c r="F25" s="236">
        <f>F26</f>
        <v>1218492</v>
      </c>
    </row>
    <row r="26" spans="1:6" ht="26.25">
      <c r="A26" s="241" t="s">
        <v>546</v>
      </c>
      <c r="B26" s="234" t="s">
        <v>539</v>
      </c>
      <c r="C26" s="234" t="s">
        <v>551</v>
      </c>
      <c r="D26" s="244" t="s">
        <v>559</v>
      </c>
      <c r="E26" s="245"/>
      <c r="F26" s="236">
        <f>F27+F28</f>
        <v>1218492</v>
      </c>
    </row>
    <row r="27" spans="1:6" ht="39">
      <c r="A27" s="243" t="s">
        <v>548</v>
      </c>
      <c r="B27" s="234" t="s">
        <v>539</v>
      </c>
      <c r="C27" s="234" t="s">
        <v>551</v>
      </c>
      <c r="D27" s="244" t="s">
        <v>559</v>
      </c>
      <c r="E27" s="245" t="s">
        <v>549</v>
      </c>
      <c r="F27" s="236">
        <v>1193492</v>
      </c>
    </row>
    <row r="28" spans="1:6" ht="26.25">
      <c r="A28" s="243" t="s">
        <v>560</v>
      </c>
      <c r="B28" s="234" t="s">
        <v>539</v>
      </c>
      <c r="C28" s="234" t="s">
        <v>551</v>
      </c>
      <c r="D28" s="244" t="s">
        <v>559</v>
      </c>
      <c r="E28" s="245" t="s">
        <v>561</v>
      </c>
      <c r="F28" s="236">
        <v>25000</v>
      </c>
    </row>
    <row r="29" spans="1:6" ht="39">
      <c r="A29" s="241" t="s">
        <v>562</v>
      </c>
      <c r="B29" s="234" t="s">
        <v>563</v>
      </c>
      <c r="C29" s="234" t="s">
        <v>564</v>
      </c>
      <c r="D29" s="234"/>
      <c r="E29" s="235"/>
      <c r="F29" s="236">
        <f>F30+F47+F62+F56+F41</f>
        <v>21434658</v>
      </c>
    </row>
    <row r="30" spans="1:6" ht="26.25">
      <c r="A30" s="240" t="s">
        <v>565</v>
      </c>
      <c r="B30" s="234" t="s">
        <v>563</v>
      </c>
      <c r="C30" s="234" t="s">
        <v>564</v>
      </c>
      <c r="D30" s="244" t="s">
        <v>566</v>
      </c>
      <c r="E30" s="245"/>
      <c r="F30" s="236">
        <f>F36+F31</f>
        <v>2960000</v>
      </c>
    </row>
    <row r="31" spans="1:6" s="250" customFormat="1" ht="51.75">
      <c r="A31" s="243" t="s">
        <v>567</v>
      </c>
      <c r="B31" s="246" t="s">
        <v>539</v>
      </c>
      <c r="C31" s="246" t="s">
        <v>564</v>
      </c>
      <c r="D31" s="247" t="s">
        <v>568</v>
      </c>
      <c r="E31" s="248"/>
      <c r="F31" s="249">
        <f>F33</f>
        <v>888000</v>
      </c>
    </row>
    <row r="32" spans="1:6" ht="38.25">
      <c r="A32" s="251" t="s">
        <v>569</v>
      </c>
      <c r="B32" s="234" t="s">
        <v>539</v>
      </c>
      <c r="C32" s="234" t="s">
        <v>564</v>
      </c>
      <c r="D32" s="244" t="s">
        <v>570</v>
      </c>
      <c r="E32" s="245"/>
      <c r="F32" s="236">
        <f>F33</f>
        <v>888000</v>
      </c>
    </row>
    <row r="33" spans="1:6" ht="39">
      <c r="A33" s="252" t="s">
        <v>571</v>
      </c>
      <c r="B33" s="234" t="s">
        <v>539</v>
      </c>
      <c r="C33" s="234" t="s">
        <v>564</v>
      </c>
      <c r="D33" s="244" t="s">
        <v>572</v>
      </c>
      <c r="E33" s="245"/>
      <c r="F33" s="236">
        <f>F34+F35</f>
        <v>888000</v>
      </c>
    </row>
    <row r="34" spans="1:6" ht="39">
      <c r="A34" s="243" t="s">
        <v>548</v>
      </c>
      <c r="B34" s="234" t="s">
        <v>539</v>
      </c>
      <c r="C34" s="234" t="s">
        <v>564</v>
      </c>
      <c r="D34" s="244" t="s">
        <v>572</v>
      </c>
      <c r="E34" s="245" t="s">
        <v>549</v>
      </c>
      <c r="F34" s="236">
        <v>767600</v>
      </c>
    </row>
    <row r="35" spans="1:6" ht="26.25">
      <c r="A35" s="243" t="s">
        <v>560</v>
      </c>
      <c r="B35" s="234" t="s">
        <v>539</v>
      </c>
      <c r="C35" s="234" t="s">
        <v>564</v>
      </c>
      <c r="D35" s="244" t="s">
        <v>572</v>
      </c>
      <c r="E35" s="245" t="s">
        <v>561</v>
      </c>
      <c r="F35" s="236">
        <v>120400</v>
      </c>
    </row>
    <row r="36" spans="1:6" s="250" customFormat="1" ht="51.75">
      <c r="A36" s="241" t="s">
        <v>573</v>
      </c>
      <c r="B36" s="246" t="s">
        <v>539</v>
      </c>
      <c r="C36" s="246" t="s">
        <v>564</v>
      </c>
      <c r="D36" s="247" t="s">
        <v>574</v>
      </c>
      <c r="E36" s="253"/>
      <c r="F36" s="249">
        <f>F37</f>
        <v>2072000</v>
      </c>
    </row>
    <row r="37" spans="1:6" ht="25.5">
      <c r="A37" s="254" t="s">
        <v>575</v>
      </c>
      <c r="B37" s="234" t="s">
        <v>539</v>
      </c>
      <c r="C37" s="234" t="s">
        <v>564</v>
      </c>
      <c r="D37" s="244" t="s">
        <v>576</v>
      </c>
      <c r="E37" s="235"/>
      <c r="F37" s="236">
        <f>F38</f>
        <v>2072000</v>
      </c>
    </row>
    <row r="38" spans="1:6" ht="26.25">
      <c r="A38" s="241" t="s">
        <v>577</v>
      </c>
      <c r="B38" s="234" t="s">
        <v>539</v>
      </c>
      <c r="C38" s="234" t="s">
        <v>564</v>
      </c>
      <c r="D38" s="244" t="s">
        <v>578</v>
      </c>
      <c r="E38" s="235"/>
      <c r="F38" s="236">
        <f>F39+F40</f>
        <v>2072000</v>
      </c>
    </row>
    <row r="39" spans="1:6" ht="39">
      <c r="A39" s="243" t="s">
        <v>548</v>
      </c>
      <c r="B39" s="234" t="s">
        <v>539</v>
      </c>
      <c r="C39" s="234" t="s">
        <v>564</v>
      </c>
      <c r="D39" s="244" t="s">
        <v>578</v>
      </c>
      <c r="E39" s="245" t="s">
        <v>549</v>
      </c>
      <c r="F39" s="236">
        <f>1524168+460299+300+46799+14134-300+26600</f>
        <v>2072000</v>
      </c>
    </row>
    <row r="40" spans="1:6" ht="26.25" hidden="1">
      <c r="A40" s="243" t="s">
        <v>560</v>
      </c>
      <c r="B40" s="234" t="s">
        <v>539</v>
      </c>
      <c r="C40" s="234" t="s">
        <v>564</v>
      </c>
      <c r="D40" s="244" t="s">
        <v>578</v>
      </c>
      <c r="E40" s="245" t="s">
        <v>561</v>
      </c>
      <c r="F40" s="236">
        <f>60633-60633</f>
        <v>0</v>
      </c>
    </row>
    <row r="41" spans="1:6" ht="39">
      <c r="A41" s="233" t="s">
        <v>579</v>
      </c>
      <c r="B41" s="234" t="s">
        <v>539</v>
      </c>
      <c r="C41" s="234" t="s">
        <v>564</v>
      </c>
      <c r="D41" s="244" t="s">
        <v>580</v>
      </c>
      <c r="E41" s="235"/>
      <c r="F41" s="236">
        <f>F42</f>
        <v>329014</v>
      </c>
    </row>
    <row r="42" spans="1:6" s="250" customFormat="1" ht="70.5" customHeight="1">
      <c r="A42" s="254" t="s">
        <v>581</v>
      </c>
      <c r="B42" s="246" t="s">
        <v>539</v>
      </c>
      <c r="C42" s="246" t="s">
        <v>564</v>
      </c>
      <c r="D42" s="247" t="s">
        <v>582</v>
      </c>
      <c r="E42" s="253"/>
      <c r="F42" s="249">
        <f>F44</f>
        <v>329014</v>
      </c>
    </row>
    <row r="43" spans="1:6" ht="25.5">
      <c r="A43" s="255" t="s">
        <v>583</v>
      </c>
      <c r="B43" s="234" t="s">
        <v>539</v>
      </c>
      <c r="C43" s="234" t="s">
        <v>564</v>
      </c>
      <c r="D43" s="244" t="s">
        <v>584</v>
      </c>
      <c r="E43" s="235"/>
      <c r="F43" s="236">
        <f>F44</f>
        <v>329014</v>
      </c>
    </row>
    <row r="44" spans="1:6" ht="26.25">
      <c r="A44" s="252" t="s">
        <v>585</v>
      </c>
      <c r="B44" s="234" t="s">
        <v>539</v>
      </c>
      <c r="C44" s="234" t="s">
        <v>564</v>
      </c>
      <c r="D44" s="244" t="s">
        <v>586</v>
      </c>
      <c r="E44" s="235"/>
      <c r="F44" s="236">
        <f>F45+F46</f>
        <v>329014</v>
      </c>
    </row>
    <row r="45" spans="1:6" ht="39">
      <c r="A45" s="243" t="s">
        <v>548</v>
      </c>
      <c r="B45" s="234" t="s">
        <v>539</v>
      </c>
      <c r="C45" s="234" t="s">
        <v>564</v>
      </c>
      <c r="D45" s="244" t="s">
        <v>586</v>
      </c>
      <c r="E45" s="245" t="s">
        <v>549</v>
      </c>
      <c r="F45" s="236">
        <v>296502.36</v>
      </c>
    </row>
    <row r="46" spans="1:6" ht="26.25">
      <c r="A46" s="243" t="s">
        <v>560</v>
      </c>
      <c r="B46" s="234" t="s">
        <v>539</v>
      </c>
      <c r="C46" s="234" t="s">
        <v>564</v>
      </c>
      <c r="D46" s="244" t="s">
        <v>586</v>
      </c>
      <c r="E46" s="245" t="s">
        <v>561</v>
      </c>
      <c r="F46" s="236">
        <v>32511.64</v>
      </c>
    </row>
    <row r="47" spans="1:6" ht="51.75">
      <c r="A47" s="240" t="s">
        <v>587</v>
      </c>
      <c r="B47" s="234" t="s">
        <v>539</v>
      </c>
      <c r="C47" s="234" t="s">
        <v>564</v>
      </c>
      <c r="D47" s="244" t="s">
        <v>588</v>
      </c>
      <c r="E47" s="245"/>
      <c r="F47" s="236">
        <f>F48</f>
        <v>592000</v>
      </c>
    </row>
    <row r="48" spans="1:6" s="250" customFormat="1" ht="64.5">
      <c r="A48" s="240" t="s">
        <v>589</v>
      </c>
      <c r="B48" s="246" t="s">
        <v>539</v>
      </c>
      <c r="C48" s="246" t="s">
        <v>564</v>
      </c>
      <c r="D48" s="247" t="s">
        <v>590</v>
      </c>
      <c r="E48" s="248"/>
      <c r="F48" s="249">
        <f>F50+F53</f>
        <v>592000</v>
      </c>
    </row>
    <row r="49" spans="1:6" ht="38.25">
      <c r="A49" s="254" t="s">
        <v>591</v>
      </c>
      <c r="B49" s="234" t="s">
        <v>539</v>
      </c>
      <c r="C49" s="234" t="s">
        <v>564</v>
      </c>
      <c r="D49" s="244" t="s">
        <v>592</v>
      </c>
      <c r="E49" s="245"/>
      <c r="F49" s="236">
        <f>F50+F53</f>
        <v>592000</v>
      </c>
    </row>
    <row r="50" spans="1:6" ht="39">
      <c r="A50" s="252" t="s">
        <v>593</v>
      </c>
      <c r="B50" s="234" t="s">
        <v>539</v>
      </c>
      <c r="C50" s="234" t="s">
        <v>564</v>
      </c>
      <c r="D50" s="234" t="s">
        <v>594</v>
      </c>
      <c r="E50" s="235"/>
      <c r="F50" s="236">
        <f>F51+F52</f>
        <v>296000</v>
      </c>
    </row>
    <row r="51" spans="1:6" ht="39">
      <c r="A51" s="243" t="s">
        <v>548</v>
      </c>
      <c r="B51" s="234" t="s">
        <v>539</v>
      </c>
      <c r="C51" s="234" t="s">
        <v>564</v>
      </c>
      <c r="D51" s="234" t="s">
        <v>594</v>
      </c>
      <c r="E51" s="245" t="s">
        <v>549</v>
      </c>
      <c r="F51" s="236">
        <v>275583</v>
      </c>
    </row>
    <row r="52" spans="1:6" ht="26.25">
      <c r="A52" s="243" t="s">
        <v>560</v>
      </c>
      <c r="B52" s="234" t="s">
        <v>539</v>
      </c>
      <c r="C52" s="234" t="s">
        <v>564</v>
      </c>
      <c r="D52" s="234" t="s">
        <v>594</v>
      </c>
      <c r="E52" s="245" t="s">
        <v>561</v>
      </c>
      <c r="F52" s="236">
        <v>20417</v>
      </c>
    </row>
    <row r="53" spans="1:6" ht="26.25">
      <c r="A53" s="252" t="s">
        <v>595</v>
      </c>
      <c r="B53" s="234" t="s">
        <v>539</v>
      </c>
      <c r="C53" s="234" t="s">
        <v>564</v>
      </c>
      <c r="D53" s="234" t="s">
        <v>596</v>
      </c>
      <c r="E53" s="235"/>
      <c r="F53" s="236">
        <f>F54+F55</f>
        <v>296000</v>
      </c>
    </row>
    <row r="54" spans="1:6" ht="38.25" customHeight="1">
      <c r="A54" s="243" t="s">
        <v>548</v>
      </c>
      <c r="B54" s="234" t="s">
        <v>539</v>
      </c>
      <c r="C54" s="234" t="s">
        <v>564</v>
      </c>
      <c r="D54" s="234" t="s">
        <v>596</v>
      </c>
      <c r="E54" s="245" t="s">
        <v>549</v>
      </c>
      <c r="F54" s="236">
        <f>193920+58564+30503+9213+3800</f>
        <v>296000</v>
      </c>
    </row>
    <row r="55" spans="1:6" ht="26.25" hidden="1">
      <c r="A55" s="243" t="s">
        <v>560</v>
      </c>
      <c r="B55" s="234" t="s">
        <v>539</v>
      </c>
      <c r="C55" s="234" t="s">
        <v>564</v>
      </c>
      <c r="D55" s="234" t="s">
        <v>596</v>
      </c>
      <c r="E55" s="245" t="s">
        <v>561</v>
      </c>
      <c r="F55" s="236">
        <f>39716-39716</f>
        <v>0</v>
      </c>
    </row>
    <row r="56" spans="1:6" ht="15">
      <c r="A56" s="243" t="s">
        <v>597</v>
      </c>
      <c r="B56" s="234" t="s">
        <v>539</v>
      </c>
      <c r="C56" s="234" t="s">
        <v>564</v>
      </c>
      <c r="D56" s="234" t="s">
        <v>598</v>
      </c>
      <c r="E56" s="235"/>
      <c r="F56" s="236">
        <f>F57</f>
        <v>17228044</v>
      </c>
    </row>
    <row r="57" spans="1:6" ht="15">
      <c r="A57" s="241" t="s">
        <v>599</v>
      </c>
      <c r="B57" s="234" t="s">
        <v>539</v>
      </c>
      <c r="C57" s="234" t="s">
        <v>564</v>
      </c>
      <c r="D57" s="234" t="s">
        <v>600</v>
      </c>
      <c r="E57" s="235"/>
      <c r="F57" s="236">
        <f>F58</f>
        <v>17228044</v>
      </c>
    </row>
    <row r="58" spans="1:6" ht="26.25">
      <c r="A58" s="241" t="s">
        <v>546</v>
      </c>
      <c r="B58" s="234" t="s">
        <v>539</v>
      </c>
      <c r="C58" s="234" t="s">
        <v>564</v>
      </c>
      <c r="D58" s="234" t="s">
        <v>601</v>
      </c>
      <c r="E58" s="235"/>
      <c r="F58" s="236">
        <f>F59+F60+F61</f>
        <v>17228044</v>
      </c>
    </row>
    <row r="59" spans="1:6" ht="39">
      <c r="A59" s="243" t="s">
        <v>548</v>
      </c>
      <c r="B59" s="234" t="s">
        <v>539</v>
      </c>
      <c r="C59" s="234" t="s">
        <v>564</v>
      </c>
      <c r="D59" s="234" t="s">
        <v>601</v>
      </c>
      <c r="E59" s="245" t="s">
        <v>549</v>
      </c>
      <c r="F59" s="236">
        <v>17027644</v>
      </c>
    </row>
    <row r="60" spans="1:6" ht="26.25">
      <c r="A60" s="243" t="s">
        <v>560</v>
      </c>
      <c r="B60" s="234" t="s">
        <v>539</v>
      </c>
      <c r="C60" s="234" t="s">
        <v>564</v>
      </c>
      <c r="D60" s="234" t="s">
        <v>601</v>
      </c>
      <c r="E60" s="245" t="s">
        <v>561</v>
      </c>
      <c r="F60" s="256">
        <v>58500</v>
      </c>
    </row>
    <row r="61" spans="1:6" ht="15">
      <c r="A61" s="255" t="s">
        <v>602</v>
      </c>
      <c r="B61" s="234" t="s">
        <v>539</v>
      </c>
      <c r="C61" s="234" t="s">
        <v>564</v>
      </c>
      <c r="D61" s="234" t="s">
        <v>601</v>
      </c>
      <c r="E61" s="245" t="s">
        <v>603</v>
      </c>
      <c r="F61" s="236">
        <v>141900</v>
      </c>
    </row>
    <row r="62" spans="1:6" ht="15">
      <c r="A62" s="240" t="s">
        <v>604</v>
      </c>
      <c r="B62" s="234" t="s">
        <v>539</v>
      </c>
      <c r="C62" s="234" t="s">
        <v>564</v>
      </c>
      <c r="D62" s="234" t="s">
        <v>605</v>
      </c>
      <c r="E62" s="235"/>
      <c r="F62" s="236">
        <f>F63+F67</f>
        <v>325600</v>
      </c>
    </row>
    <row r="63" spans="1:6" ht="25.5">
      <c r="A63" s="254" t="s">
        <v>606</v>
      </c>
      <c r="B63" s="234" t="s">
        <v>539</v>
      </c>
      <c r="C63" s="234" t="s">
        <v>564</v>
      </c>
      <c r="D63" s="234" t="s">
        <v>607</v>
      </c>
      <c r="E63" s="235"/>
      <c r="F63" s="236">
        <f>F64</f>
        <v>296000</v>
      </c>
    </row>
    <row r="64" spans="1:6" ht="26.25">
      <c r="A64" s="241" t="s">
        <v>608</v>
      </c>
      <c r="B64" s="234" t="s">
        <v>539</v>
      </c>
      <c r="C64" s="234" t="s">
        <v>564</v>
      </c>
      <c r="D64" s="234" t="s">
        <v>609</v>
      </c>
      <c r="E64" s="235"/>
      <c r="F64" s="236">
        <f>F65+F66</f>
        <v>296000</v>
      </c>
    </row>
    <row r="65" spans="1:6" ht="38.25" customHeight="1">
      <c r="A65" s="243" t="s">
        <v>548</v>
      </c>
      <c r="B65" s="234" t="s">
        <v>539</v>
      </c>
      <c r="C65" s="234" t="s">
        <v>564</v>
      </c>
      <c r="D65" s="234" t="s">
        <v>609</v>
      </c>
      <c r="E65" s="245" t="s">
        <v>549</v>
      </c>
      <c r="F65" s="236">
        <f>208320+62913+16104+4863+3800</f>
        <v>296000</v>
      </c>
    </row>
    <row r="66" spans="1:6" ht="1.5" customHeight="1" hidden="1">
      <c r="A66" s="243" t="s">
        <v>610</v>
      </c>
      <c r="B66" s="234" t="s">
        <v>539</v>
      </c>
      <c r="C66" s="234" t="s">
        <v>564</v>
      </c>
      <c r="D66" s="234" t="s">
        <v>609</v>
      </c>
      <c r="E66" s="245" t="s">
        <v>561</v>
      </c>
      <c r="F66" s="236">
        <f>20967-20967</f>
        <v>0</v>
      </c>
    </row>
    <row r="67" spans="1:6" ht="15">
      <c r="A67" s="240" t="s">
        <v>611</v>
      </c>
      <c r="B67" s="234" t="s">
        <v>539</v>
      </c>
      <c r="C67" s="234" t="s">
        <v>564</v>
      </c>
      <c r="D67" s="234" t="s">
        <v>612</v>
      </c>
      <c r="E67" s="235"/>
      <c r="F67" s="236">
        <f>F68</f>
        <v>29600</v>
      </c>
    </row>
    <row r="68" spans="1:6" ht="38.25">
      <c r="A68" s="257" t="s">
        <v>613</v>
      </c>
      <c r="B68" s="234" t="s">
        <v>539</v>
      </c>
      <c r="C68" s="234" t="s">
        <v>564</v>
      </c>
      <c r="D68" s="234" t="s">
        <v>614</v>
      </c>
      <c r="E68" s="235"/>
      <c r="F68" s="236">
        <f>F69</f>
        <v>29600</v>
      </c>
    </row>
    <row r="69" spans="1:6" ht="39">
      <c r="A69" s="243" t="s">
        <v>548</v>
      </c>
      <c r="B69" s="234" t="s">
        <v>539</v>
      </c>
      <c r="C69" s="234" t="s">
        <v>564</v>
      </c>
      <c r="D69" s="234" t="s">
        <v>614</v>
      </c>
      <c r="E69" s="245" t="s">
        <v>549</v>
      </c>
      <c r="F69" s="236">
        <f>22442+6778+380</f>
        <v>29600</v>
      </c>
    </row>
    <row r="70" spans="1:6" ht="15">
      <c r="A70" s="257" t="s">
        <v>615</v>
      </c>
      <c r="B70" s="234" t="s">
        <v>539</v>
      </c>
      <c r="C70" s="234" t="s">
        <v>616</v>
      </c>
      <c r="D70" s="234"/>
      <c r="E70" s="245"/>
      <c r="F70" s="236">
        <f>F71</f>
        <v>16600</v>
      </c>
    </row>
    <row r="71" spans="1:6" ht="15">
      <c r="A71" s="240" t="s">
        <v>604</v>
      </c>
      <c r="B71" s="234" t="s">
        <v>539</v>
      </c>
      <c r="C71" s="234" t="s">
        <v>616</v>
      </c>
      <c r="D71" s="234" t="s">
        <v>605</v>
      </c>
      <c r="E71" s="245"/>
      <c r="F71" s="236">
        <f>F72</f>
        <v>16600</v>
      </c>
    </row>
    <row r="72" spans="1:6" ht="15">
      <c r="A72" s="240" t="s">
        <v>611</v>
      </c>
      <c r="B72" s="234" t="s">
        <v>539</v>
      </c>
      <c r="C72" s="234" t="s">
        <v>616</v>
      </c>
      <c r="D72" s="234" t="s">
        <v>612</v>
      </c>
      <c r="E72" s="245"/>
      <c r="F72" s="236">
        <f>F73</f>
        <v>16600</v>
      </c>
    </row>
    <row r="73" spans="1:6" ht="39">
      <c r="A73" s="252" t="s">
        <v>617</v>
      </c>
      <c r="B73" s="234" t="s">
        <v>539</v>
      </c>
      <c r="C73" s="234" t="s">
        <v>616</v>
      </c>
      <c r="D73" s="234" t="s">
        <v>618</v>
      </c>
      <c r="E73" s="245"/>
      <c r="F73" s="236">
        <f>F74</f>
        <v>16600</v>
      </c>
    </row>
    <row r="74" spans="1:6" ht="15">
      <c r="A74" s="243" t="s">
        <v>610</v>
      </c>
      <c r="B74" s="234" t="s">
        <v>539</v>
      </c>
      <c r="C74" s="234" t="s">
        <v>616</v>
      </c>
      <c r="D74" s="234" t="s">
        <v>618</v>
      </c>
      <c r="E74" s="245" t="s">
        <v>561</v>
      </c>
      <c r="F74" s="236">
        <f>16600</f>
        <v>16600</v>
      </c>
    </row>
    <row r="75" spans="1:6" ht="26.25">
      <c r="A75" s="240" t="s">
        <v>619</v>
      </c>
      <c r="B75" s="234" t="s">
        <v>539</v>
      </c>
      <c r="C75" s="234" t="s">
        <v>620</v>
      </c>
      <c r="D75" s="234"/>
      <c r="E75" s="235"/>
      <c r="F75" s="236">
        <f>F76</f>
        <v>396700</v>
      </c>
    </row>
    <row r="76" spans="1:6" ht="26.25">
      <c r="A76" s="258" t="s">
        <v>621</v>
      </c>
      <c r="B76" s="234" t="s">
        <v>539</v>
      </c>
      <c r="C76" s="234" t="s">
        <v>620</v>
      </c>
      <c r="D76" s="259" t="s">
        <v>622</v>
      </c>
      <c r="E76" s="245"/>
      <c r="F76" s="236">
        <f>F77</f>
        <v>396700</v>
      </c>
    </row>
    <row r="77" spans="1:6" ht="15">
      <c r="A77" s="258" t="s">
        <v>623</v>
      </c>
      <c r="B77" s="234" t="s">
        <v>539</v>
      </c>
      <c r="C77" s="234" t="s">
        <v>620</v>
      </c>
      <c r="D77" s="259" t="s">
        <v>624</v>
      </c>
      <c r="E77" s="245"/>
      <c r="F77" s="236">
        <f>F78</f>
        <v>396700</v>
      </c>
    </row>
    <row r="78" spans="1:6" ht="26.25">
      <c r="A78" s="241" t="s">
        <v>546</v>
      </c>
      <c r="B78" s="234" t="s">
        <v>539</v>
      </c>
      <c r="C78" s="234" t="s">
        <v>620</v>
      </c>
      <c r="D78" s="259" t="s">
        <v>625</v>
      </c>
      <c r="E78" s="235"/>
      <c r="F78" s="236">
        <f>F79+F80+F81</f>
        <v>396700</v>
      </c>
    </row>
    <row r="79" spans="1:6" ht="38.25" customHeight="1">
      <c r="A79" s="243" t="s">
        <v>548</v>
      </c>
      <c r="B79" s="234" t="s">
        <v>539</v>
      </c>
      <c r="C79" s="234" t="s">
        <v>620</v>
      </c>
      <c r="D79" s="259" t="s">
        <v>625</v>
      </c>
      <c r="E79" s="245" t="s">
        <v>549</v>
      </c>
      <c r="F79" s="236">
        <v>396700</v>
      </c>
    </row>
    <row r="80" spans="1:6" ht="15" hidden="1">
      <c r="A80" s="243" t="s">
        <v>610</v>
      </c>
      <c r="B80" s="234" t="s">
        <v>539</v>
      </c>
      <c r="C80" s="234" t="s">
        <v>620</v>
      </c>
      <c r="D80" s="259" t="s">
        <v>625</v>
      </c>
      <c r="E80" s="245" t="s">
        <v>561</v>
      </c>
      <c r="F80" s="236"/>
    </row>
    <row r="81" spans="1:6" ht="15" hidden="1">
      <c r="A81" s="255" t="s">
        <v>602</v>
      </c>
      <c r="B81" s="234" t="s">
        <v>539</v>
      </c>
      <c r="C81" s="234" t="s">
        <v>620</v>
      </c>
      <c r="D81" s="259" t="s">
        <v>625</v>
      </c>
      <c r="E81" s="245" t="s">
        <v>603</v>
      </c>
      <c r="F81" s="236"/>
    </row>
    <row r="82" spans="1:6" ht="15">
      <c r="A82" s="260" t="s">
        <v>626</v>
      </c>
      <c r="B82" s="234" t="s">
        <v>539</v>
      </c>
      <c r="C82" s="234" t="s">
        <v>627</v>
      </c>
      <c r="D82" s="259"/>
      <c r="E82" s="245"/>
      <c r="F82" s="236">
        <f>F83</f>
        <v>103000</v>
      </c>
    </row>
    <row r="83" spans="1:6" ht="15">
      <c r="A83" s="240" t="s">
        <v>604</v>
      </c>
      <c r="B83" s="234" t="s">
        <v>539</v>
      </c>
      <c r="C83" s="234" t="s">
        <v>627</v>
      </c>
      <c r="D83" s="259" t="s">
        <v>605</v>
      </c>
      <c r="E83" s="245"/>
      <c r="F83" s="236">
        <f>F84</f>
        <v>103000</v>
      </c>
    </row>
    <row r="84" spans="1:6" ht="15">
      <c r="A84" s="255" t="s">
        <v>628</v>
      </c>
      <c r="B84" s="234" t="s">
        <v>539</v>
      </c>
      <c r="C84" s="234" t="s">
        <v>627</v>
      </c>
      <c r="D84" s="259" t="s">
        <v>629</v>
      </c>
      <c r="E84" s="245"/>
      <c r="F84" s="236">
        <f>F85</f>
        <v>103000</v>
      </c>
    </row>
    <row r="85" spans="1:6" ht="15">
      <c r="A85" s="255" t="s">
        <v>630</v>
      </c>
      <c r="B85" s="234" t="s">
        <v>539</v>
      </c>
      <c r="C85" s="234" t="s">
        <v>627</v>
      </c>
      <c r="D85" s="259" t="s">
        <v>631</v>
      </c>
      <c r="E85" s="245"/>
      <c r="F85" s="236">
        <f>F86</f>
        <v>103000</v>
      </c>
    </row>
    <row r="86" spans="1:6" ht="13.5" customHeight="1">
      <c r="A86" s="255" t="s">
        <v>602</v>
      </c>
      <c r="B86" s="234" t="s">
        <v>539</v>
      </c>
      <c r="C86" s="234" t="s">
        <v>627</v>
      </c>
      <c r="D86" s="259" t="s">
        <v>631</v>
      </c>
      <c r="E86" s="245" t="s">
        <v>603</v>
      </c>
      <c r="F86" s="236">
        <f>103000</f>
        <v>103000</v>
      </c>
    </row>
    <row r="87" spans="1:6" ht="15" hidden="1">
      <c r="A87" s="240" t="s">
        <v>632</v>
      </c>
      <c r="B87" s="234" t="s">
        <v>539</v>
      </c>
      <c r="C87" s="234" t="s">
        <v>633</v>
      </c>
      <c r="D87" s="234"/>
      <c r="E87" s="235"/>
      <c r="F87" s="236">
        <f>F89</f>
        <v>0</v>
      </c>
    </row>
    <row r="88" spans="1:6" ht="15" hidden="1">
      <c r="A88" s="243" t="s">
        <v>634</v>
      </c>
      <c r="B88" s="234" t="s">
        <v>539</v>
      </c>
      <c r="C88" s="234" t="s">
        <v>633</v>
      </c>
      <c r="D88" s="244" t="s">
        <v>635</v>
      </c>
      <c r="E88" s="261" t="s">
        <v>636</v>
      </c>
      <c r="F88" s="236">
        <f>F89</f>
        <v>0</v>
      </c>
    </row>
    <row r="89" spans="1:6" ht="15" hidden="1">
      <c r="A89" s="243" t="s">
        <v>632</v>
      </c>
      <c r="B89" s="234" t="s">
        <v>539</v>
      </c>
      <c r="C89" s="234" t="s">
        <v>633</v>
      </c>
      <c r="D89" s="244" t="s">
        <v>637</v>
      </c>
      <c r="E89" s="261" t="s">
        <v>636</v>
      </c>
      <c r="F89" s="236">
        <f>F90</f>
        <v>0</v>
      </c>
    </row>
    <row r="90" spans="1:6" ht="15" hidden="1">
      <c r="A90" s="241" t="s">
        <v>638</v>
      </c>
      <c r="B90" s="234" t="s">
        <v>539</v>
      </c>
      <c r="C90" s="234" t="s">
        <v>633</v>
      </c>
      <c r="D90" s="244" t="s">
        <v>639</v>
      </c>
      <c r="E90" s="261" t="s">
        <v>636</v>
      </c>
      <c r="F90" s="236">
        <f>F91</f>
        <v>0</v>
      </c>
    </row>
    <row r="91" spans="1:6" ht="15" hidden="1">
      <c r="A91" s="243" t="s">
        <v>602</v>
      </c>
      <c r="B91" s="234" t="s">
        <v>539</v>
      </c>
      <c r="C91" s="234" t="s">
        <v>633</v>
      </c>
      <c r="D91" s="244" t="s">
        <v>639</v>
      </c>
      <c r="E91" s="261" t="s">
        <v>603</v>
      </c>
      <c r="F91" s="236">
        <f>50000-50000</f>
        <v>0</v>
      </c>
    </row>
    <row r="92" spans="1:11" ht="15">
      <c r="A92" s="240" t="s">
        <v>640</v>
      </c>
      <c r="B92" s="234" t="s">
        <v>539</v>
      </c>
      <c r="C92" s="234" t="s">
        <v>641</v>
      </c>
      <c r="D92" s="234"/>
      <c r="E92" s="235"/>
      <c r="F92" s="236">
        <f>F93+F111+F143+F154+F160+F170+F122+F134+F127+F117+F149</f>
        <v>103403867.2</v>
      </c>
      <c r="K92" s="242"/>
    </row>
    <row r="93" spans="1:6" ht="26.25">
      <c r="A93" s="240" t="s">
        <v>642</v>
      </c>
      <c r="B93" s="234" t="s">
        <v>539</v>
      </c>
      <c r="C93" s="234" t="s">
        <v>641</v>
      </c>
      <c r="D93" s="234" t="s">
        <v>566</v>
      </c>
      <c r="E93" s="235"/>
      <c r="F93" s="236">
        <f>F102+F98+F94</f>
        <v>166300</v>
      </c>
    </row>
    <row r="94" spans="1:6" ht="51">
      <c r="A94" s="262" t="s">
        <v>643</v>
      </c>
      <c r="B94" s="234" t="s">
        <v>539</v>
      </c>
      <c r="C94" s="234" t="s">
        <v>641</v>
      </c>
      <c r="D94" s="234" t="s">
        <v>644</v>
      </c>
      <c r="E94" s="235"/>
      <c r="F94" s="236">
        <f>F95</f>
        <v>14000</v>
      </c>
    </row>
    <row r="95" spans="1:6" ht="25.5">
      <c r="A95" s="262" t="s">
        <v>645</v>
      </c>
      <c r="B95" s="234" t="s">
        <v>539</v>
      </c>
      <c r="C95" s="234" t="s">
        <v>641</v>
      </c>
      <c r="D95" s="234" t="s">
        <v>646</v>
      </c>
      <c r="E95" s="235"/>
      <c r="F95" s="236">
        <f>F96</f>
        <v>14000</v>
      </c>
    </row>
    <row r="96" spans="1:6" ht="15">
      <c r="A96" s="243" t="s">
        <v>647</v>
      </c>
      <c r="B96" s="234" t="s">
        <v>539</v>
      </c>
      <c r="C96" s="234" t="s">
        <v>641</v>
      </c>
      <c r="D96" s="263" t="s">
        <v>648</v>
      </c>
      <c r="E96" s="235"/>
      <c r="F96" s="236">
        <f>F97</f>
        <v>14000</v>
      </c>
    </row>
    <row r="97" spans="1:6" ht="26.25">
      <c r="A97" s="243" t="s">
        <v>560</v>
      </c>
      <c r="B97" s="234" t="s">
        <v>539</v>
      </c>
      <c r="C97" s="234" t="s">
        <v>641</v>
      </c>
      <c r="D97" s="263" t="s">
        <v>648</v>
      </c>
      <c r="E97" s="235" t="s">
        <v>561</v>
      </c>
      <c r="F97" s="236">
        <v>14000</v>
      </c>
    </row>
    <row r="98" spans="1:6" s="250" customFormat="1" ht="51.75">
      <c r="A98" s="243" t="s">
        <v>567</v>
      </c>
      <c r="B98" s="246" t="s">
        <v>539</v>
      </c>
      <c r="C98" s="246" t="s">
        <v>641</v>
      </c>
      <c r="D98" s="246" t="s">
        <v>568</v>
      </c>
      <c r="E98" s="253"/>
      <c r="F98" s="249">
        <f>F99</f>
        <v>15000</v>
      </c>
    </row>
    <row r="99" spans="1:6" ht="25.5">
      <c r="A99" s="264" t="s">
        <v>649</v>
      </c>
      <c r="B99" s="234" t="s">
        <v>539</v>
      </c>
      <c r="C99" s="234" t="s">
        <v>641</v>
      </c>
      <c r="D99" s="234" t="s">
        <v>650</v>
      </c>
      <c r="E99" s="235"/>
      <c r="F99" s="236">
        <f>F100</f>
        <v>15000</v>
      </c>
    </row>
    <row r="100" spans="1:6" ht="25.5">
      <c r="A100" s="262" t="s">
        <v>651</v>
      </c>
      <c r="B100" s="234" t="s">
        <v>539</v>
      </c>
      <c r="C100" s="234" t="s">
        <v>641</v>
      </c>
      <c r="D100" s="263" t="s">
        <v>652</v>
      </c>
      <c r="E100" s="235"/>
      <c r="F100" s="236">
        <f>F101</f>
        <v>15000</v>
      </c>
    </row>
    <row r="101" spans="1:6" ht="26.25">
      <c r="A101" s="243" t="s">
        <v>560</v>
      </c>
      <c r="B101" s="234" t="s">
        <v>539</v>
      </c>
      <c r="C101" s="234" t="s">
        <v>641</v>
      </c>
      <c r="D101" s="263" t="s">
        <v>652</v>
      </c>
      <c r="E101" s="235" t="s">
        <v>561</v>
      </c>
      <c r="F101" s="236">
        <v>15000</v>
      </c>
    </row>
    <row r="102" spans="1:6" s="250" customFormat="1" ht="51.75">
      <c r="A102" s="241" t="s">
        <v>653</v>
      </c>
      <c r="B102" s="246" t="s">
        <v>539</v>
      </c>
      <c r="C102" s="246" t="s">
        <v>641</v>
      </c>
      <c r="D102" s="246" t="s">
        <v>574</v>
      </c>
      <c r="E102" s="253"/>
      <c r="F102" s="249">
        <f>F103+F108</f>
        <v>137300</v>
      </c>
    </row>
    <row r="103" spans="1:6" ht="26.25">
      <c r="A103" s="241" t="s">
        <v>654</v>
      </c>
      <c r="B103" s="234" t="s">
        <v>539</v>
      </c>
      <c r="C103" s="234" t="s">
        <v>641</v>
      </c>
      <c r="D103" s="234" t="s">
        <v>655</v>
      </c>
      <c r="E103" s="235"/>
      <c r="F103" s="236">
        <f>F104+F106</f>
        <v>127300</v>
      </c>
    </row>
    <row r="104" spans="1:6" ht="26.25">
      <c r="A104" s="241" t="s">
        <v>656</v>
      </c>
      <c r="B104" s="234" t="s">
        <v>539</v>
      </c>
      <c r="C104" s="234" t="s">
        <v>641</v>
      </c>
      <c r="D104" s="234" t="s">
        <v>657</v>
      </c>
      <c r="E104" s="235"/>
      <c r="F104" s="236">
        <f>F105</f>
        <v>124300</v>
      </c>
    </row>
    <row r="105" spans="1:6" ht="26.25">
      <c r="A105" s="243" t="s">
        <v>658</v>
      </c>
      <c r="B105" s="234" t="s">
        <v>539</v>
      </c>
      <c r="C105" s="234" t="s">
        <v>641</v>
      </c>
      <c r="D105" s="234" t="s">
        <v>657</v>
      </c>
      <c r="E105" s="245" t="s">
        <v>659</v>
      </c>
      <c r="F105" s="236">
        <f>122900+1400</f>
        <v>124300</v>
      </c>
    </row>
    <row r="106" spans="1:6" ht="15">
      <c r="A106" s="241" t="s">
        <v>660</v>
      </c>
      <c r="B106" s="234" t="s">
        <v>539</v>
      </c>
      <c r="C106" s="234" t="s">
        <v>641</v>
      </c>
      <c r="D106" s="234" t="s">
        <v>661</v>
      </c>
      <c r="E106" s="245"/>
      <c r="F106" s="236">
        <f>F107</f>
        <v>3000</v>
      </c>
    </row>
    <row r="107" spans="1:6" ht="26.25">
      <c r="A107" s="243" t="s">
        <v>658</v>
      </c>
      <c r="B107" s="234" t="s">
        <v>539</v>
      </c>
      <c r="C107" s="234" t="s">
        <v>641</v>
      </c>
      <c r="D107" s="234" t="s">
        <v>661</v>
      </c>
      <c r="E107" s="245" t="s">
        <v>659</v>
      </c>
      <c r="F107" s="236">
        <v>3000</v>
      </c>
    </row>
    <row r="108" spans="1:6" ht="25.5">
      <c r="A108" s="254" t="s">
        <v>575</v>
      </c>
      <c r="B108" s="234" t="s">
        <v>539</v>
      </c>
      <c r="C108" s="234" t="s">
        <v>641</v>
      </c>
      <c r="D108" s="234" t="s">
        <v>576</v>
      </c>
      <c r="E108" s="245"/>
      <c r="F108" s="236">
        <f>F109</f>
        <v>10000</v>
      </c>
    </row>
    <row r="109" spans="1:6" ht="15">
      <c r="A109" s="264" t="s">
        <v>662</v>
      </c>
      <c r="B109" s="234" t="s">
        <v>539</v>
      </c>
      <c r="C109" s="234" t="s">
        <v>641</v>
      </c>
      <c r="D109" s="234" t="s">
        <v>663</v>
      </c>
      <c r="E109" s="245"/>
      <c r="F109" s="236">
        <f>F110</f>
        <v>10000</v>
      </c>
    </row>
    <row r="110" spans="1:6" ht="26.25">
      <c r="A110" s="243" t="s">
        <v>560</v>
      </c>
      <c r="B110" s="234" t="s">
        <v>539</v>
      </c>
      <c r="C110" s="234" t="s">
        <v>641</v>
      </c>
      <c r="D110" s="234" t="s">
        <v>663</v>
      </c>
      <c r="E110" s="245" t="s">
        <v>561</v>
      </c>
      <c r="F110" s="236">
        <v>10000</v>
      </c>
    </row>
    <row r="111" spans="1:6" ht="38.25">
      <c r="A111" s="265" t="s">
        <v>664</v>
      </c>
      <c r="B111" s="234" t="s">
        <v>539</v>
      </c>
      <c r="C111" s="234" t="s">
        <v>641</v>
      </c>
      <c r="D111" s="234" t="s">
        <v>665</v>
      </c>
      <c r="E111" s="245"/>
      <c r="F111" s="236">
        <f>F112</f>
        <v>1956076.33</v>
      </c>
    </row>
    <row r="112" spans="1:6" s="250" customFormat="1" ht="51">
      <c r="A112" s="266" t="s">
        <v>666</v>
      </c>
      <c r="B112" s="246" t="s">
        <v>539</v>
      </c>
      <c r="C112" s="246" t="s">
        <v>641</v>
      </c>
      <c r="D112" s="246" t="s">
        <v>667</v>
      </c>
      <c r="E112" s="248"/>
      <c r="F112" s="249">
        <f>F113</f>
        <v>1956076.33</v>
      </c>
    </row>
    <row r="113" spans="1:6" ht="25.5">
      <c r="A113" s="266" t="s">
        <v>668</v>
      </c>
      <c r="B113" s="234" t="s">
        <v>539</v>
      </c>
      <c r="C113" s="234" t="s">
        <v>641</v>
      </c>
      <c r="D113" s="234" t="s">
        <v>669</v>
      </c>
      <c r="E113" s="245"/>
      <c r="F113" s="236">
        <f>F114</f>
        <v>1956076.33</v>
      </c>
    </row>
    <row r="114" spans="1:6" ht="15">
      <c r="A114" s="266" t="s">
        <v>670</v>
      </c>
      <c r="B114" s="234" t="s">
        <v>539</v>
      </c>
      <c r="C114" s="234" t="s">
        <v>641</v>
      </c>
      <c r="D114" s="234" t="s">
        <v>671</v>
      </c>
      <c r="E114" s="245"/>
      <c r="F114" s="236">
        <f>F116+F115</f>
        <v>1956076.33</v>
      </c>
    </row>
    <row r="115" spans="1:6" ht="39">
      <c r="A115" s="243" t="s">
        <v>548</v>
      </c>
      <c r="B115" s="234" t="s">
        <v>539</v>
      </c>
      <c r="C115" s="234" t="s">
        <v>641</v>
      </c>
      <c r="D115" s="234" t="s">
        <v>671</v>
      </c>
      <c r="E115" s="245" t="s">
        <v>549</v>
      </c>
      <c r="F115" s="236">
        <v>29300</v>
      </c>
    </row>
    <row r="116" spans="1:6" ht="26.25">
      <c r="A116" s="243" t="s">
        <v>560</v>
      </c>
      <c r="B116" s="234" t="s">
        <v>539</v>
      </c>
      <c r="C116" s="234" t="s">
        <v>641</v>
      </c>
      <c r="D116" s="234" t="s">
        <v>671</v>
      </c>
      <c r="E116" s="235" t="s">
        <v>561</v>
      </c>
      <c r="F116" s="236">
        <v>1926776.33</v>
      </c>
    </row>
    <row r="117" spans="1:6" ht="39">
      <c r="A117" s="233" t="s">
        <v>672</v>
      </c>
      <c r="B117" s="234" t="s">
        <v>539</v>
      </c>
      <c r="C117" s="234" t="s">
        <v>641</v>
      </c>
      <c r="D117" s="244" t="s">
        <v>580</v>
      </c>
      <c r="E117" s="235"/>
      <c r="F117" s="236">
        <f>F118</f>
        <v>80000</v>
      </c>
    </row>
    <row r="118" spans="1:6" s="250" customFormat="1" ht="68.25" customHeight="1">
      <c r="A118" s="254" t="s">
        <v>673</v>
      </c>
      <c r="B118" s="234" t="s">
        <v>539</v>
      </c>
      <c r="C118" s="234" t="s">
        <v>641</v>
      </c>
      <c r="D118" s="247" t="s">
        <v>582</v>
      </c>
      <c r="E118" s="253"/>
      <c r="F118" s="249">
        <f>F119</f>
        <v>80000</v>
      </c>
    </row>
    <row r="119" spans="1:6" ht="25.5">
      <c r="A119" s="255" t="s">
        <v>583</v>
      </c>
      <c r="B119" s="234" t="s">
        <v>539</v>
      </c>
      <c r="C119" s="234" t="s">
        <v>641</v>
      </c>
      <c r="D119" s="244" t="s">
        <v>584</v>
      </c>
      <c r="E119" s="235"/>
      <c r="F119" s="236">
        <f>F120</f>
        <v>80000</v>
      </c>
    </row>
    <row r="120" spans="1:6" ht="26.25">
      <c r="A120" s="243" t="s">
        <v>674</v>
      </c>
      <c r="B120" s="234" t="s">
        <v>539</v>
      </c>
      <c r="C120" s="234" t="s">
        <v>641</v>
      </c>
      <c r="D120" s="244" t="s">
        <v>675</v>
      </c>
      <c r="E120" s="235"/>
      <c r="F120" s="236">
        <f>F121</f>
        <v>80000</v>
      </c>
    </row>
    <row r="121" spans="1:6" ht="25.5" customHeight="1">
      <c r="A121" s="243" t="s">
        <v>560</v>
      </c>
      <c r="B121" s="234" t="s">
        <v>539</v>
      </c>
      <c r="C121" s="234" t="s">
        <v>641</v>
      </c>
      <c r="D121" s="244" t="s">
        <v>675</v>
      </c>
      <c r="E121" s="245" t="s">
        <v>561</v>
      </c>
      <c r="F121" s="236">
        <f>80000</f>
        <v>80000</v>
      </c>
    </row>
    <row r="122" spans="1:6" ht="51" hidden="1">
      <c r="A122" s="265" t="s">
        <v>676</v>
      </c>
      <c r="B122" s="234" t="s">
        <v>539</v>
      </c>
      <c r="C122" s="234" t="s">
        <v>641</v>
      </c>
      <c r="D122" s="234" t="s">
        <v>677</v>
      </c>
      <c r="E122" s="235"/>
      <c r="F122" s="236">
        <f>F123</f>
        <v>0</v>
      </c>
    </row>
    <row r="123" spans="1:6" ht="63.75" hidden="1">
      <c r="A123" s="266" t="s">
        <v>678</v>
      </c>
      <c r="B123" s="234" t="s">
        <v>539</v>
      </c>
      <c r="C123" s="234" t="s">
        <v>641</v>
      </c>
      <c r="D123" s="234" t="s">
        <v>679</v>
      </c>
      <c r="E123" s="235"/>
      <c r="F123" s="236">
        <f>F124</f>
        <v>0</v>
      </c>
    </row>
    <row r="124" spans="1:6" ht="25.5" hidden="1">
      <c r="A124" s="267" t="s">
        <v>680</v>
      </c>
      <c r="B124" s="234" t="s">
        <v>539</v>
      </c>
      <c r="C124" s="234" t="s">
        <v>641</v>
      </c>
      <c r="D124" s="234" t="s">
        <v>681</v>
      </c>
      <c r="E124" s="235"/>
      <c r="F124" s="236">
        <f>F125</f>
        <v>0</v>
      </c>
    </row>
    <row r="125" spans="1:6" ht="25.5" hidden="1">
      <c r="A125" s="255" t="s">
        <v>682</v>
      </c>
      <c r="B125" s="234" t="s">
        <v>539</v>
      </c>
      <c r="C125" s="234" t="s">
        <v>641</v>
      </c>
      <c r="D125" s="234" t="s">
        <v>683</v>
      </c>
      <c r="E125" s="235"/>
      <c r="F125" s="236">
        <f>F126</f>
        <v>0</v>
      </c>
    </row>
    <row r="126" spans="1:6" ht="26.25" hidden="1">
      <c r="A126" s="243" t="s">
        <v>560</v>
      </c>
      <c r="B126" s="234" t="s">
        <v>539</v>
      </c>
      <c r="C126" s="234" t="s">
        <v>641</v>
      </c>
      <c r="D126" s="234" t="s">
        <v>683</v>
      </c>
      <c r="E126" s="235" t="s">
        <v>561</v>
      </c>
      <c r="F126" s="236"/>
    </row>
    <row r="127" spans="1:6" ht="51.75">
      <c r="A127" s="240" t="s">
        <v>587</v>
      </c>
      <c r="B127" s="234" t="s">
        <v>539</v>
      </c>
      <c r="C127" s="234" t="s">
        <v>641</v>
      </c>
      <c r="D127" s="244" t="s">
        <v>588</v>
      </c>
      <c r="E127" s="235"/>
      <c r="F127" s="236">
        <f>F128</f>
        <v>70000</v>
      </c>
    </row>
    <row r="128" spans="1:6" ht="63.75">
      <c r="A128" s="268" t="s">
        <v>684</v>
      </c>
      <c r="B128" s="234" t="s">
        <v>539</v>
      </c>
      <c r="C128" s="234" t="s">
        <v>641</v>
      </c>
      <c r="D128" s="244" t="s">
        <v>685</v>
      </c>
      <c r="E128" s="235"/>
      <c r="F128" s="236">
        <f>F129</f>
        <v>70000</v>
      </c>
    </row>
    <row r="129" spans="1:6" ht="38.25">
      <c r="A129" s="254" t="s">
        <v>686</v>
      </c>
      <c r="B129" s="234" t="s">
        <v>539</v>
      </c>
      <c r="C129" s="234" t="s">
        <v>641</v>
      </c>
      <c r="D129" s="259" t="s">
        <v>687</v>
      </c>
      <c r="E129" s="235"/>
      <c r="F129" s="236">
        <f>F130+F132</f>
        <v>70000</v>
      </c>
    </row>
    <row r="130" spans="1:6" ht="26.25">
      <c r="A130" s="243" t="s">
        <v>688</v>
      </c>
      <c r="B130" s="234" t="s">
        <v>539</v>
      </c>
      <c r="C130" s="234" t="s">
        <v>641</v>
      </c>
      <c r="D130" s="259" t="s">
        <v>689</v>
      </c>
      <c r="E130" s="235"/>
      <c r="F130" s="236">
        <f>F131</f>
        <v>30000</v>
      </c>
    </row>
    <row r="131" spans="1:6" ht="26.25">
      <c r="A131" s="243" t="s">
        <v>560</v>
      </c>
      <c r="B131" s="234" t="s">
        <v>539</v>
      </c>
      <c r="C131" s="234" t="s">
        <v>641</v>
      </c>
      <c r="D131" s="259" t="s">
        <v>689</v>
      </c>
      <c r="E131" s="235" t="s">
        <v>561</v>
      </c>
      <c r="F131" s="236">
        <v>30000</v>
      </c>
    </row>
    <row r="132" spans="1:6" ht="26.25">
      <c r="A132" s="243" t="s">
        <v>690</v>
      </c>
      <c r="B132" s="234" t="s">
        <v>539</v>
      </c>
      <c r="C132" s="234" t="s">
        <v>641</v>
      </c>
      <c r="D132" s="259" t="s">
        <v>691</v>
      </c>
      <c r="E132" s="235"/>
      <c r="F132" s="236">
        <f>F133</f>
        <v>40000</v>
      </c>
    </row>
    <row r="133" spans="1:6" ht="26.25">
      <c r="A133" s="243" t="s">
        <v>560</v>
      </c>
      <c r="B133" s="234" t="s">
        <v>539</v>
      </c>
      <c r="C133" s="234" t="s">
        <v>641</v>
      </c>
      <c r="D133" s="259" t="s">
        <v>691</v>
      </c>
      <c r="E133" s="235" t="s">
        <v>561</v>
      </c>
      <c r="F133" s="236">
        <f>40000</f>
        <v>40000</v>
      </c>
    </row>
    <row r="134" spans="1:6" ht="38.25">
      <c r="A134" s="269" t="s">
        <v>692</v>
      </c>
      <c r="B134" s="234" t="s">
        <v>539</v>
      </c>
      <c r="C134" s="234" t="s">
        <v>641</v>
      </c>
      <c r="D134" s="263" t="s">
        <v>693</v>
      </c>
      <c r="E134" s="235"/>
      <c r="F134" s="236">
        <f>F135+F139</f>
        <v>704696.67</v>
      </c>
    </row>
    <row r="135" spans="1:6" ht="38.25" hidden="1">
      <c r="A135" s="264" t="s">
        <v>694</v>
      </c>
      <c r="B135" s="234" t="s">
        <v>539</v>
      </c>
      <c r="C135" s="234" t="s">
        <v>641</v>
      </c>
      <c r="D135" s="263" t="s">
        <v>695</v>
      </c>
      <c r="E135" s="235"/>
      <c r="F135" s="236">
        <f>F136</f>
        <v>0</v>
      </c>
    </row>
    <row r="136" spans="1:6" ht="25.5" hidden="1">
      <c r="A136" s="264" t="s">
        <v>696</v>
      </c>
      <c r="B136" s="234" t="s">
        <v>539</v>
      </c>
      <c r="C136" s="234" t="s">
        <v>641</v>
      </c>
      <c r="D136" s="263" t="s">
        <v>697</v>
      </c>
      <c r="E136" s="235"/>
      <c r="F136" s="236">
        <f>F137</f>
        <v>0</v>
      </c>
    </row>
    <row r="137" spans="1:6" ht="26.25" hidden="1">
      <c r="A137" s="243" t="s">
        <v>698</v>
      </c>
      <c r="B137" s="234" t="s">
        <v>539</v>
      </c>
      <c r="C137" s="234" t="s">
        <v>641</v>
      </c>
      <c r="D137" s="263" t="s">
        <v>699</v>
      </c>
      <c r="E137" s="235"/>
      <c r="F137" s="236">
        <f>F138</f>
        <v>0</v>
      </c>
    </row>
    <row r="138" spans="1:6" ht="26.25" hidden="1">
      <c r="A138" s="243" t="s">
        <v>560</v>
      </c>
      <c r="B138" s="234" t="s">
        <v>539</v>
      </c>
      <c r="C138" s="234" t="s">
        <v>641</v>
      </c>
      <c r="D138" s="263" t="s">
        <v>699</v>
      </c>
      <c r="E138" s="235" t="s">
        <v>561</v>
      </c>
      <c r="F138" s="236">
        <f>15000-15000</f>
        <v>0</v>
      </c>
    </row>
    <row r="139" spans="1:6" ht="51">
      <c r="A139" s="264" t="s">
        <v>700</v>
      </c>
      <c r="B139" s="234" t="s">
        <v>539</v>
      </c>
      <c r="C139" s="234" t="s">
        <v>641</v>
      </c>
      <c r="D139" s="263" t="s">
        <v>701</v>
      </c>
      <c r="E139" s="235"/>
      <c r="F139" s="236">
        <f>F140</f>
        <v>704696.67</v>
      </c>
    </row>
    <row r="140" spans="1:6" ht="15">
      <c r="A140" s="264" t="s">
        <v>702</v>
      </c>
      <c r="B140" s="234" t="s">
        <v>539</v>
      </c>
      <c r="C140" s="234" t="s">
        <v>641</v>
      </c>
      <c r="D140" s="263" t="s">
        <v>703</v>
      </c>
      <c r="E140" s="235"/>
      <c r="F140" s="236">
        <f>F141</f>
        <v>704696.67</v>
      </c>
    </row>
    <row r="141" spans="1:6" ht="15">
      <c r="A141" s="264" t="s">
        <v>662</v>
      </c>
      <c r="B141" s="234" t="s">
        <v>539</v>
      </c>
      <c r="C141" s="234" t="s">
        <v>641</v>
      </c>
      <c r="D141" s="263" t="s">
        <v>704</v>
      </c>
      <c r="E141" s="235"/>
      <c r="F141" s="236">
        <f>F142</f>
        <v>704696.67</v>
      </c>
    </row>
    <row r="142" spans="1:6" ht="26.25">
      <c r="A142" s="243" t="s">
        <v>560</v>
      </c>
      <c r="B142" s="234" t="s">
        <v>539</v>
      </c>
      <c r="C142" s="234" t="s">
        <v>641</v>
      </c>
      <c r="D142" s="263" t="s">
        <v>704</v>
      </c>
      <c r="E142" s="235" t="s">
        <v>561</v>
      </c>
      <c r="F142" s="236">
        <v>704696.67</v>
      </c>
    </row>
    <row r="143" spans="1:6" ht="39">
      <c r="A143" s="243" t="s">
        <v>705</v>
      </c>
      <c r="B143" s="234" t="s">
        <v>539</v>
      </c>
      <c r="C143" s="234" t="s">
        <v>641</v>
      </c>
      <c r="D143" s="263" t="s">
        <v>706</v>
      </c>
      <c r="E143" s="270"/>
      <c r="F143" s="236">
        <f>F144</f>
        <v>2746541</v>
      </c>
    </row>
    <row r="144" spans="1:6" s="250" customFormat="1" ht="51.75">
      <c r="A144" s="243" t="s">
        <v>707</v>
      </c>
      <c r="B144" s="246" t="s">
        <v>539</v>
      </c>
      <c r="C144" s="246" t="s">
        <v>641</v>
      </c>
      <c r="D144" s="271" t="s">
        <v>708</v>
      </c>
      <c r="E144" s="272"/>
      <c r="F144" s="249">
        <f>F146</f>
        <v>2746541</v>
      </c>
    </row>
    <row r="145" spans="1:6" ht="51">
      <c r="A145" s="273" t="s">
        <v>709</v>
      </c>
      <c r="B145" s="234" t="s">
        <v>539</v>
      </c>
      <c r="C145" s="234" t="s">
        <v>641</v>
      </c>
      <c r="D145" s="263" t="s">
        <v>710</v>
      </c>
      <c r="E145" s="270"/>
      <c r="F145" s="236">
        <f>F146</f>
        <v>2746541</v>
      </c>
    </row>
    <row r="146" spans="1:6" ht="26.25">
      <c r="A146" s="241" t="s">
        <v>711</v>
      </c>
      <c r="B146" s="234" t="s">
        <v>539</v>
      </c>
      <c r="C146" s="234" t="s">
        <v>641</v>
      </c>
      <c r="D146" s="263" t="s">
        <v>712</v>
      </c>
      <c r="E146" s="270"/>
      <c r="F146" s="236">
        <f>F147+F148</f>
        <v>2746541</v>
      </c>
    </row>
    <row r="147" spans="1:6" ht="39">
      <c r="A147" s="243" t="s">
        <v>548</v>
      </c>
      <c r="B147" s="234" t="s">
        <v>539</v>
      </c>
      <c r="C147" s="234" t="s">
        <v>641</v>
      </c>
      <c r="D147" s="263" t="s">
        <v>712</v>
      </c>
      <c r="E147" s="270" t="s">
        <v>549</v>
      </c>
      <c r="F147" s="236">
        <v>936522.44</v>
      </c>
    </row>
    <row r="148" spans="1:6" ht="26.25">
      <c r="A148" s="243" t="s">
        <v>560</v>
      </c>
      <c r="B148" s="234" t="s">
        <v>539</v>
      </c>
      <c r="C148" s="234" t="s">
        <v>641</v>
      </c>
      <c r="D148" s="263" t="s">
        <v>712</v>
      </c>
      <c r="E148" s="270" t="s">
        <v>561</v>
      </c>
      <c r="F148" s="236">
        <v>1810018.56</v>
      </c>
    </row>
    <row r="149" spans="1:6" ht="15">
      <c r="A149" s="243" t="s">
        <v>597</v>
      </c>
      <c r="B149" s="234" t="s">
        <v>539</v>
      </c>
      <c r="C149" s="234" t="s">
        <v>641</v>
      </c>
      <c r="D149" s="234" t="s">
        <v>598</v>
      </c>
      <c r="E149" s="270"/>
      <c r="F149" s="236">
        <f>F150</f>
        <v>290000</v>
      </c>
    </row>
    <row r="150" spans="1:6" ht="15">
      <c r="A150" s="241" t="s">
        <v>599</v>
      </c>
      <c r="B150" s="234" t="s">
        <v>539</v>
      </c>
      <c r="C150" s="234" t="s">
        <v>641</v>
      </c>
      <c r="D150" s="234" t="s">
        <v>600</v>
      </c>
      <c r="E150" s="270"/>
      <c r="F150" s="236">
        <f>F151</f>
        <v>290000</v>
      </c>
    </row>
    <row r="151" spans="1:6" ht="25.5">
      <c r="A151" s="262" t="s">
        <v>713</v>
      </c>
      <c r="B151" s="234" t="s">
        <v>539</v>
      </c>
      <c r="C151" s="234" t="s">
        <v>641</v>
      </c>
      <c r="D151" s="234" t="s">
        <v>714</v>
      </c>
      <c r="E151" s="270"/>
      <c r="F151" s="236">
        <f>F152+F153</f>
        <v>290000</v>
      </c>
    </row>
    <row r="152" spans="1:6" ht="39">
      <c r="A152" s="243" t="s">
        <v>548</v>
      </c>
      <c r="B152" s="234" t="s">
        <v>539</v>
      </c>
      <c r="C152" s="234" t="s">
        <v>641</v>
      </c>
      <c r="D152" s="234" t="s">
        <v>714</v>
      </c>
      <c r="E152" s="270" t="s">
        <v>549</v>
      </c>
      <c r="F152" s="236">
        <v>206600</v>
      </c>
    </row>
    <row r="153" spans="1:6" ht="26.25">
      <c r="A153" s="243" t="s">
        <v>560</v>
      </c>
      <c r="B153" s="234" t="s">
        <v>539</v>
      </c>
      <c r="C153" s="234" t="s">
        <v>641</v>
      </c>
      <c r="D153" s="234" t="s">
        <v>714</v>
      </c>
      <c r="E153" s="270" t="s">
        <v>561</v>
      </c>
      <c r="F153" s="236">
        <v>83400</v>
      </c>
    </row>
    <row r="154" spans="1:6" ht="26.25">
      <c r="A154" s="243" t="s">
        <v>715</v>
      </c>
      <c r="B154" s="234" t="s">
        <v>539</v>
      </c>
      <c r="C154" s="234" t="s">
        <v>641</v>
      </c>
      <c r="D154" s="244" t="s">
        <v>716</v>
      </c>
      <c r="E154" s="270"/>
      <c r="F154" s="236">
        <f>F155</f>
        <v>75142602.2</v>
      </c>
    </row>
    <row r="155" spans="1:6" ht="15">
      <c r="A155" s="243" t="s">
        <v>717</v>
      </c>
      <c r="B155" s="234" t="s">
        <v>539</v>
      </c>
      <c r="C155" s="234" t="s">
        <v>641</v>
      </c>
      <c r="D155" s="244" t="s">
        <v>718</v>
      </c>
      <c r="E155" s="270"/>
      <c r="F155" s="236">
        <f>F156</f>
        <v>75142602.2</v>
      </c>
    </row>
    <row r="156" spans="1:8" ht="15.75">
      <c r="A156" s="240" t="s">
        <v>662</v>
      </c>
      <c r="B156" s="234" t="s">
        <v>539</v>
      </c>
      <c r="C156" s="234" t="s">
        <v>641</v>
      </c>
      <c r="D156" s="244" t="s">
        <v>719</v>
      </c>
      <c r="E156" s="270"/>
      <c r="F156" s="236">
        <f>F157+F159+F158</f>
        <v>75142602.2</v>
      </c>
      <c r="H156" s="227"/>
    </row>
    <row r="157" spans="1:6" ht="26.25">
      <c r="A157" s="243" t="s">
        <v>560</v>
      </c>
      <c r="B157" s="234" t="s">
        <v>539</v>
      </c>
      <c r="C157" s="234" t="s">
        <v>641</v>
      </c>
      <c r="D157" s="244" t="s">
        <v>719</v>
      </c>
      <c r="E157" s="270" t="s">
        <v>561</v>
      </c>
      <c r="F157" s="236">
        <v>60000.24</v>
      </c>
    </row>
    <row r="158" spans="1:6" ht="15">
      <c r="A158" s="243" t="s">
        <v>720</v>
      </c>
      <c r="B158" s="234" t="s">
        <v>539</v>
      </c>
      <c r="C158" s="234" t="s">
        <v>641</v>
      </c>
      <c r="D158" s="244" t="s">
        <v>719</v>
      </c>
      <c r="E158" s="270" t="s">
        <v>721</v>
      </c>
      <c r="F158" s="236">
        <v>220000</v>
      </c>
    </row>
    <row r="159" spans="1:6" ht="15">
      <c r="A159" s="255" t="s">
        <v>602</v>
      </c>
      <c r="B159" s="234" t="s">
        <v>539</v>
      </c>
      <c r="C159" s="234" t="s">
        <v>641</v>
      </c>
      <c r="D159" s="244" t="s">
        <v>719</v>
      </c>
      <c r="E159" s="270" t="s">
        <v>603</v>
      </c>
      <c r="F159" s="236">
        <v>74862601.96000001</v>
      </c>
    </row>
    <row r="160" spans="1:6" ht="15">
      <c r="A160" s="240" t="s">
        <v>604</v>
      </c>
      <c r="B160" s="274" t="s">
        <v>539</v>
      </c>
      <c r="C160" s="234" t="s">
        <v>641</v>
      </c>
      <c r="D160" s="259" t="s">
        <v>605</v>
      </c>
      <c r="E160" s="245"/>
      <c r="F160" s="236">
        <f>F161</f>
        <v>22157651</v>
      </c>
    </row>
    <row r="161" spans="1:6" ht="15">
      <c r="A161" s="240" t="s">
        <v>611</v>
      </c>
      <c r="B161" s="234" t="s">
        <v>539</v>
      </c>
      <c r="C161" s="234" t="s">
        <v>641</v>
      </c>
      <c r="D161" s="234" t="s">
        <v>612</v>
      </c>
      <c r="E161" s="235"/>
      <c r="F161" s="236">
        <f>F162+F166+F168</f>
        <v>22157651</v>
      </c>
    </row>
    <row r="162" spans="1:6" ht="25.5">
      <c r="A162" s="255" t="s">
        <v>722</v>
      </c>
      <c r="B162" s="234" t="s">
        <v>539</v>
      </c>
      <c r="C162" s="234" t="s">
        <v>641</v>
      </c>
      <c r="D162" s="234" t="s">
        <v>723</v>
      </c>
      <c r="E162" s="235"/>
      <c r="F162" s="236">
        <f>F163+F164+F165</f>
        <v>21882331</v>
      </c>
    </row>
    <row r="163" spans="1:6" ht="39">
      <c r="A163" s="243" t="s">
        <v>548</v>
      </c>
      <c r="B163" s="234" t="s">
        <v>539</v>
      </c>
      <c r="C163" s="234" t="s">
        <v>641</v>
      </c>
      <c r="D163" s="234" t="s">
        <v>723</v>
      </c>
      <c r="E163" s="245" t="s">
        <v>549</v>
      </c>
      <c r="F163" s="275">
        <v>6129785</v>
      </c>
    </row>
    <row r="164" spans="1:6" ht="26.25">
      <c r="A164" s="243" t="s">
        <v>560</v>
      </c>
      <c r="B164" s="234" t="s">
        <v>539</v>
      </c>
      <c r="C164" s="234" t="s">
        <v>641</v>
      </c>
      <c r="D164" s="234" t="s">
        <v>723</v>
      </c>
      <c r="E164" s="245" t="s">
        <v>561</v>
      </c>
      <c r="F164" s="236">
        <v>15704294</v>
      </c>
    </row>
    <row r="165" spans="1:6" ht="15">
      <c r="A165" s="255" t="s">
        <v>602</v>
      </c>
      <c r="B165" s="234" t="s">
        <v>539</v>
      </c>
      <c r="C165" s="234" t="s">
        <v>641</v>
      </c>
      <c r="D165" s="234" t="s">
        <v>723</v>
      </c>
      <c r="E165" s="245" t="s">
        <v>603</v>
      </c>
      <c r="F165" s="236">
        <v>48252</v>
      </c>
    </row>
    <row r="166" spans="1:6" ht="15">
      <c r="A166" s="266" t="s">
        <v>724</v>
      </c>
      <c r="B166" s="234" t="s">
        <v>539</v>
      </c>
      <c r="C166" s="234" t="s">
        <v>641</v>
      </c>
      <c r="D166" s="234" t="s">
        <v>725</v>
      </c>
      <c r="E166" s="245"/>
      <c r="F166" s="236">
        <f>F167</f>
        <v>100000</v>
      </c>
    </row>
    <row r="167" spans="1:6" ht="26.25">
      <c r="A167" s="243" t="s">
        <v>560</v>
      </c>
      <c r="B167" s="234" t="s">
        <v>539</v>
      </c>
      <c r="C167" s="234" t="s">
        <v>641</v>
      </c>
      <c r="D167" s="234" t="s">
        <v>725</v>
      </c>
      <c r="E167" s="245" t="s">
        <v>561</v>
      </c>
      <c r="F167" s="236">
        <v>100000</v>
      </c>
    </row>
    <row r="168" spans="1:6" ht="26.25">
      <c r="A168" s="243" t="s">
        <v>726</v>
      </c>
      <c r="B168" s="234" t="s">
        <v>539</v>
      </c>
      <c r="C168" s="234" t="s">
        <v>641</v>
      </c>
      <c r="D168" s="234" t="s">
        <v>727</v>
      </c>
      <c r="E168" s="245"/>
      <c r="F168" s="236">
        <f>F169</f>
        <v>175320</v>
      </c>
    </row>
    <row r="169" spans="1:6" ht="17.25" customHeight="1">
      <c r="A169" s="243" t="s">
        <v>720</v>
      </c>
      <c r="B169" s="234" t="s">
        <v>539</v>
      </c>
      <c r="C169" s="234" t="s">
        <v>641</v>
      </c>
      <c r="D169" s="234" t="s">
        <v>727</v>
      </c>
      <c r="E169" s="245" t="s">
        <v>721</v>
      </c>
      <c r="F169" s="236">
        <f>175320</f>
        <v>175320</v>
      </c>
    </row>
    <row r="170" spans="1:6" ht="15">
      <c r="A170" s="240" t="s">
        <v>728</v>
      </c>
      <c r="B170" s="274" t="s">
        <v>539</v>
      </c>
      <c r="C170" s="234" t="s">
        <v>641</v>
      </c>
      <c r="D170" s="259" t="s">
        <v>729</v>
      </c>
      <c r="E170" s="245"/>
      <c r="F170" s="236">
        <f>F171</f>
        <v>90000</v>
      </c>
    </row>
    <row r="171" spans="1:6" ht="15">
      <c r="A171" s="243" t="s">
        <v>632</v>
      </c>
      <c r="B171" s="274" t="s">
        <v>539</v>
      </c>
      <c r="C171" s="234" t="s">
        <v>641</v>
      </c>
      <c r="D171" s="259" t="s">
        <v>730</v>
      </c>
      <c r="E171" s="245"/>
      <c r="F171" s="236">
        <f>F172</f>
        <v>90000</v>
      </c>
    </row>
    <row r="172" spans="1:6" ht="15">
      <c r="A172" s="243" t="s">
        <v>731</v>
      </c>
      <c r="B172" s="274" t="s">
        <v>539</v>
      </c>
      <c r="C172" s="234" t="s">
        <v>641</v>
      </c>
      <c r="D172" s="259" t="s">
        <v>732</v>
      </c>
      <c r="E172" s="245"/>
      <c r="F172" s="236">
        <f>F173</f>
        <v>90000</v>
      </c>
    </row>
    <row r="173" spans="1:6" ht="15">
      <c r="A173" s="276" t="s">
        <v>733</v>
      </c>
      <c r="B173" s="274" t="s">
        <v>539</v>
      </c>
      <c r="C173" s="234" t="s">
        <v>641</v>
      </c>
      <c r="D173" s="259" t="s">
        <v>732</v>
      </c>
      <c r="E173" s="245" t="s">
        <v>734</v>
      </c>
      <c r="F173" s="236">
        <f>30000+30000+30000</f>
        <v>90000</v>
      </c>
    </row>
    <row r="174" spans="1:6" ht="15">
      <c r="A174" s="240" t="s">
        <v>735</v>
      </c>
      <c r="B174" s="234" t="s">
        <v>551</v>
      </c>
      <c r="C174" s="234" t="s">
        <v>736</v>
      </c>
      <c r="D174" s="259"/>
      <c r="E174" s="245"/>
      <c r="F174" s="236">
        <f>F175</f>
        <v>51000</v>
      </c>
    </row>
    <row r="175" spans="1:6" ht="25.5">
      <c r="A175" s="255" t="s">
        <v>737</v>
      </c>
      <c r="B175" s="234" t="s">
        <v>551</v>
      </c>
      <c r="C175" s="234" t="s">
        <v>738</v>
      </c>
      <c r="D175" s="259"/>
      <c r="E175" s="245"/>
      <c r="F175" s="236">
        <f>F176</f>
        <v>51000</v>
      </c>
    </row>
    <row r="176" spans="1:6" ht="63.75" customHeight="1">
      <c r="A176" s="254" t="s">
        <v>739</v>
      </c>
      <c r="B176" s="234" t="s">
        <v>551</v>
      </c>
      <c r="C176" s="234" t="s">
        <v>738</v>
      </c>
      <c r="D176" s="271" t="s">
        <v>740</v>
      </c>
      <c r="E176" s="245"/>
      <c r="F176" s="236">
        <f>F177</f>
        <v>51000</v>
      </c>
    </row>
    <row r="177" spans="1:6" s="250" customFormat="1" ht="89.25">
      <c r="A177" s="264" t="s">
        <v>741</v>
      </c>
      <c r="B177" s="246" t="s">
        <v>551</v>
      </c>
      <c r="C177" s="246" t="s">
        <v>738</v>
      </c>
      <c r="D177" s="271" t="s">
        <v>742</v>
      </c>
      <c r="E177" s="248"/>
      <c r="F177" s="249">
        <f>F178+F181+F184+F187</f>
        <v>51000</v>
      </c>
    </row>
    <row r="178" spans="1:6" ht="25.5" hidden="1">
      <c r="A178" s="264" t="s">
        <v>743</v>
      </c>
      <c r="B178" s="234" t="s">
        <v>551</v>
      </c>
      <c r="C178" s="234" t="s">
        <v>738</v>
      </c>
      <c r="D178" s="263" t="s">
        <v>744</v>
      </c>
      <c r="E178" s="245"/>
      <c r="F178" s="236">
        <f>F179</f>
        <v>0</v>
      </c>
    </row>
    <row r="179" spans="1:6" ht="39" hidden="1">
      <c r="A179" s="243" t="s">
        <v>745</v>
      </c>
      <c r="B179" s="234" t="s">
        <v>551</v>
      </c>
      <c r="C179" s="234" t="s">
        <v>738</v>
      </c>
      <c r="D179" s="263" t="s">
        <v>746</v>
      </c>
      <c r="E179" s="245"/>
      <c r="F179" s="236">
        <f>F180</f>
        <v>0</v>
      </c>
    </row>
    <row r="180" spans="1:6" ht="26.25" hidden="1">
      <c r="A180" s="243" t="s">
        <v>560</v>
      </c>
      <c r="B180" s="234" t="s">
        <v>551</v>
      </c>
      <c r="C180" s="234" t="s">
        <v>738</v>
      </c>
      <c r="D180" s="263" t="s">
        <v>746</v>
      </c>
      <c r="E180" s="245" t="s">
        <v>561</v>
      </c>
      <c r="F180" s="236"/>
    </row>
    <row r="181" spans="1:6" ht="63.75">
      <c r="A181" s="264" t="s">
        <v>747</v>
      </c>
      <c r="B181" s="234" t="s">
        <v>551</v>
      </c>
      <c r="C181" s="234" t="s">
        <v>738</v>
      </c>
      <c r="D181" s="263" t="s">
        <v>748</v>
      </c>
      <c r="E181" s="245"/>
      <c r="F181" s="236">
        <f>F182</f>
        <v>51000</v>
      </c>
    </row>
    <row r="182" spans="1:6" ht="39">
      <c r="A182" s="243" t="s">
        <v>745</v>
      </c>
      <c r="B182" s="234" t="s">
        <v>551</v>
      </c>
      <c r="C182" s="234" t="s">
        <v>738</v>
      </c>
      <c r="D182" s="263" t="s">
        <v>749</v>
      </c>
      <c r="E182" s="245"/>
      <c r="F182" s="236">
        <f>F183</f>
        <v>51000</v>
      </c>
    </row>
    <row r="183" spans="1:6" ht="26.25">
      <c r="A183" s="243" t="s">
        <v>560</v>
      </c>
      <c r="B183" s="234" t="s">
        <v>551</v>
      </c>
      <c r="C183" s="234" t="s">
        <v>738</v>
      </c>
      <c r="D183" s="263" t="s">
        <v>749</v>
      </c>
      <c r="E183" s="245" t="s">
        <v>561</v>
      </c>
      <c r="F183" s="236">
        <v>51000</v>
      </c>
    </row>
    <row r="184" spans="1:6" ht="38.25" hidden="1">
      <c r="A184" s="264" t="s">
        <v>750</v>
      </c>
      <c r="B184" s="234" t="s">
        <v>551</v>
      </c>
      <c r="C184" s="234" t="s">
        <v>738</v>
      </c>
      <c r="D184" s="263" t="s">
        <v>751</v>
      </c>
      <c r="E184" s="245"/>
      <c r="F184" s="236">
        <f>F185</f>
        <v>0</v>
      </c>
    </row>
    <row r="185" spans="1:6" ht="39" hidden="1">
      <c r="A185" s="243" t="s">
        <v>745</v>
      </c>
      <c r="B185" s="234" t="s">
        <v>551</v>
      </c>
      <c r="C185" s="234" t="s">
        <v>738</v>
      </c>
      <c r="D185" s="263" t="s">
        <v>752</v>
      </c>
      <c r="E185" s="245"/>
      <c r="F185" s="236">
        <f>F186</f>
        <v>0</v>
      </c>
    </row>
    <row r="186" spans="1:6" ht="26.25" hidden="1">
      <c r="A186" s="243" t="s">
        <v>560</v>
      </c>
      <c r="B186" s="234" t="s">
        <v>551</v>
      </c>
      <c r="C186" s="234" t="s">
        <v>738</v>
      </c>
      <c r="D186" s="263" t="s">
        <v>752</v>
      </c>
      <c r="E186" s="245" t="s">
        <v>561</v>
      </c>
      <c r="F186" s="236"/>
    </row>
    <row r="187" spans="1:6" ht="25.5" hidden="1">
      <c r="A187" s="264" t="s">
        <v>753</v>
      </c>
      <c r="B187" s="234" t="s">
        <v>551</v>
      </c>
      <c r="C187" s="234" t="s">
        <v>738</v>
      </c>
      <c r="D187" s="263" t="s">
        <v>754</v>
      </c>
      <c r="E187" s="245"/>
      <c r="F187" s="236">
        <f>F188</f>
        <v>0</v>
      </c>
    </row>
    <row r="188" spans="1:6" ht="39" hidden="1">
      <c r="A188" s="243" t="s">
        <v>745</v>
      </c>
      <c r="B188" s="234" t="s">
        <v>551</v>
      </c>
      <c r="C188" s="234" t="s">
        <v>738</v>
      </c>
      <c r="D188" s="263" t="s">
        <v>755</v>
      </c>
      <c r="E188" s="245"/>
      <c r="F188" s="236">
        <f>F189</f>
        <v>0</v>
      </c>
    </row>
    <row r="189" spans="1:6" ht="26.25" hidden="1">
      <c r="A189" s="243" t="s">
        <v>560</v>
      </c>
      <c r="B189" s="234" t="s">
        <v>551</v>
      </c>
      <c r="C189" s="234" t="s">
        <v>738</v>
      </c>
      <c r="D189" s="263" t="s">
        <v>755</v>
      </c>
      <c r="E189" s="245" t="s">
        <v>561</v>
      </c>
      <c r="F189" s="236"/>
    </row>
    <row r="190" spans="1:6" ht="15">
      <c r="A190" s="240" t="s">
        <v>756</v>
      </c>
      <c r="B190" s="234" t="s">
        <v>564</v>
      </c>
      <c r="C190" s="234"/>
      <c r="D190" s="234"/>
      <c r="E190" s="235"/>
      <c r="F190" s="236">
        <f>F191+F198+F224</f>
        <v>33986139.879999995</v>
      </c>
    </row>
    <row r="191" spans="1:6" ht="15">
      <c r="A191" s="240" t="s">
        <v>757</v>
      </c>
      <c r="B191" s="234" t="s">
        <v>564</v>
      </c>
      <c r="C191" s="234" t="s">
        <v>758</v>
      </c>
      <c r="D191" s="234"/>
      <c r="E191" s="235"/>
      <c r="F191" s="236">
        <f>F192</f>
        <v>1975000</v>
      </c>
    </row>
    <row r="192" spans="1:6" ht="51">
      <c r="A192" s="277" t="s">
        <v>676</v>
      </c>
      <c r="B192" s="234" t="s">
        <v>564</v>
      </c>
      <c r="C192" s="234" t="s">
        <v>758</v>
      </c>
      <c r="D192" s="263" t="s">
        <v>677</v>
      </c>
      <c r="E192" s="235"/>
      <c r="F192" s="236">
        <f>F193</f>
        <v>1975000</v>
      </c>
    </row>
    <row r="193" spans="1:6" s="250" customFormat="1" ht="63.75">
      <c r="A193" s="278" t="s">
        <v>759</v>
      </c>
      <c r="B193" s="246" t="s">
        <v>564</v>
      </c>
      <c r="C193" s="246" t="s">
        <v>758</v>
      </c>
      <c r="D193" s="271" t="s">
        <v>760</v>
      </c>
      <c r="E193" s="253"/>
      <c r="F193" s="249">
        <f>F194</f>
        <v>1975000</v>
      </c>
    </row>
    <row r="194" spans="1:6" ht="25.5">
      <c r="A194" s="255" t="s">
        <v>761</v>
      </c>
      <c r="B194" s="234" t="s">
        <v>564</v>
      </c>
      <c r="C194" s="234" t="s">
        <v>758</v>
      </c>
      <c r="D194" s="263" t="s">
        <v>762</v>
      </c>
      <c r="E194" s="235"/>
      <c r="F194" s="236">
        <f>F195</f>
        <v>1975000</v>
      </c>
    </row>
    <row r="195" spans="1:6" ht="15">
      <c r="A195" s="240" t="s">
        <v>763</v>
      </c>
      <c r="B195" s="234" t="s">
        <v>564</v>
      </c>
      <c r="C195" s="234" t="s">
        <v>758</v>
      </c>
      <c r="D195" s="263" t="s">
        <v>764</v>
      </c>
      <c r="E195" s="235"/>
      <c r="F195" s="236">
        <f>F197+F196</f>
        <v>1975000</v>
      </c>
    </row>
    <row r="196" spans="1:6" ht="26.25">
      <c r="A196" s="243" t="s">
        <v>560</v>
      </c>
      <c r="B196" s="234" t="s">
        <v>564</v>
      </c>
      <c r="C196" s="234" t="s">
        <v>758</v>
      </c>
      <c r="D196" s="263" t="s">
        <v>764</v>
      </c>
      <c r="E196" s="235" t="s">
        <v>561</v>
      </c>
      <c r="F196" s="236">
        <v>10000</v>
      </c>
    </row>
    <row r="197" spans="1:6" ht="15">
      <c r="A197" s="243" t="s">
        <v>602</v>
      </c>
      <c r="B197" s="234" t="s">
        <v>564</v>
      </c>
      <c r="C197" s="234" t="s">
        <v>758</v>
      </c>
      <c r="D197" s="263" t="s">
        <v>764</v>
      </c>
      <c r="E197" s="235" t="s">
        <v>603</v>
      </c>
      <c r="F197" s="236">
        <f>500000+565000+600000+300000</f>
        <v>1965000</v>
      </c>
    </row>
    <row r="198" spans="1:6" ht="15">
      <c r="A198" s="240" t="s">
        <v>765</v>
      </c>
      <c r="B198" s="234" t="s">
        <v>564</v>
      </c>
      <c r="C198" s="234" t="s">
        <v>738</v>
      </c>
      <c r="D198" s="234"/>
      <c r="E198" s="235"/>
      <c r="F198" s="236">
        <f>F199+F219</f>
        <v>29546712.88</v>
      </c>
    </row>
    <row r="199" spans="1:6" ht="51">
      <c r="A199" s="279" t="s">
        <v>676</v>
      </c>
      <c r="B199" s="234" t="s">
        <v>564</v>
      </c>
      <c r="C199" s="234" t="s">
        <v>738</v>
      </c>
      <c r="D199" s="263" t="s">
        <v>677</v>
      </c>
      <c r="E199" s="235"/>
      <c r="F199" s="236">
        <f>F200+F215</f>
        <v>15804387.879999999</v>
      </c>
    </row>
    <row r="200" spans="1:6" s="250" customFormat="1" ht="63.75">
      <c r="A200" s="280" t="s">
        <v>766</v>
      </c>
      <c r="B200" s="246" t="s">
        <v>564</v>
      </c>
      <c r="C200" s="246" t="s">
        <v>738</v>
      </c>
      <c r="D200" s="271" t="s">
        <v>767</v>
      </c>
      <c r="E200" s="253"/>
      <c r="F200" s="249">
        <f>F201+F204</f>
        <v>15626587.879999999</v>
      </c>
    </row>
    <row r="201" spans="1:6" ht="25.5">
      <c r="A201" s="255" t="s">
        <v>768</v>
      </c>
      <c r="B201" s="234" t="s">
        <v>564</v>
      </c>
      <c r="C201" s="234" t="s">
        <v>738</v>
      </c>
      <c r="D201" s="263" t="s">
        <v>769</v>
      </c>
      <c r="E201" s="235"/>
      <c r="F201" s="236">
        <f>F202</f>
        <v>2107961.18</v>
      </c>
    </row>
    <row r="202" spans="1:6" ht="26.25">
      <c r="A202" s="243" t="s">
        <v>770</v>
      </c>
      <c r="B202" s="234" t="s">
        <v>564</v>
      </c>
      <c r="C202" s="234" t="s">
        <v>738</v>
      </c>
      <c r="D202" s="263" t="s">
        <v>771</v>
      </c>
      <c r="E202" s="235"/>
      <c r="F202" s="236">
        <f>F203</f>
        <v>2107961.18</v>
      </c>
    </row>
    <row r="203" spans="1:6" ht="15">
      <c r="A203" s="243" t="s">
        <v>610</v>
      </c>
      <c r="B203" s="234" t="s">
        <v>564</v>
      </c>
      <c r="C203" s="234" t="s">
        <v>738</v>
      </c>
      <c r="D203" s="263" t="s">
        <v>771</v>
      </c>
      <c r="E203" s="235" t="s">
        <v>561</v>
      </c>
      <c r="F203" s="236">
        <f>1463489.55+644471.63</f>
        <v>2107961.18</v>
      </c>
    </row>
    <row r="204" spans="1:9" ht="25.5">
      <c r="A204" s="255" t="s">
        <v>772</v>
      </c>
      <c r="B204" s="234" t="s">
        <v>564</v>
      </c>
      <c r="C204" s="234" t="s">
        <v>738</v>
      </c>
      <c r="D204" s="263" t="s">
        <v>773</v>
      </c>
      <c r="E204" s="235"/>
      <c r="F204" s="236">
        <f>F205+F213+F211+F207+F209</f>
        <v>13518626.7</v>
      </c>
      <c r="I204" s="242"/>
    </row>
    <row r="205" spans="1:9" ht="15">
      <c r="A205" s="243" t="s">
        <v>774</v>
      </c>
      <c r="B205" s="234" t="s">
        <v>564</v>
      </c>
      <c r="C205" s="234" t="s">
        <v>738</v>
      </c>
      <c r="D205" s="263" t="s">
        <v>775</v>
      </c>
      <c r="E205" s="235"/>
      <c r="F205" s="236">
        <f>F206</f>
        <v>1800000</v>
      </c>
      <c r="I205" s="242"/>
    </row>
    <row r="206" spans="1:9" ht="26.25">
      <c r="A206" s="281" t="s">
        <v>776</v>
      </c>
      <c r="B206" s="234" t="s">
        <v>564</v>
      </c>
      <c r="C206" s="234" t="s">
        <v>738</v>
      </c>
      <c r="D206" s="263" t="s">
        <v>775</v>
      </c>
      <c r="E206" s="235" t="s">
        <v>777</v>
      </c>
      <c r="F206" s="236">
        <f>1800000</f>
        <v>1800000</v>
      </c>
      <c r="I206" s="242"/>
    </row>
    <row r="207" spans="1:9" ht="15">
      <c r="A207" s="243" t="s">
        <v>778</v>
      </c>
      <c r="B207" s="234" t="s">
        <v>564</v>
      </c>
      <c r="C207" s="234" t="s">
        <v>738</v>
      </c>
      <c r="D207" s="263" t="s">
        <v>779</v>
      </c>
      <c r="E207" s="235"/>
      <c r="F207" s="236">
        <f>F208</f>
        <v>1563000</v>
      </c>
      <c r="I207" s="242"/>
    </row>
    <row r="208" spans="1:9" ht="26.25">
      <c r="A208" s="281" t="s">
        <v>776</v>
      </c>
      <c r="B208" s="234" t="s">
        <v>564</v>
      </c>
      <c r="C208" s="234" t="s">
        <v>738</v>
      </c>
      <c r="D208" s="263" t="s">
        <v>779</v>
      </c>
      <c r="E208" s="235" t="s">
        <v>777</v>
      </c>
      <c r="F208" s="236">
        <v>1563000</v>
      </c>
      <c r="I208" s="242"/>
    </row>
    <row r="209" spans="1:9" ht="25.5">
      <c r="A209" s="255" t="s">
        <v>780</v>
      </c>
      <c r="B209" s="234" t="s">
        <v>564</v>
      </c>
      <c r="C209" s="234" t="s">
        <v>738</v>
      </c>
      <c r="D209" s="263" t="s">
        <v>781</v>
      </c>
      <c r="E209" s="235"/>
      <c r="F209" s="236">
        <f>F210</f>
        <v>8950098.33</v>
      </c>
      <c r="I209" s="242"/>
    </row>
    <row r="210" spans="1:9" ht="30">
      <c r="A210" s="282" t="s">
        <v>776</v>
      </c>
      <c r="B210" s="234" t="s">
        <v>564</v>
      </c>
      <c r="C210" s="234" t="s">
        <v>738</v>
      </c>
      <c r="D210" s="263" t="s">
        <v>781</v>
      </c>
      <c r="E210" s="235" t="s">
        <v>777</v>
      </c>
      <c r="F210" s="236">
        <v>8950098.33</v>
      </c>
      <c r="I210" s="242"/>
    </row>
    <row r="211" spans="1:9" ht="45">
      <c r="A211" s="283" t="s">
        <v>782</v>
      </c>
      <c r="B211" s="234" t="s">
        <v>564</v>
      </c>
      <c r="C211" s="234" t="s">
        <v>738</v>
      </c>
      <c r="D211" s="263" t="s">
        <v>783</v>
      </c>
      <c r="E211" s="235"/>
      <c r="F211" s="236">
        <f>F212</f>
        <v>100000</v>
      </c>
      <c r="I211" s="242"/>
    </row>
    <row r="212" spans="1:9" ht="30">
      <c r="A212" s="282" t="s">
        <v>776</v>
      </c>
      <c r="B212" s="234" t="s">
        <v>564</v>
      </c>
      <c r="C212" s="234" t="s">
        <v>738</v>
      </c>
      <c r="D212" s="263" t="s">
        <v>783</v>
      </c>
      <c r="E212" s="235" t="s">
        <v>777</v>
      </c>
      <c r="F212" s="236">
        <f>100000</f>
        <v>100000</v>
      </c>
      <c r="I212" s="242"/>
    </row>
    <row r="213" spans="1:9" ht="26.25">
      <c r="A213" s="243" t="s">
        <v>784</v>
      </c>
      <c r="B213" s="234" t="s">
        <v>564</v>
      </c>
      <c r="C213" s="234" t="s">
        <v>738</v>
      </c>
      <c r="D213" s="263" t="s">
        <v>785</v>
      </c>
      <c r="E213" s="235"/>
      <c r="F213" s="236">
        <f>F214</f>
        <v>1105528.37</v>
      </c>
      <c r="I213" s="242"/>
    </row>
    <row r="214" spans="1:9" ht="30">
      <c r="A214" s="282" t="s">
        <v>776</v>
      </c>
      <c r="B214" s="234" t="s">
        <v>564</v>
      </c>
      <c r="C214" s="234" t="s">
        <v>738</v>
      </c>
      <c r="D214" s="263" t="s">
        <v>785</v>
      </c>
      <c r="E214" s="235" t="s">
        <v>777</v>
      </c>
      <c r="F214" s="236">
        <f>1850000-100000-644471.63</f>
        <v>1105528.37</v>
      </c>
      <c r="I214" s="242"/>
    </row>
    <row r="215" spans="1:9" ht="63.75">
      <c r="A215" s="284" t="s">
        <v>678</v>
      </c>
      <c r="B215" s="234" t="s">
        <v>564</v>
      </c>
      <c r="C215" s="234" t="s">
        <v>738</v>
      </c>
      <c r="D215" s="271" t="s">
        <v>679</v>
      </c>
      <c r="E215" s="235"/>
      <c r="F215" s="236">
        <f>F216</f>
        <v>177800</v>
      </c>
      <c r="I215" s="242"/>
    </row>
    <row r="216" spans="1:9" ht="25.5">
      <c r="A216" s="268" t="s">
        <v>786</v>
      </c>
      <c r="B216" s="234" t="s">
        <v>564</v>
      </c>
      <c r="C216" s="234" t="s">
        <v>738</v>
      </c>
      <c r="D216" s="263" t="s">
        <v>787</v>
      </c>
      <c r="E216" s="235"/>
      <c r="F216" s="236">
        <f>F217</f>
        <v>177800</v>
      </c>
      <c r="I216" s="242"/>
    </row>
    <row r="217" spans="1:9" ht="15">
      <c r="A217" s="255" t="s">
        <v>788</v>
      </c>
      <c r="B217" s="234" t="s">
        <v>564</v>
      </c>
      <c r="C217" s="234" t="s">
        <v>738</v>
      </c>
      <c r="D217" s="263" t="s">
        <v>789</v>
      </c>
      <c r="E217" s="235"/>
      <c r="F217" s="236">
        <f>F218</f>
        <v>177800</v>
      </c>
      <c r="I217" s="242"/>
    </row>
    <row r="218" spans="1:9" ht="15">
      <c r="A218" s="243" t="s">
        <v>610</v>
      </c>
      <c r="B218" s="234" t="s">
        <v>564</v>
      </c>
      <c r="C218" s="234" t="s">
        <v>738</v>
      </c>
      <c r="D218" s="263" t="s">
        <v>789</v>
      </c>
      <c r="E218" s="235" t="s">
        <v>561</v>
      </c>
      <c r="F218" s="236">
        <f>750000-572200</f>
        <v>177800</v>
      </c>
      <c r="I218" s="242"/>
    </row>
    <row r="219" spans="1:9" ht="42" customHeight="1">
      <c r="A219" s="266" t="s">
        <v>790</v>
      </c>
      <c r="B219" s="234" t="s">
        <v>564</v>
      </c>
      <c r="C219" s="234" t="s">
        <v>738</v>
      </c>
      <c r="D219" s="263" t="s">
        <v>791</v>
      </c>
      <c r="E219" s="235"/>
      <c r="F219" s="236">
        <f>F220</f>
        <v>13742325</v>
      </c>
      <c r="I219" s="242"/>
    </row>
    <row r="220" spans="1:9" ht="75">
      <c r="A220" s="285" t="s">
        <v>792</v>
      </c>
      <c r="B220" s="234" t="s">
        <v>564</v>
      </c>
      <c r="C220" s="234" t="s">
        <v>738</v>
      </c>
      <c r="D220" s="271" t="s">
        <v>793</v>
      </c>
      <c r="E220" s="235"/>
      <c r="F220" s="236">
        <f>F221</f>
        <v>13742325</v>
      </c>
      <c r="I220" s="242"/>
    </row>
    <row r="221" spans="1:9" ht="25.5">
      <c r="A221" s="255" t="s">
        <v>772</v>
      </c>
      <c r="B221" s="234" t="s">
        <v>564</v>
      </c>
      <c r="C221" s="234" t="s">
        <v>738</v>
      </c>
      <c r="D221" s="271" t="s">
        <v>794</v>
      </c>
      <c r="E221" s="235"/>
      <c r="F221" s="236">
        <f>F222</f>
        <v>13742325</v>
      </c>
      <c r="I221" s="242"/>
    </row>
    <row r="222" spans="1:9" ht="25.5">
      <c r="A222" s="286" t="s">
        <v>795</v>
      </c>
      <c r="B222" s="234" t="s">
        <v>564</v>
      </c>
      <c r="C222" s="234" t="s">
        <v>738</v>
      </c>
      <c r="D222" s="263" t="s">
        <v>796</v>
      </c>
      <c r="E222" s="235"/>
      <c r="F222" s="236">
        <f>F223</f>
        <v>13742325</v>
      </c>
      <c r="I222" s="242"/>
    </row>
    <row r="223" spans="1:9" ht="26.25">
      <c r="A223" s="240" t="s">
        <v>776</v>
      </c>
      <c r="B223" s="234" t="s">
        <v>564</v>
      </c>
      <c r="C223" s="234" t="s">
        <v>738</v>
      </c>
      <c r="D223" s="263" t="s">
        <v>796</v>
      </c>
      <c r="E223" s="235" t="s">
        <v>777</v>
      </c>
      <c r="F223" s="236">
        <f>1569426+12172899</f>
        <v>13742325</v>
      </c>
      <c r="I223" s="242"/>
    </row>
    <row r="224" spans="1:9" ht="15">
      <c r="A224" s="240" t="s">
        <v>797</v>
      </c>
      <c r="B224" s="234" t="s">
        <v>564</v>
      </c>
      <c r="C224" s="234" t="s">
        <v>798</v>
      </c>
      <c r="D224" s="234"/>
      <c r="E224" s="235"/>
      <c r="F224" s="236">
        <f>F225+F237+F253+F232+F248</f>
        <v>2464427</v>
      </c>
      <c r="I224" s="242"/>
    </row>
    <row r="225" spans="1:9" ht="38.25">
      <c r="A225" s="265" t="s">
        <v>799</v>
      </c>
      <c r="B225" s="234" t="s">
        <v>564</v>
      </c>
      <c r="C225" s="234" t="s">
        <v>798</v>
      </c>
      <c r="D225" s="234" t="s">
        <v>800</v>
      </c>
      <c r="E225" s="235"/>
      <c r="F225" s="236">
        <f>F226</f>
        <v>530000</v>
      </c>
      <c r="I225" s="242"/>
    </row>
    <row r="226" spans="1:9" s="250" customFormat="1" ht="63.75">
      <c r="A226" s="287" t="s">
        <v>801</v>
      </c>
      <c r="B226" s="246" t="s">
        <v>564</v>
      </c>
      <c r="C226" s="246" t="s">
        <v>798</v>
      </c>
      <c r="D226" s="246" t="s">
        <v>802</v>
      </c>
      <c r="E226" s="253"/>
      <c r="F226" s="249">
        <f>F227</f>
        <v>530000</v>
      </c>
      <c r="I226" s="288"/>
    </row>
    <row r="227" spans="1:6" ht="36.75" customHeight="1">
      <c r="A227" s="255" t="s">
        <v>803</v>
      </c>
      <c r="B227" s="234" t="s">
        <v>564</v>
      </c>
      <c r="C227" s="234" t="s">
        <v>798</v>
      </c>
      <c r="D227" s="234" t="s">
        <v>804</v>
      </c>
      <c r="E227" s="235"/>
      <c r="F227" s="236">
        <f>F228+F230</f>
        <v>530000</v>
      </c>
    </row>
    <row r="228" spans="1:6" ht="15" hidden="1">
      <c r="A228" s="241" t="s">
        <v>805</v>
      </c>
      <c r="B228" s="234" t="s">
        <v>564</v>
      </c>
      <c r="C228" s="234" t="s">
        <v>798</v>
      </c>
      <c r="D228" s="234" t="s">
        <v>806</v>
      </c>
      <c r="E228" s="235"/>
      <c r="F228" s="236">
        <f>F229</f>
        <v>0</v>
      </c>
    </row>
    <row r="229" spans="1:6" ht="26.25" hidden="1">
      <c r="A229" s="243" t="s">
        <v>560</v>
      </c>
      <c r="B229" s="234" t="s">
        <v>564</v>
      </c>
      <c r="C229" s="234" t="s">
        <v>798</v>
      </c>
      <c r="D229" s="234" t="s">
        <v>806</v>
      </c>
      <c r="E229" s="235" t="s">
        <v>561</v>
      </c>
      <c r="F229" s="236"/>
    </row>
    <row r="230" spans="1:6" ht="15">
      <c r="A230" s="241" t="s">
        <v>807</v>
      </c>
      <c r="B230" s="234" t="s">
        <v>564</v>
      </c>
      <c r="C230" s="234" t="s">
        <v>798</v>
      </c>
      <c r="D230" s="234" t="s">
        <v>808</v>
      </c>
      <c r="E230" s="235"/>
      <c r="F230" s="236">
        <f>F231</f>
        <v>530000</v>
      </c>
    </row>
    <row r="231" spans="1:6" ht="26.25">
      <c r="A231" s="243" t="s">
        <v>560</v>
      </c>
      <c r="B231" s="234" t="s">
        <v>564</v>
      </c>
      <c r="C231" s="234" t="s">
        <v>798</v>
      </c>
      <c r="D231" s="234" t="s">
        <v>808</v>
      </c>
      <c r="E231" s="235" t="s">
        <v>561</v>
      </c>
      <c r="F231" s="236">
        <v>530000</v>
      </c>
    </row>
    <row r="232" spans="1:6" ht="51.75" hidden="1">
      <c r="A232" s="289" t="s">
        <v>809</v>
      </c>
      <c r="B232" s="234" t="s">
        <v>564</v>
      </c>
      <c r="C232" s="234" t="s">
        <v>798</v>
      </c>
      <c r="D232" s="274" t="s">
        <v>810</v>
      </c>
      <c r="E232" s="235"/>
      <c r="F232" s="236">
        <f>F233</f>
        <v>0</v>
      </c>
    </row>
    <row r="233" spans="1:6" ht="6" customHeight="1" hidden="1">
      <c r="A233" s="281" t="s">
        <v>811</v>
      </c>
      <c r="B233" s="234" t="s">
        <v>564</v>
      </c>
      <c r="C233" s="234" t="s">
        <v>798</v>
      </c>
      <c r="D233" s="274" t="s">
        <v>812</v>
      </c>
      <c r="E233" s="235"/>
      <c r="F233" s="236">
        <f>F234</f>
        <v>0</v>
      </c>
    </row>
    <row r="234" spans="1:6" ht="25.5" hidden="1">
      <c r="A234" s="255" t="s">
        <v>813</v>
      </c>
      <c r="B234" s="234" t="s">
        <v>564</v>
      </c>
      <c r="C234" s="234" t="s">
        <v>798</v>
      </c>
      <c r="D234" s="290" t="s">
        <v>814</v>
      </c>
      <c r="E234" s="235"/>
      <c r="F234" s="236">
        <f>F235</f>
        <v>0</v>
      </c>
    </row>
    <row r="235" spans="1:6" ht="15" hidden="1">
      <c r="A235" s="233" t="s">
        <v>815</v>
      </c>
      <c r="B235" s="234" t="s">
        <v>564</v>
      </c>
      <c r="C235" s="234" t="s">
        <v>798</v>
      </c>
      <c r="D235" s="274" t="s">
        <v>816</v>
      </c>
      <c r="E235" s="235"/>
      <c r="F235" s="236">
        <f>F236</f>
        <v>0</v>
      </c>
    </row>
    <row r="236" spans="1:6" ht="15" hidden="1">
      <c r="A236" s="243" t="s">
        <v>610</v>
      </c>
      <c r="B236" s="234" t="s">
        <v>564</v>
      </c>
      <c r="C236" s="234" t="s">
        <v>798</v>
      </c>
      <c r="D236" s="274" t="s">
        <v>816</v>
      </c>
      <c r="E236" s="235" t="s">
        <v>561</v>
      </c>
      <c r="F236" s="236"/>
    </row>
    <row r="237" spans="1:6" ht="38.25">
      <c r="A237" s="265" t="s">
        <v>817</v>
      </c>
      <c r="B237" s="234" t="s">
        <v>564</v>
      </c>
      <c r="C237" s="234" t="s">
        <v>798</v>
      </c>
      <c r="D237" s="274" t="s">
        <v>818</v>
      </c>
      <c r="E237" s="235"/>
      <c r="F237" s="236">
        <f>F238</f>
        <v>1924427</v>
      </c>
    </row>
    <row r="238" spans="1:6" s="250" customFormat="1" ht="63.75">
      <c r="A238" s="266" t="s">
        <v>819</v>
      </c>
      <c r="B238" s="246" t="s">
        <v>564</v>
      </c>
      <c r="C238" s="246" t="s">
        <v>798</v>
      </c>
      <c r="D238" s="291" t="s">
        <v>820</v>
      </c>
      <c r="E238" s="253"/>
      <c r="F238" s="249">
        <f>F239</f>
        <v>1924427</v>
      </c>
    </row>
    <row r="239" spans="1:6" ht="25.5">
      <c r="A239" s="255" t="s">
        <v>821</v>
      </c>
      <c r="B239" s="234" t="s">
        <v>564</v>
      </c>
      <c r="C239" s="234" t="s">
        <v>798</v>
      </c>
      <c r="D239" s="259" t="s">
        <v>822</v>
      </c>
      <c r="E239" s="245"/>
      <c r="F239" s="236">
        <f>F246+F240+F243</f>
        <v>1924427</v>
      </c>
    </row>
    <row r="240" spans="1:6" ht="33" customHeight="1">
      <c r="A240" s="255" t="s">
        <v>823</v>
      </c>
      <c r="B240" s="234" t="s">
        <v>564</v>
      </c>
      <c r="C240" s="234" t="s">
        <v>798</v>
      </c>
      <c r="D240" s="259" t="s">
        <v>824</v>
      </c>
      <c r="E240" s="245"/>
      <c r="F240" s="236">
        <f>F242+F241</f>
        <v>1017730</v>
      </c>
    </row>
    <row r="241" spans="1:6" ht="26.25">
      <c r="A241" s="243" t="s">
        <v>560</v>
      </c>
      <c r="B241" s="234" t="s">
        <v>564</v>
      </c>
      <c r="C241" s="234" t="s">
        <v>798</v>
      </c>
      <c r="D241" s="259" t="s">
        <v>824</v>
      </c>
      <c r="E241" s="245" t="s">
        <v>561</v>
      </c>
      <c r="F241" s="236">
        <f>58130</f>
        <v>58130</v>
      </c>
    </row>
    <row r="242" spans="1:6" ht="15">
      <c r="A242" s="292" t="s">
        <v>720</v>
      </c>
      <c r="B242" s="234" t="s">
        <v>564</v>
      </c>
      <c r="C242" s="234" t="s">
        <v>798</v>
      </c>
      <c r="D242" s="259" t="s">
        <v>824</v>
      </c>
      <c r="E242" s="245" t="s">
        <v>721</v>
      </c>
      <c r="F242" s="236">
        <f>1017730-58130</f>
        <v>959600</v>
      </c>
    </row>
    <row r="243" spans="1:6" ht="25.5">
      <c r="A243" s="255" t="s">
        <v>825</v>
      </c>
      <c r="B243" s="234" t="s">
        <v>564</v>
      </c>
      <c r="C243" s="234" t="s">
        <v>798</v>
      </c>
      <c r="D243" s="259" t="s">
        <v>826</v>
      </c>
      <c r="E243" s="245"/>
      <c r="F243" s="236">
        <f>F245+F244</f>
        <v>440322</v>
      </c>
    </row>
    <row r="244" spans="1:6" ht="26.25">
      <c r="A244" s="243" t="s">
        <v>560</v>
      </c>
      <c r="B244" s="234" t="s">
        <v>564</v>
      </c>
      <c r="C244" s="234" t="s">
        <v>798</v>
      </c>
      <c r="D244" s="259" t="s">
        <v>826</v>
      </c>
      <c r="E244" s="245" t="s">
        <v>561</v>
      </c>
      <c r="F244" s="236">
        <f>29065</f>
        <v>29065</v>
      </c>
    </row>
    <row r="245" spans="1:6" ht="15">
      <c r="A245" s="292" t="s">
        <v>720</v>
      </c>
      <c r="B245" s="234" t="s">
        <v>564</v>
      </c>
      <c r="C245" s="234" t="s">
        <v>798</v>
      </c>
      <c r="D245" s="259" t="s">
        <v>826</v>
      </c>
      <c r="E245" s="245" t="s">
        <v>721</v>
      </c>
      <c r="F245" s="236">
        <f>877632-466375</f>
        <v>411257</v>
      </c>
    </row>
    <row r="246" spans="1:6" ht="39">
      <c r="A246" s="292" t="s">
        <v>827</v>
      </c>
      <c r="B246" s="234" t="s">
        <v>564</v>
      </c>
      <c r="C246" s="234" t="s">
        <v>798</v>
      </c>
      <c r="D246" s="259" t="s">
        <v>828</v>
      </c>
      <c r="E246" s="245"/>
      <c r="F246" s="236">
        <f>F247</f>
        <v>466375</v>
      </c>
    </row>
    <row r="247" spans="1:6" ht="14.25" customHeight="1">
      <c r="A247" s="292" t="s">
        <v>720</v>
      </c>
      <c r="B247" s="234" t="s">
        <v>564</v>
      </c>
      <c r="C247" s="234" t="s">
        <v>798</v>
      </c>
      <c r="D247" s="259" t="s">
        <v>828</v>
      </c>
      <c r="E247" s="245" t="s">
        <v>721</v>
      </c>
      <c r="F247" s="236">
        <v>466375</v>
      </c>
    </row>
    <row r="248" spans="1:6" ht="0.75" customHeight="1" hidden="1">
      <c r="A248" s="279" t="s">
        <v>676</v>
      </c>
      <c r="B248" s="234" t="s">
        <v>564</v>
      </c>
      <c r="C248" s="234" t="s">
        <v>798</v>
      </c>
      <c r="D248" s="259" t="s">
        <v>677</v>
      </c>
      <c r="E248" s="245"/>
      <c r="F248" s="236">
        <f>F249</f>
        <v>0</v>
      </c>
    </row>
    <row r="249" spans="1:6" ht="63.75" hidden="1">
      <c r="A249" s="284" t="s">
        <v>678</v>
      </c>
      <c r="B249" s="234" t="s">
        <v>564</v>
      </c>
      <c r="C249" s="234" t="s">
        <v>798</v>
      </c>
      <c r="D249" s="271" t="s">
        <v>679</v>
      </c>
      <c r="E249" s="235"/>
      <c r="F249" s="236">
        <f>F250</f>
        <v>0</v>
      </c>
    </row>
    <row r="250" spans="1:6" ht="25.5" hidden="1">
      <c r="A250" s="268" t="s">
        <v>786</v>
      </c>
      <c r="B250" s="234" t="s">
        <v>564</v>
      </c>
      <c r="C250" s="234" t="s">
        <v>798</v>
      </c>
      <c r="D250" s="263" t="s">
        <v>787</v>
      </c>
      <c r="E250" s="235"/>
      <c r="F250" s="236">
        <f>F251</f>
        <v>0</v>
      </c>
    </row>
    <row r="251" spans="1:6" ht="15" hidden="1">
      <c r="A251" s="255" t="s">
        <v>788</v>
      </c>
      <c r="B251" s="234" t="s">
        <v>564</v>
      </c>
      <c r="C251" s="234" t="s">
        <v>798</v>
      </c>
      <c r="D251" s="263" t="s">
        <v>789</v>
      </c>
      <c r="E251" s="235"/>
      <c r="F251" s="236">
        <f>F252</f>
        <v>0</v>
      </c>
    </row>
    <row r="252" spans="1:6" ht="15" hidden="1">
      <c r="A252" s="243" t="s">
        <v>610</v>
      </c>
      <c r="B252" s="234" t="s">
        <v>564</v>
      </c>
      <c r="C252" s="234" t="s">
        <v>798</v>
      </c>
      <c r="D252" s="263" t="s">
        <v>789</v>
      </c>
      <c r="E252" s="235" t="s">
        <v>561</v>
      </c>
      <c r="F252" s="236"/>
    </row>
    <row r="253" spans="1:6" ht="38.25">
      <c r="A253" s="266" t="s">
        <v>829</v>
      </c>
      <c r="B253" s="234" t="s">
        <v>564</v>
      </c>
      <c r="C253" s="234" t="s">
        <v>798</v>
      </c>
      <c r="D253" s="234" t="s">
        <v>830</v>
      </c>
      <c r="E253" s="245"/>
      <c r="F253" s="236">
        <f>F254+F258</f>
        <v>10000</v>
      </c>
    </row>
    <row r="254" spans="1:6" s="250" customFormat="1" ht="63.75">
      <c r="A254" s="287" t="s">
        <v>831</v>
      </c>
      <c r="B254" s="246" t="s">
        <v>564</v>
      </c>
      <c r="C254" s="246" t="s">
        <v>798</v>
      </c>
      <c r="D254" s="246" t="s">
        <v>832</v>
      </c>
      <c r="E254" s="248"/>
      <c r="F254" s="249">
        <f>F255</f>
        <v>10000</v>
      </c>
    </row>
    <row r="255" spans="1:6" ht="38.25">
      <c r="A255" s="287" t="s">
        <v>833</v>
      </c>
      <c r="B255" s="234" t="s">
        <v>564</v>
      </c>
      <c r="C255" s="234" t="s">
        <v>798</v>
      </c>
      <c r="D255" s="234" t="s">
        <v>834</v>
      </c>
      <c r="E255" s="245"/>
      <c r="F255" s="236">
        <f>F256</f>
        <v>10000</v>
      </c>
    </row>
    <row r="256" spans="1:6" ht="26.25">
      <c r="A256" s="241" t="s">
        <v>835</v>
      </c>
      <c r="B256" s="234" t="s">
        <v>564</v>
      </c>
      <c r="C256" s="234" t="s">
        <v>798</v>
      </c>
      <c r="D256" s="234" t="s">
        <v>836</v>
      </c>
      <c r="E256" s="245"/>
      <c r="F256" s="236">
        <f>F257</f>
        <v>10000</v>
      </c>
    </row>
    <row r="257" spans="1:6" ht="25.5" customHeight="1">
      <c r="A257" s="243" t="s">
        <v>560</v>
      </c>
      <c r="B257" s="234" t="s">
        <v>564</v>
      </c>
      <c r="C257" s="234" t="s">
        <v>798</v>
      </c>
      <c r="D257" s="234" t="s">
        <v>836</v>
      </c>
      <c r="E257" s="245" t="s">
        <v>561</v>
      </c>
      <c r="F257" s="236">
        <v>10000</v>
      </c>
    </row>
    <row r="258" spans="1:6" ht="51" hidden="1">
      <c r="A258" s="254" t="s">
        <v>837</v>
      </c>
      <c r="B258" s="246" t="s">
        <v>564</v>
      </c>
      <c r="C258" s="246" t="s">
        <v>798</v>
      </c>
      <c r="D258" s="246" t="s">
        <v>838</v>
      </c>
      <c r="E258" s="245"/>
      <c r="F258" s="236">
        <f>F259</f>
        <v>0</v>
      </c>
    </row>
    <row r="259" spans="1:6" ht="38.25" hidden="1">
      <c r="A259" s="287" t="s">
        <v>839</v>
      </c>
      <c r="B259" s="234" t="s">
        <v>564</v>
      </c>
      <c r="C259" s="234" t="s">
        <v>798</v>
      </c>
      <c r="D259" s="234" t="s">
        <v>840</v>
      </c>
      <c r="E259" s="245"/>
      <c r="F259" s="236">
        <f>F260</f>
        <v>0</v>
      </c>
    </row>
    <row r="260" spans="1:6" ht="26.25" hidden="1">
      <c r="A260" s="243" t="s">
        <v>841</v>
      </c>
      <c r="B260" s="234" t="s">
        <v>564</v>
      </c>
      <c r="C260" s="234" t="s">
        <v>798</v>
      </c>
      <c r="D260" s="234" t="s">
        <v>842</v>
      </c>
      <c r="E260" s="245"/>
      <c r="F260" s="236">
        <f>F261</f>
        <v>0</v>
      </c>
    </row>
    <row r="261" spans="1:6" ht="26.25" hidden="1">
      <c r="A261" s="243" t="s">
        <v>560</v>
      </c>
      <c r="B261" s="234" t="s">
        <v>564</v>
      </c>
      <c r="C261" s="234" t="s">
        <v>798</v>
      </c>
      <c r="D261" s="234" t="s">
        <v>842</v>
      </c>
      <c r="E261" s="245" t="s">
        <v>561</v>
      </c>
      <c r="F261" s="236">
        <v>0</v>
      </c>
    </row>
    <row r="262" spans="1:6" ht="18.75" customHeight="1">
      <c r="A262" s="243" t="s">
        <v>843</v>
      </c>
      <c r="B262" s="234" t="s">
        <v>616</v>
      </c>
      <c r="C262" s="234"/>
      <c r="D262" s="234"/>
      <c r="E262" s="245"/>
      <c r="F262" s="236">
        <f>F272+F263</f>
        <v>20537511.94</v>
      </c>
    </row>
    <row r="263" spans="1:6" ht="0.75" customHeight="1" hidden="1">
      <c r="A263" s="243" t="s">
        <v>844</v>
      </c>
      <c r="B263" s="234" t="s">
        <v>616</v>
      </c>
      <c r="C263" s="234" t="s">
        <v>539</v>
      </c>
      <c r="D263" s="234"/>
      <c r="E263" s="245"/>
      <c r="F263" s="236">
        <f>F264</f>
        <v>0</v>
      </c>
    </row>
    <row r="264" spans="1:6" ht="39" hidden="1">
      <c r="A264" s="243" t="s">
        <v>845</v>
      </c>
      <c r="B264" s="234" t="s">
        <v>616</v>
      </c>
      <c r="C264" s="234" t="s">
        <v>539</v>
      </c>
      <c r="D264" s="234" t="s">
        <v>818</v>
      </c>
      <c r="E264" s="245"/>
      <c r="F264" s="236">
        <f>F265</f>
        <v>0</v>
      </c>
    </row>
    <row r="265" spans="1:6" ht="64.5" hidden="1">
      <c r="A265" s="243" t="s">
        <v>846</v>
      </c>
      <c r="B265" s="234" t="s">
        <v>616</v>
      </c>
      <c r="C265" s="234" t="s">
        <v>539</v>
      </c>
      <c r="D265" s="234" t="s">
        <v>820</v>
      </c>
      <c r="E265" s="245"/>
      <c r="F265" s="236">
        <f>F266</f>
        <v>0</v>
      </c>
    </row>
    <row r="266" spans="1:6" ht="64.5" hidden="1">
      <c r="A266" s="243" t="s">
        <v>847</v>
      </c>
      <c r="B266" s="234" t="s">
        <v>616</v>
      </c>
      <c r="C266" s="234" t="s">
        <v>539</v>
      </c>
      <c r="D266" s="234" t="s">
        <v>848</v>
      </c>
      <c r="E266" s="245"/>
      <c r="F266" s="236">
        <f>F267+F269</f>
        <v>0</v>
      </c>
    </row>
    <row r="267" spans="1:6" ht="26.25" hidden="1">
      <c r="A267" s="243" t="s">
        <v>849</v>
      </c>
      <c r="B267" s="234" t="s">
        <v>616</v>
      </c>
      <c r="C267" s="234" t="s">
        <v>539</v>
      </c>
      <c r="D267" s="234" t="s">
        <v>850</v>
      </c>
      <c r="E267" s="245"/>
      <c r="F267" s="236">
        <f>F268</f>
        <v>0</v>
      </c>
    </row>
    <row r="268" spans="1:6" ht="15" hidden="1">
      <c r="A268" s="292" t="s">
        <v>720</v>
      </c>
      <c r="B268" s="234" t="s">
        <v>616</v>
      </c>
      <c r="C268" s="234" t="s">
        <v>539</v>
      </c>
      <c r="D268" s="234" t="s">
        <v>850</v>
      </c>
      <c r="E268" s="245" t="s">
        <v>721</v>
      </c>
      <c r="F268" s="236"/>
    </row>
    <row r="269" spans="1:6" ht="26.25" hidden="1">
      <c r="A269" s="292" t="s">
        <v>851</v>
      </c>
      <c r="B269" s="234" t="s">
        <v>616</v>
      </c>
      <c r="C269" s="234" t="s">
        <v>539</v>
      </c>
      <c r="D269" s="234" t="s">
        <v>852</v>
      </c>
      <c r="E269" s="245"/>
      <c r="F269" s="236">
        <f>F271+F270</f>
        <v>0</v>
      </c>
    </row>
    <row r="270" spans="1:6" ht="26.25" hidden="1">
      <c r="A270" s="243" t="s">
        <v>560</v>
      </c>
      <c r="B270" s="234" t="s">
        <v>616</v>
      </c>
      <c r="C270" s="234" t="s">
        <v>539</v>
      </c>
      <c r="D270" s="234" t="s">
        <v>852</v>
      </c>
      <c r="E270" s="245" t="s">
        <v>561</v>
      </c>
      <c r="F270" s="236"/>
    </row>
    <row r="271" spans="1:6" ht="26.25" hidden="1">
      <c r="A271" s="292" t="s">
        <v>776</v>
      </c>
      <c r="B271" s="234" t="s">
        <v>616</v>
      </c>
      <c r="C271" s="234" t="s">
        <v>539</v>
      </c>
      <c r="D271" s="234" t="s">
        <v>852</v>
      </c>
      <c r="E271" s="245" t="s">
        <v>777</v>
      </c>
      <c r="F271" s="236"/>
    </row>
    <row r="272" spans="1:6" ht="15">
      <c r="A272" s="243" t="s">
        <v>853</v>
      </c>
      <c r="B272" s="234" t="s">
        <v>616</v>
      </c>
      <c r="C272" s="234" t="s">
        <v>541</v>
      </c>
      <c r="D272" s="234"/>
      <c r="E272" s="245"/>
      <c r="F272" s="236">
        <f>F273+F282+F287</f>
        <v>20537511.94</v>
      </c>
    </row>
    <row r="273" spans="1:6" ht="39">
      <c r="A273" s="233" t="s">
        <v>854</v>
      </c>
      <c r="B273" s="234" t="s">
        <v>616</v>
      </c>
      <c r="C273" s="234" t="s">
        <v>541</v>
      </c>
      <c r="D273" s="263" t="s">
        <v>855</v>
      </c>
      <c r="E273" s="245"/>
      <c r="F273" s="236">
        <f>F274</f>
        <v>10195138</v>
      </c>
    </row>
    <row r="274" spans="1:6" s="250" customFormat="1" ht="51.75">
      <c r="A274" s="293" t="s">
        <v>856</v>
      </c>
      <c r="B274" s="246" t="s">
        <v>616</v>
      </c>
      <c r="C274" s="246" t="s">
        <v>541</v>
      </c>
      <c r="D274" s="263" t="s">
        <v>857</v>
      </c>
      <c r="E274" s="248"/>
      <c r="F274" s="249">
        <f>F275</f>
        <v>10195138</v>
      </c>
    </row>
    <row r="275" spans="1:6" ht="25.5">
      <c r="A275" s="255" t="s">
        <v>858</v>
      </c>
      <c r="B275" s="234" t="s">
        <v>616</v>
      </c>
      <c r="C275" s="234" t="s">
        <v>541</v>
      </c>
      <c r="D275" s="263" t="s">
        <v>857</v>
      </c>
      <c r="E275" s="245"/>
      <c r="F275" s="236">
        <f>F276+F278+F280</f>
        <v>10195138</v>
      </c>
    </row>
    <row r="276" spans="1:6" ht="38.25">
      <c r="A276" s="264" t="s">
        <v>859</v>
      </c>
      <c r="B276" s="234" t="s">
        <v>616</v>
      </c>
      <c r="C276" s="234" t="s">
        <v>541</v>
      </c>
      <c r="D276" s="263" t="s">
        <v>860</v>
      </c>
      <c r="E276" s="245"/>
      <c r="F276" s="236">
        <f>F277</f>
        <v>9500000</v>
      </c>
    </row>
    <row r="277" spans="1:6" ht="15">
      <c r="A277" s="292" t="s">
        <v>720</v>
      </c>
      <c r="B277" s="234" t="s">
        <v>616</v>
      </c>
      <c r="C277" s="234" t="s">
        <v>541</v>
      </c>
      <c r="D277" s="263" t="s">
        <v>860</v>
      </c>
      <c r="E277" s="245" t="s">
        <v>721</v>
      </c>
      <c r="F277" s="236">
        <v>9500000</v>
      </c>
    </row>
    <row r="278" spans="1:6" ht="38.25">
      <c r="A278" s="264" t="s">
        <v>861</v>
      </c>
      <c r="B278" s="234" t="s">
        <v>616</v>
      </c>
      <c r="C278" s="234" t="s">
        <v>541</v>
      </c>
      <c r="D278" s="263" t="s">
        <v>862</v>
      </c>
      <c r="E278" s="245"/>
      <c r="F278" s="236">
        <f>F279</f>
        <v>526138</v>
      </c>
    </row>
    <row r="279" spans="1:6" ht="15">
      <c r="A279" s="292" t="s">
        <v>720</v>
      </c>
      <c r="B279" s="234" t="s">
        <v>616</v>
      </c>
      <c r="C279" s="234" t="s">
        <v>541</v>
      </c>
      <c r="D279" s="263" t="s">
        <v>862</v>
      </c>
      <c r="E279" s="245" t="s">
        <v>721</v>
      </c>
      <c r="F279" s="236">
        <v>526138</v>
      </c>
    </row>
    <row r="280" spans="1:6" ht="32.25" customHeight="1">
      <c r="A280" s="264" t="s">
        <v>863</v>
      </c>
      <c r="B280" s="234" t="s">
        <v>616</v>
      </c>
      <c r="C280" s="234" t="s">
        <v>541</v>
      </c>
      <c r="D280" s="263" t="s">
        <v>864</v>
      </c>
      <c r="E280" s="245"/>
      <c r="F280" s="236">
        <f>F281</f>
        <v>169000</v>
      </c>
    </row>
    <row r="281" spans="1:6" ht="15">
      <c r="A281" s="292" t="s">
        <v>720</v>
      </c>
      <c r="B281" s="234" t="s">
        <v>616</v>
      </c>
      <c r="C281" s="234" t="s">
        <v>541</v>
      </c>
      <c r="D281" s="263" t="s">
        <v>864</v>
      </c>
      <c r="E281" s="245" t="s">
        <v>721</v>
      </c>
      <c r="F281" s="236">
        <v>169000</v>
      </c>
    </row>
    <row r="282" spans="1:6" ht="39">
      <c r="A282" s="293" t="s">
        <v>865</v>
      </c>
      <c r="B282" s="234" t="s">
        <v>616</v>
      </c>
      <c r="C282" s="234" t="s">
        <v>541</v>
      </c>
      <c r="D282" s="263" t="s">
        <v>818</v>
      </c>
      <c r="E282" s="245"/>
      <c r="F282" s="236">
        <f>F283</f>
        <v>2300384</v>
      </c>
    </row>
    <row r="283" spans="1:6" s="250" customFormat="1" ht="77.25">
      <c r="A283" s="292" t="s">
        <v>866</v>
      </c>
      <c r="B283" s="246" t="s">
        <v>616</v>
      </c>
      <c r="C283" s="246" t="s">
        <v>541</v>
      </c>
      <c r="D283" s="271" t="s">
        <v>867</v>
      </c>
      <c r="E283" s="248"/>
      <c r="F283" s="249">
        <f>F284</f>
        <v>2300384</v>
      </c>
    </row>
    <row r="284" spans="1:6" ht="38.25">
      <c r="A284" s="255" t="s">
        <v>868</v>
      </c>
      <c r="B284" s="234" t="s">
        <v>616</v>
      </c>
      <c r="C284" s="234" t="s">
        <v>541</v>
      </c>
      <c r="D284" s="259" t="s">
        <v>869</v>
      </c>
      <c r="E284" s="245"/>
      <c r="F284" s="236">
        <f>F285</f>
        <v>2300384</v>
      </c>
    </row>
    <row r="285" spans="1:6" ht="39">
      <c r="A285" s="241" t="s">
        <v>870</v>
      </c>
      <c r="B285" s="234" t="s">
        <v>616</v>
      </c>
      <c r="C285" s="234" t="s">
        <v>541</v>
      </c>
      <c r="D285" s="259" t="s">
        <v>871</v>
      </c>
      <c r="E285" s="245"/>
      <c r="F285" s="236">
        <f>F286</f>
        <v>2300384</v>
      </c>
    </row>
    <row r="286" spans="1:6" ht="15">
      <c r="A286" s="292" t="s">
        <v>720</v>
      </c>
      <c r="B286" s="234" t="s">
        <v>616</v>
      </c>
      <c r="C286" s="234" t="s">
        <v>541</v>
      </c>
      <c r="D286" s="259" t="s">
        <v>871</v>
      </c>
      <c r="E286" s="245" t="s">
        <v>721</v>
      </c>
      <c r="F286" s="236">
        <v>2300384</v>
      </c>
    </row>
    <row r="287" spans="1:6" ht="38.25">
      <c r="A287" s="266" t="s">
        <v>790</v>
      </c>
      <c r="B287" s="234" t="s">
        <v>616</v>
      </c>
      <c r="C287" s="234" t="s">
        <v>541</v>
      </c>
      <c r="D287" s="263" t="s">
        <v>791</v>
      </c>
      <c r="E287" s="245"/>
      <c r="F287" s="236">
        <f>F288</f>
        <v>8041989.94</v>
      </c>
    </row>
    <row r="288" spans="1:6" s="250" customFormat="1" ht="51">
      <c r="A288" s="266" t="s">
        <v>872</v>
      </c>
      <c r="B288" s="246" t="s">
        <v>616</v>
      </c>
      <c r="C288" s="246" t="s">
        <v>541</v>
      </c>
      <c r="D288" s="271" t="s">
        <v>793</v>
      </c>
      <c r="E288" s="248"/>
      <c r="F288" s="249">
        <f>F289</f>
        <v>8041989.94</v>
      </c>
    </row>
    <row r="289" spans="1:6" ht="15">
      <c r="A289" s="294" t="s">
        <v>873</v>
      </c>
      <c r="B289" s="234" t="s">
        <v>616</v>
      </c>
      <c r="C289" s="234" t="s">
        <v>541</v>
      </c>
      <c r="D289" s="263" t="s">
        <v>874</v>
      </c>
      <c r="E289" s="245"/>
      <c r="F289" s="236">
        <f>F290+F298+F292+F294+F296</f>
        <v>8041989.94</v>
      </c>
    </row>
    <row r="290" spans="1:6" ht="15">
      <c r="A290" s="264" t="s">
        <v>875</v>
      </c>
      <c r="B290" s="234" t="s">
        <v>616</v>
      </c>
      <c r="C290" s="234" t="s">
        <v>541</v>
      </c>
      <c r="D290" s="263" t="s">
        <v>876</v>
      </c>
      <c r="E290" s="245"/>
      <c r="F290" s="236">
        <f>F291</f>
        <v>5578897</v>
      </c>
    </row>
    <row r="291" spans="1:6" ht="17.25" customHeight="1">
      <c r="A291" s="292" t="s">
        <v>720</v>
      </c>
      <c r="B291" s="234" t="s">
        <v>616</v>
      </c>
      <c r="C291" s="234" t="s">
        <v>541</v>
      </c>
      <c r="D291" s="263" t="s">
        <v>876</v>
      </c>
      <c r="E291" s="245" t="s">
        <v>721</v>
      </c>
      <c r="F291" s="236">
        <f>1615000-615000-163165+4742062</f>
        <v>5578897</v>
      </c>
    </row>
    <row r="292" spans="1:6" ht="25.5" hidden="1">
      <c r="A292" s="286" t="s">
        <v>877</v>
      </c>
      <c r="B292" s="234" t="s">
        <v>616</v>
      </c>
      <c r="C292" s="234" t="s">
        <v>541</v>
      </c>
      <c r="D292" s="263" t="s">
        <v>878</v>
      </c>
      <c r="E292" s="245"/>
      <c r="F292" s="236">
        <f>F293</f>
        <v>0</v>
      </c>
    </row>
    <row r="293" spans="1:6" ht="15" hidden="1">
      <c r="A293" s="292" t="s">
        <v>720</v>
      </c>
      <c r="B293" s="234" t="s">
        <v>616</v>
      </c>
      <c r="C293" s="234" t="s">
        <v>541</v>
      </c>
      <c r="D293" s="263" t="s">
        <v>878</v>
      </c>
      <c r="E293" s="245" t="s">
        <v>721</v>
      </c>
      <c r="F293" s="236"/>
    </row>
    <row r="294" spans="1:6" ht="38.25">
      <c r="A294" s="286" t="s">
        <v>879</v>
      </c>
      <c r="B294" s="234" t="s">
        <v>616</v>
      </c>
      <c r="C294" s="234" t="s">
        <v>541</v>
      </c>
      <c r="D294" s="263" t="s">
        <v>880</v>
      </c>
      <c r="E294" s="245"/>
      <c r="F294" s="236">
        <f>F295</f>
        <v>230676.58</v>
      </c>
    </row>
    <row r="295" spans="1:6" ht="15">
      <c r="A295" s="292" t="s">
        <v>720</v>
      </c>
      <c r="B295" s="234" t="s">
        <v>616</v>
      </c>
      <c r="C295" s="234" t="s">
        <v>541</v>
      </c>
      <c r="D295" s="263" t="s">
        <v>880</v>
      </c>
      <c r="E295" s="245" t="s">
        <v>721</v>
      </c>
      <c r="F295" s="236">
        <f>229729.58+947</f>
        <v>230676.58</v>
      </c>
    </row>
    <row r="296" spans="1:6" ht="24">
      <c r="A296" s="295" t="s">
        <v>881</v>
      </c>
      <c r="B296" s="234" t="s">
        <v>616</v>
      </c>
      <c r="C296" s="234" t="s">
        <v>541</v>
      </c>
      <c r="D296" s="263" t="s">
        <v>882</v>
      </c>
      <c r="E296" s="245"/>
      <c r="F296" s="236">
        <f>F297</f>
        <v>1300852</v>
      </c>
    </row>
    <row r="297" spans="1:6" ht="15">
      <c r="A297" s="292" t="s">
        <v>720</v>
      </c>
      <c r="B297" s="234" t="s">
        <v>616</v>
      </c>
      <c r="C297" s="234" t="s">
        <v>541</v>
      </c>
      <c r="D297" s="263" t="s">
        <v>882</v>
      </c>
      <c r="E297" s="245" t="s">
        <v>721</v>
      </c>
      <c r="F297" s="236">
        <f>1300852</f>
        <v>1300852</v>
      </c>
    </row>
    <row r="298" spans="1:6" ht="39">
      <c r="A298" s="241" t="s">
        <v>870</v>
      </c>
      <c r="B298" s="234" t="s">
        <v>616</v>
      </c>
      <c r="C298" s="234" t="s">
        <v>541</v>
      </c>
      <c r="D298" s="263" t="s">
        <v>883</v>
      </c>
      <c r="E298" s="245"/>
      <c r="F298" s="236">
        <f>F299</f>
        <v>931564.36</v>
      </c>
    </row>
    <row r="299" spans="1:6" ht="15">
      <c r="A299" s="292" t="s">
        <v>720</v>
      </c>
      <c r="B299" s="234" t="s">
        <v>616</v>
      </c>
      <c r="C299" s="234" t="s">
        <v>541</v>
      </c>
      <c r="D299" s="263" t="s">
        <v>883</v>
      </c>
      <c r="E299" s="245" t="s">
        <v>721</v>
      </c>
      <c r="F299" s="236">
        <f>600000+15000+286364.36+30200</f>
        <v>931564.36</v>
      </c>
    </row>
    <row r="300" spans="1:6" ht="15">
      <c r="A300" s="292" t="s">
        <v>884</v>
      </c>
      <c r="B300" s="234" t="s">
        <v>620</v>
      </c>
      <c r="C300" s="234"/>
      <c r="D300" s="263"/>
      <c r="E300" s="245"/>
      <c r="F300" s="236">
        <f>F301</f>
        <v>300000</v>
      </c>
    </row>
    <row r="301" spans="1:6" ht="15">
      <c r="A301" s="296" t="s">
        <v>885</v>
      </c>
      <c r="B301" s="234" t="s">
        <v>620</v>
      </c>
      <c r="C301" s="234" t="s">
        <v>616</v>
      </c>
      <c r="D301" s="263"/>
      <c r="E301" s="245"/>
      <c r="F301" s="236">
        <f>F302</f>
        <v>300000</v>
      </c>
    </row>
    <row r="302" spans="1:6" ht="15">
      <c r="A302" s="296" t="s">
        <v>604</v>
      </c>
      <c r="B302" s="234" t="s">
        <v>620</v>
      </c>
      <c r="C302" s="234" t="s">
        <v>616</v>
      </c>
      <c r="D302" s="263" t="s">
        <v>605</v>
      </c>
      <c r="E302" s="245"/>
      <c r="F302" s="236">
        <f>F303</f>
        <v>300000</v>
      </c>
    </row>
    <row r="303" spans="1:6" ht="15">
      <c r="A303" s="240" t="s">
        <v>611</v>
      </c>
      <c r="B303" s="234" t="s">
        <v>620</v>
      </c>
      <c r="C303" s="234" t="s">
        <v>616</v>
      </c>
      <c r="D303" s="263" t="s">
        <v>612</v>
      </c>
      <c r="E303" s="245"/>
      <c r="F303" s="236">
        <f>F304</f>
        <v>300000</v>
      </c>
    </row>
    <row r="304" spans="1:6" ht="15">
      <c r="A304" s="240" t="s">
        <v>886</v>
      </c>
      <c r="B304" s="234" t="s">
        <v>620</v>
      </c>
      <c r="C304" s="234" t="s">
        <v>616</v>
      </c>
      <c r="D304" s="263" t="s">
        <v>887</v>
      </c>
      <c r="E304" s="245"/>
      <c r="F304" s="236">
        <f>F305</f>
        <v>300000</v>
      </c>
    </row>
    <row r="305" spans="1:6" ht="26.25">
      <c r="A305" s="243" t="s">
        <v>560</v>
      </c>
      <c r="B305" s="234" t="s">
        <v>620</v>
      </c>
      <c r="C305" s="234" t="s">
        <v>616</v>
      </c>
      <c r="D305" s="263" t="s">
        <v>887</v>
      </c>
      <c r="E305" s="245" t="s">
        <v>561</v>
      </c>
      <c r="F305" s="236">
        <v>300000</v>
      </c>
    </row>
    <row r="306" spans="1:6" ht="15">
      <c r="A306" s="240" t="s">
        <v>888</v>
      </c>
      <c r="B306" s="234" t="s">
        <v>627</v>
      </c>
      <c r="C306" s="234"/>
      <c r="D306" s="263"/>
      <c r="E306" s="270"/>
      <c r="F306" s="236">
        <f>F383+F307+F326+F408+F369</f>
        <v>446188119.58</v>
      </c>
    </row>
    <row r="307" spans="1:6" ht="15">
      <c r="A307" s="240" t="s">
        <v>889</v>
      </c>
      <c r="B307" s="234" t="s">
        <v>627</v>
      </c>
      <c r="C307" s="234" t="s">
        <v>539</v>
      </c>
      <c r="D307" s="263"/>
      <c r="E307" s="270"/>
      <c r="F307" s="236">
        <f>F308+F319</f>
        <v>101198747.81</v>
      </c>
    </row>
    <row r="308" spans="1:6" ht="26.25">
      <c r="A308" s="240" t="s">
        <v>890</v>
      </c>
      <c r="B308" s="234" t="s">
        <v>627</v>
      </c>
      <c r="C308" s="234" t="s">
        <v>539</v>
      </c>
      <c r="D308" s="234" t="s">
        <v>891</v>
      </c>
      <c r="E308" s="235"/>
      <c r="F308" s="236">
        <f>F309</f>
        <v>99012947.81</v>
      </c>
    </row>
    <row r="309" spans="1:6" s="250" customFormat="1" ht="39">
      <c r="A309" s="233" t="s">
        <v>892</v>
      </c>
      <c r="B309" s="246" t="s">
        <v>627</v>
      </c>
      <c r="C309" s="246" t="s">
        <v>539</v>
      </c>
      <c r="D309" s="246" t="s">
        <v>893</v>
      </c>
      <c r="E309" s="253"/>
      <c r="F309" s="249">
        <f>F310</f>
        <v>99012947.81</v>
      </c>
    </row>
    <row r="310" spans="1:6" ht="25.5">
      <c r="A310" s="255" t="s">
        <v>894</v>
      </c>
      <c r="B310" s="234" t="s">
        <v>627</v>
      </c>
      <c r="C310" s="234" t="s">
        <v>539</v>
      </c>
      <c r="D310" s="234" t="s">
        <v>895</v>
      </c>
      <c r="E310" s="235"/>
      <c r="F310" s="236">
        <f>F311+F314</f>
        <v>99012947.81</v>
      </c>
    </row>
    <row r="311" spans="1:6" ht="64.5">
      <c r="A311" s="252" t="s">
        <v>896</v>
      </c>
      <c r="B311" s="234" t="s">
        <v>627</v>
      </c>
      <c r="C311" s="234" t="s">
        <v>539</v>
      </c>
      <c r="D311" s="234" t="s">
        <v>897</v>
      </c>
      <c r="E311" s="235"/>
      <c r="F311" s="236">
        <f>F312+F313</f>
        <v>49846444</v>
      </c>
    </row>
    <row r="312" spans="1:6" ht="38.25">
      <c r="A312" s="297" t="s">
        <v>548</v>
      </c>
      <c r="B312" s="234" t="s">
        <v>627</v>
      </c>
      <c r="C312" s="234" t="s">
        <v>539</v>
      </c>
      <c r="D312" s="234" t="s">
        <v>897</v>
      </c>
      <c r="E312" s="235" t="s">
        <v>549</v>
      </c>
      <c r="F312" s="275">
        <f>45470627+2735549+1130766</f>
        <v>49336942</v>
      </c>
    </row>
    <row r="313" spans="1:6" ht="26.25">
      <c r="A313" s="243" t="s">
        <v>560</v>
      </c>
      <c r="B313" s="234" t="s">
        <v>627</v>
      </c>
      <c r="C313" s="234" t="s">
        <v>539</v>
      </c>
      <c r="D313" s="234" t="s">
        <v>897</v>
      </c>
      <c r="E313" s="235" t="s">
        <v>561</v>
      </c>
      <c r="F313" s="275">
        <v>509502</v>
      </c>
    </row>
    <row r="314" spans="1:6" ht="25.5">
      <c r="A314" s="255" t="s">
        <v>722</v>
      </c>
      <c r="B314" s="234" t="s">
        <v>627</v>
      </c>
      <c r="C314" s="234" t="s">
        <v>539</v>
      </c>
      <c r="D314" s="234" t="s">
        <v>898</v>
      </c>
      <c r="E314" s="235"/>
      <c r="F314" s="236">
        <f>F315+F316+F318+F317</f>
        <v>49166503.81</v>
      </c>
    </row>
    <row r="315" spans="1:6" ht="39">
      <c r="A315" s="243" t="s">
        <v>548</v>
      </c>
      <c r="B315" s="234" t="s">
        <v>627</v>
      </c>
      <c r="C315" s="234" t="s">
        <v>539</v>
      </c>
      <c r="D315" s="234" t="s">
        <v>898</v>
      </c>
      <c r="E315" s="235" t="s">
        <v>549</v>
      </c>
      <c r="F315" s="236">
        <v>23007159</v>
      </c>
    </row>
    <row r="316" spans="1:6" ht="26.25">
      <c r="A316" s="243" t="s">
        <v>560</v>
      </c>
      <c r="B316" s="234" t="s">
        <v>627</v>
      </c>
      <c r="C316" s="234" t="s">
        <v>539</v>
      </c>
      <c r="D316" s="234" t="s">
        <v>898</v>
      </c>
      <c r="E316" s="235" t="s">
        <v>561</v>
      </c>
      <c r="F316" s="236">
        <v>24137047.81</v>
      </c>
    </row>
    <row r="317" spans="1:6" ht="26.25">
      <c r="A317" s="281" t="s">
        <v>776</v>
      </c>
      <c r="B317" s="234" t="s">
        <v>627</v>
      </c>
      <c r="C317" s="234" t="s">
        <v>539</v>
      </c>
      <c r="D317" s="234" t="s">
        <v>898</v>
      </c>
      <c r="E317" s="235" t="s">
        <v>777</v>
      </c>
      <c r="F317" s="236">
        <v>25872</v>
      </c>
    </row>
    <row r="318" spans="1:6" ht="15">
      <c r="A318" s="255" t="s">
        <v>602</v>
      </c>
      <c r="B318" s="234" t="s">
        <v>627</v>
      </c>
      <c r="C318" s="234" t="s">
        <v>539</v>
      </c>
      <c r="D318" s="234" t="s">
        <v>898</v>
      </c>
      <c r="E318" s="235" t="s">
        <v>603</v>
      </c>
      <c r="F318" s="236">
        <v>1996425</v>
      </c>
    </row>
    <row r="319" spans="1:6" ht="38.25">
      <c r="A319" s="298" t="s">
        <v>817</v>
      </c>
      <c r="B319" s="234" t="s">
        <v>627</v>
      </c>
      <c r="C319" s="234" t="s">
        <v>539</v>
      </c>
      <c r="D319" s="234" t="s">
        <v>818</v>
      </c>
      <c r="E319" s="235"/>
      <c r="F319" s="236">
        <f>F320</f>
        <v>2185800</v>
      </c>
    </row>
    <row r="320" spans="1:6" ht="63.75">
      <c r="A320" s="280" t="s">
        <v>819</v>
      </c>
      <c r="B320" s="234" t="s">
        <v>627</v>
      </c>
      <c r="C320" s="234" t="s">
        <v>539</v>
      </c>
      <c r="D320" s="246" t="s">
        <v>820</v>
      </c>
      <c r="E320" s="235"/>
      <c r="F320" s="236">
        <f>F321</f>
        <v>2185800</v>
      </c>
    </row>
    <row r="321" spans="1:6" ht="38.25">
      <c r="A321" s="255" t="s">
        <v>899</v>
      </c>
      <c r="B321" s="234" t="s">
        <v>627</v>
      </c>
      <c r="C321" s="234" t="s">
        <v>539</v>
      </c>
      <c r="D321" s="234" t="s">
        <v>900</v>
      </c>
      <c r="E321" s="235"/>
      <c r="F321" s="236">
        <f>F324+F322</f>
        <v>2185800</v>
      </c>
    </row>
    <row r="322" spans="1:6" ht="24">
      <c r="A322" s="295" t="s">
        <v>901</v>
      </c>
      <c r="B322" s="234" t="s">
        <v>627</v>
      </c>
      <c r="C322" s="234" t="s">
        <v>539</v>
      </c>
      <c r="D322" s="234" t="s">
        <v>902</v>
      </c>
      <c r="E322" s="235"/>
      <c r="F322" s="236">
        <f>F323</f>
        <v>1748640</v>
      </c>
    </row>
    <row r="323" spans="1:6" ht="26.25">
      <c r="A323" s="281" t="s">
        <v>776</v>
      </c>
      <c r="B323" s="234" t="s">
        <v>627</v>
      </c>
      <c r="C323" s="234" t="s">
        <v>539</v>
      </c>
      <c r="D323" s="234" t="s">
        <v>902</v>
      </c>
      <c r="E323" s="235" t="s">
        <v>777</v>
      </c>
      <c r="F323" s="236">
        <f>1748640</f>
        <v>1748640</v>
      </c>
    </row>
    <row r="324" spans="1:6" ht="25.5">
      <c r="A324" s="255" t="s">
        <v>903</v>
      </c>
      <c r="B324" s="234" t="s">
        <v>627</v>
      </c>
      <c r="C324" s="234" t="s">
        <v>539</v>
      </c>
      <c r="D324" s="234" t="s">
        <v>904</v>
      </c>
      <c r="E324" s="235"/>
      <c r="F324" s="236">
        <f>F325</f>
        <v>437160</v>
      </c>
    </row>
    <row r="325" spans="1:6" ht="26.25">
      <c r="A325" s="281" t="s">
        <v>776</v>
      </c>
      <c r="B325" s="234" t="s">
        <v>627</v>
      </c>
      <c r="C325" s="234" t="s">
        <v>539</v>
      </c>
      <c r="D325" s="234" t="s">
        <v>904</v>
      </c>
      <c r="E325" s="235" t="s">
        <v>777</v>
      </c>
      <c r="F325" s="236">
        <f>460000-22840</f>
        <v>437160</v>
      </c>
    </row>
    <row r="326" spans="1:6" ht="15">
      <c r="A326" s="240" t="s">
        <v>905</v>
      </c>
      <c r="B326" s="234" t="s">
        <v>627</v>
      </c>
      <c r="C326" s="234" t="s">
        <v>541</v>
      </c>
      <c r="D326" s="234"/>
      <c r="E326" s="235"/>
      <c r="F326" s="236">
        <f>F327+F356+F364</f>
        <v>288797153.34</v>
      </c>
    </row>
    <row r="327" spans="1:6" ht="26.25">
      <c r="A327" s="240" t="s">
        <v>890</v>
      </c>
      <c r="B327" s="234" t="s">
        <v>627</v>
      </c>
      <c r="C327" s="234" t="s">
        <v>541</v>
      </c>
      <c r="D327" s="234" t="s">
        <v>891</v>
      </c>
      <c r="E327" s="235"/>
      <c r="F327" s="236">
        <f>F328</f>
        <v>288621353.34</v>
      </c>
    </row>
    <row r="328" spans="1:6" s="250" customFormat="1" ht="39">
      <c r="A328" s="233" t="s">
        <v>892</v>
      </c>
      <c r="B328" s="246" t="s">
        <v>627</v>
      </c>
      <c r="C328" s="246" t="s">
        <v>541</v>
      </c>
      <c r="D328" s="246" t="s">
        <v>893</v>
      </c>
      <c r="E328" s="253"/>
      <c r="F328" s="249">
        <f>F329+F332</f>
        <v>288621353.34</v>
      </c>
    </row>
    <row r="329" spans="1:6" s="250" customFormat="1" ht="15">
      <c r="A329" s="299" t="s">
        <v>906</v>
      </c>
      <c r="B329" s="234" t="s">
        <v>627</v>
      </c>
      <c r="C329" s="234" t="s">
        <v>541</v>
      </c>
      <c r="D329" s="234" t="s">
        <v>907</v>
      </c>
      <c r="E329" s="253"/>
      <c r="F329" s="236">
        <f>F330</f>
        <v>2000000</v>
      </c>
    </row>
    <row r="330" spans="1:6" s="250" customFormat="1" ht="26.25">
      <c r="A330" s="299" t="s">
        <v>908</v>
      </c>
      <c r="B330" s="234" t="s">
        <v>627</v>
      </c>
      <c r="C330" s="234" t="s">
        <v>541</v>
      </c>
      <c r="D330" s="234" t="s">
        <v>909</v>
      </c>
      <c r="E330" s="253"/>
      <c r="F330" s="236">
        <f>F331</f>
        <v>2000000</v>
      </c>
    </row>
    <row r="331" spans="1:6" s="250" customFormat="1" ht="26.25">
      <c r="A331" s="243" t="s">
        <v>560</v>
      </c>
      <c r="B331" s="234" t="s">
        <v>627</v>
      </c>
      <c r="C331" s="234" t="s">
        <v>541</v>
      </c>
      <c r="D331" s="234" t="s">
        <v>909</v>
      </c>
      <c r="E331" s="235" t="s">
        <v>561</v>
      </c>
      <c r="F331" s="236">
        <f>786836.4+1300000-86836.4</f>
        <v>2000000</v>
      </c>
    </row>
    <row r="332" spans="1:6" ht="25.5">
      <c r="A332" s="255" t="s">
        <v>910</v>
      </c>
      <c r="B332" s="234" t="s">
        <v>627</v>
      </c>
      <c r="C332" s="234" t="s">
        <v>541</v>
      </c>
      <c r="D332" s="234" t="s">
        <v>911</v>
      </c>
      <c r="E332" s="235"/>
      <c r="F332" s="236">
        <f>F333+F340+F342+F344+F346+F348+F350+F354+F336+F338</f>
        <v>286621353.34</v>
      </c>
    </row>
    <row r="333" spans="1:6" ht="77.25">
      <c r="A333" s="252" t="s">
        <v>912</v>
      </c>
      <c r="B333" s="234" t="s">
        <v>627</v>
      </c>
      <c r="C333" s="234" t="s">
        <v>541</v>
      </c>
      <c r="D333" s="234" t="s">
        <v>913</v>
      </c>
      <c r="E333" s="235"/>
      <c r="F333" s="236">
        <f>F334+F335</f>
        <v>232837438</v>
      </c>
    </row>
    <row r="334" spans="1:6" ht="39">
      <c r="A334" s="243" t="s">
        <v>548</v>
      </c>
      <c r="B334" s="234" t="s">
        <v>627</v>
      </c>
      <c r="C334" s="234" t="s">
        <v>541</v>
      </c>
      <c r="D334" s="234" t="s">
        <v>913</v>
      </c>
      <c r="E334" s="235" t="s">
        <v>549</v>
      </c>
      <c r="F334" s="275">
        <f>186909233+22376668+14237711+2394009+91.1</f>
        <v>225917712.1</v>
      </c>
    </row>
    <row r="335" spans="1:6" ht="26.25">
      <c r="A335" s="243" t="s">
        <v>560</v>
      </c>
      <c r="B335" s="234" t="s">
        <v>627</v>
      </c>
      <c r="C335" s="234" t="s">
        <v>541</v>
      </c>
      <c r="D335" s="234" t="s">
        <v>913</v>
      </c>
      <c r="E335" s="235" t="s">
        <v>561</v>
      </c>
      <c r="F335" s="275">
        <f>6919817-91.1</f>
        <v>6919725.9</v>
      </c>
    </row>
    <row r="336" spans="1:6" ht="26.25">
      <c r="A336" s="252" t="s">
        <v>914</v>
      </c>
      <c r="B336" s="234" t="s">
        <v>627</v>
      </c>
      <c r="C336" s="234" t="s">
        <v>541</v>
      </c>
      <c r="D336" s="234" t="s">
        <v>915</v>
      </c>
      <c r="E336" s="235"/>
      <c r="F336" s="236">
        <f>F337</f>
        <v>1607171</v>
      </c>
    </row>
    <row r="337" spans="1:6" ht="26.25">
      <c r="A337" s="243" t="s">
        <v>560</v>
      </c>
      <c r="B337" s="234" t="s">
        <v>627</v>
      </c>
      <c r="C337" s="234" t="s">
        <v>541</v>
      </c>
      <c r="D337" s="234" t="s">
        <v>915</v>
      </c>
      <c r="E337" s="235" t="s">
        <v>561</v>
      </c>
      <c r="F337" s="236">
        <f>1607171</f>
        <v>1607171</v>
      </c>
    </row>
    <row r="338" spans="1:6" ht="26.25">
      <c r="A338" s="252" t="s">
        <v>916</v>
      </c>
      <c r="B338" s="234" t="s">
        <v>627</v>
      </c>
      <c r="C338" s="234" t="s">
        <v>541</v>
      </c>
      <c r="D338" s="234" t="s">
        <v>917</v>
      </c>
      <c r="E338" s="235"/>
      <c r="F338" s="236">
        <f>F339</f>
        <v>865399</v>
      </c>
    </row>
    <row r="339" spans="1:6" ht="24.75" customHeight="1">
      <c r="A339" s="243" t="s">
        <v>560</v>
      </c>
      <c r="B339" s="234" t="s">
        <v>627</v>
      </c>
      <c r="C339" s="234" t="s">
        <v>541</v>
      </c>
      <c r="D339" s="234" t="s">
        <v>917</v>
      </c>
      <c r="E339" s="235" t="s">
        <v>561</v>
      </c>
      <c r="F339" s="236">
        <f>826214.9+39184.1</f>
        <v>865399</v>
      </c>
    </row>
    <row r="340" spans="1:6" ht="15">
      <c r="A340" s="252" t="s">
        <v>918</v>
      </c>
      <c r="B340" s="234" t="s">
        <v>627</v>
      </c>
      <c r="C340" s="234" t="s">
        <v>541</v>
      </c>
      <c r="D340" s="234" t="s">
        <v>919</v>
      </c>
      <c r="E340" s="235"/>
      <c r="F340" s="236">
        <f>F341</f>
        <v>889886</v>
      </c>
    </row>
    <row r="341" spans="1:6" ht="26.25">
      <c r="A341" s="243" t="s">
        <v>560</v>
      </c>
      <c r="B341" s="234" t="s">
        <v>627</v>
      </c>
      <c r="C341" s="234" t="s">
        <v>541</v>
      </c>
      <c r="D341" s="234" t="s">
        <v>919</v>
      </c>
      <c r="E341" s="235" t="s">
        <v>561</v>
      </c>
      <c r="F341" s="236">
        <f>889886</f>
        <v>889886</v>
      </c>
    </row>
    <row r="342" spans="1:6" ht="38.25">
      <c r="A342" s="286" t="s">
        <v>920</v>
      </c>
      <c r="B342" s="234" t="s">
        <v>627</v>
      </c>
      <c r="C342" s="234" t="s">
        <v>541</v>
      </c>
      <c r="D342" s="234" t="s">
        <v>921</v>
      </c>
      <c r="E342" s="235"/>
      <c r="F342" s="236">
        <f>F343</f>
        <v>1369687</v>
      </c>
    </row>
    <row r="343" spans="1:6" ht="29.25" customHeight="1">
      <c r="A343" s="243" t="s">
        <v>560</v>
      </c>
      <c r="B343" s="234" t="s">
        <v>627</v>
      </c>
      <c r="C343" s="234" t="s">
        <v>541</v>
      </c>
      <c r="D343" s="234" t="s">
        <v>921</v>
      </c>
      <c r="E343" s="235" t="s">
        <v>561</v>
      </c>
      <c r="F343" s="236">
        <f>1468800-99113</f>
        <v>1369687</v>
      </c>
    </row>
    <row r="344" spans="1:6" ht="51.75">
      <c r="A344" s="252" t="s">
        <v>922</v>
      </c>
      <c r="B344" s="234" t="s">
        <v>627</v>
      </c>
      <c r="C344" s="234" t="s">
        <v>541</v>
      </c>
      <c r="D344" s="234" t="s">
        <v>923</v>
      </c>
      <c r="E344" s="235"/>
      <c r="F344" s="236">
        <f>F345</f>
        <v>48449</v>
      </c>
    </row>
    <row r="345" spans="1:6" ht="26.25">
      <c r="A345" s="243" t="s">
        <v>560</v>
      </c>
      <c r="B345" s="234" t="s">
        <v>627</v>
      </c>
      <c r="C345" s="234" t="s">
        <v>541</v>
      </c>
      <c r="D345" s="234" t="s">
        <v>923</v>
      </c>
      <c r="E345" s="235" t="s">
        <v>561</v>
      </c>
      <c r="F345" s="236">
        <f>48449</f>
        <v>48449</v>
      </c>
    </row>
    <row r="346" spans="1:6" ht="39">
      <c r="A346" s="252" t="s">
        <v>924</v>
      </c>
      <c r="B346" s="234" t="s">
        <v>627</v>
      </c>
      <c r="C346" s="234" t="s">
        <v>541</v>
      </c>
      <c r="D346" s="234" t="s">
        <v>925</v>
      </c>
      <c r="E346" s="235"/>
      <c r="F346" s="236">
        <f>F347</f>
        <v>500000</v>
      </c>
    </row>
    <row r="347" spans="1:6" ht="24.75" customHeight="1">
      <c r="A347" s="243" t="s">
        <v>560</v>
      </c>
      <c r="B347" s="234" t="s">
        <v>627</v>
      </c>
      <c r="C347" s="234" t="s">
        <v>541</v>
      </c>
      <c r="D347" s="234" t="s">
        <v>925</v>
      </c>
      <c r="E347" s="235" t="s">
        <v>561</v>
      </c>
      <c r="F347" s="236">
        <v>500000</v>
      </c>
    </row>
    <row r="348" spans="1:6" ht="18.75" customHeight="1" hidden="1">
      <c r="A348" s="292" t="s">
        <v>926</v>
      </c>
      <c r="B348" s="234" t="s">
        <v>627</v>
      </c>
      <c r="C348" s="234" t="s">
        <v>541</v>
      </c>
      <c r="D348" s="234" t="s">
        <v>927</v>
      </c>
      <c r="E348" s="235"/>
      <c r="F348" s="236">
        <f>F349</f>
        <v>0</v>
      </c>
    </row>
    <row r="349" spans="1:6" ht="39" hidden="1">
      <c r="A349" s="243" t="s">
        <v>548</v>
      </c>
      <c r="B349" s="234" t="s">
        <v>627</v>
      </c>
      <c r="C349" s="234" t="s">
        <v>541</v>
      </c>
      <c r="D349" s="234" t="s">
        <v>927</v>
      </c>
      <c r="E349" s="235" t="s">
        <v>549</v>
      </c>
      <c r="F349" s="236"/>
    </row>
    <row r="350" spans="1:6" ht="25.5">
      <c r="A350" s="255" t="s">
        <v>722</v>
      </c>
      <c r="B350" s="234" t="s">
        <v>627</v>
      </c>
      <c r="C350" s="234" t="s">
        <v>541</v>
      </c>
      <c r="D350" s="234" t="s">
        <v>928</v>
      </c>
      <c r="E350" s="235"/>
      <c r="F350" s="236">
        <f>F351+F353+F352</f>
        <v>48325723.339999996</v>
      </c>
    </row>
    <row r="351" spans="1:6" ht="26.25">
      <c r="A351" s="243" t="s">
        <v>560</v>
      </c>
      <c r="B351" s="234" t="s">
        <v>627</v>
      </c>
      <c r="C351" s="234" t="s">
        <v>541</v>
      </c>
      <c r="D351" s="234" t="s">
        <v>928</v>
      </c>
      <c r="E351" s="235" t="s">
        <v>561</v>
      </c>
      <c r="F351" s="236">
        <v>44508852.339999996</v>
      </c>
    </row>
    <row r="352" spans="1:6" ht="26.25">
      <c r="A352" s="281" t="s">
        <v>776</v>
      </c>
      <c r="B352" s="234" t="s">
        <v>627</v>
      </c>
      <c r="C352" s="234" t="s">
        <v>541</v>
      </c>
      <c r="D352" s="234" t="s">
        <v>928</v>
      </c>
      <c r="E352" s="235" t="s">
        <v>777</v>
      </c>
      <c r="F352" s="236">
        <v>394802</v>
      </c>
    </row>
    <row r="353" spans="1:6" ht="15">
      <c r="A353" s="255" t="s">
        <v>602</v>
      </c>
      <c r="B353" s="234" t="s">
        <v>627</v>
      </c>
      <c r="C353" s="234" t="s">
        <v>541</v>
      </c>
      <c r="D353" s="234" t="s">
        <v>928</v>
      </c>
      <c r="E353" s="235" t="s">
        <v>603</v>
      </c>
      <c r="F353" s="236">
        <v>3422069</v>
      </c>
    </row>
    <row r="354" spans="1:6" ht="15">
      <c r="A354" s="243" t="s">
        <v>929</v>
      </c>
      <c r="B354" s="234" t="s">
        <v>627</v>
      </c>
      <c r="C354" s="234" t="s">
        <v>541</v>
      </c>
      <c r="D354" s="234" t="s">
        <v>930</v>
      </c>
      <c r="E354" s="235"/>
      <c r="F354" s="236">
        <f>F355</f>
        <v>177600</v>
      </c>
    </row>
    <row r="355" spans="1:6" ht="26.25">
      <c r="A355" s="243" t="s">
        <v>560</v>
      </c>
      <c r="B355" s="234" t="s">
        <v>627</v>
      </c>
      <c r="C355" s="234" t="s">
        <v>541</v>
      </c>
      <c r="D355" s="234" t="s">
        <v>930</v>
      </c>
      <c r="E355" s="235" t="s">
        <v>561</v>
      </c>
      <c r="F355" s="236">
        <f>177600</f>
        <v>177600</v>
      </c>
    </row>
    <row r="356" spans="1:6" ht="51">
      <c r="A356" s="277" t="s">
        <v>676</v>
      </c>
      <c r="B356" s="234" t="s">
        <v>627</v>
      </c>
      <c r="C356" s="234" t="s">
        <v>541</v>
      </c>
      <c r="D356" s="263" t="s">
        <v>677</v>
      </c>
      <c r="E356" s="235"/>
      <c r="F356" s="236">
        <f>F357</f>
        <v>165800</v>
      </c>
    </row>
    <row r="357" spans="1:6" s="250" customFormat="1" ht="63.75">
      <c r="A357" s="278" t="s">
        <v>678</v>
      </c>
      <c r="B357" s="246" t="s">
        <v>627</v>
      </c>
      <c r="C357" s="246" t="s">
        <v>541</v>
      </c>
      <c r="D357" s="271" t="s">
        <v>679</v>
      </c>
      <c r="E357" s="253"/>
      <c r="F357" s="249">
        <f>F358+F361</f>
        <v>165800</v>
      </c>
    </row>
    <row r="358" spans="1:6" ht="25.5" hidden="1">
      <c r="A358" s="287" t="s">
        <v>680</v>
      </c>
      <c r="B358" s="234" t="s">
        <v>627</v>
      </c>
      <c r="C358" s="234" t="s">
        <v>541</v>
      </c>
      <c r="D358" s="263" t="s">
        <v>681</v>
      </c>
      <c r="E358" s="235"/>
      <c r="F358" s="236">
        <f>F359</f>
        <v>0</v>
      </c>
    </row>
    <row r="359" spans="1:6" ht="25.5" hidden="1">
      <c r="A359" s="255" t="s">
        <v>682</v>
      </c>
      <c r="B359" s="234" t="s">
        <v>627</v>
      </c>
      <c r="C359" s="234" t="s">
        <v>541</v>
      </c>
      <c r="D359" s="263" t="s">
        <v>683</v>
      </c>
      <c r="E359" s="235"/>
      <c r="F359" s="236">
        <f>F360</f>
        <v>0</v>
      </c>
    </row>
    <row r="360" spans="1:6" ht="26.25" hidden="1">
      <c r="A360" s="243" t="s">
        <v>560</v>
      </c>
      <c r="B360" s="234" t="s">
        <v>627</v>
      </c>
      <c r="C360" s="234" t="s">
        <v>541</v>
      </c>
      <c r="D360" s="263" t="s">
        <v>683</v>
      </c>
      <c r="E360" s="235" t="s">
        <v>561</v>
      </c>
      <c r="F360" s="236"/>
    </row>
    <row r="361" spans="1:6" ht="51">
      <c r="A361" s="287" t="s">
        <v>931</v>
      </c>
      <c r="B361" s="234" t="s">
        <v>627</v>
      </c>
      <c r="C361" s="234" t="s">
        <v>541</v>
      </c>
      <c r="D361" s="263" t="s">
        <v>932</v>
      </c>
      <c r="E361" s="235"/>
      <c r="F361" s="236">
        <f>F362</f>
        <v>165800</v>
      </c>
    </row>
    <row r="362" spans="1:6" ht="25.5">
      <c r="A362" s="255" t="s">
        <v>682</v>
      </c>
      <c r="B362" s="234" t="s">
        <v>627</v>
      </c>
      <c r="C362" s="234" t="s">
        <v>541</v>
      </c>
      <c r="D362" s="263" t="s">
        <v>933</v>
      </c>
      <c r="E362" s="235"/>
      <c r="F362" s="236">
        <f>F363</f>
        <v>165800</v>
      </c>
    </row>
    <row r="363" spans="1:6" ht="26.25">
      <c r="A363" s="243" t="s">
        <v>560</v>
      </c>
      <c r="B363" s="234" t="s">
        <v>627</v>
      </c>
      <c r="C363" s="234" t="s">
        <v>541</v>
      </c>
      <c r="D363" s="263" t="s">
        <v>933</v>
      </c>
      <c r="E363" s="235" t="s">
        <v>561</v>
      </c>
      <c r="F363" s="236">
        <v>165800</v>
      </c>
    </row>
    <row r="364" spans="1:6" ht="25.5">
      <c r="A364" s="265" t="s">
        <v>934</v>
      </c>
      <c r="B364" s="234" t="s">
        <v>627</v>
      </c>
      <c r="C364" s="234" t="s">
        <v>541</v>
      </c>
      <c r="D364" s="234" t="s">
        <v>935</v>
      </c>
      <c r="E364" s="245"/>
      <c r="F364" s="236">
        <f>F365</f>
        <v>10000</v>
      </c>
    </row>
    <row r="365" spans="1:6" ht="51">
      <c r="A365" s="254" t="s">
        <v>936</v>
      </c>
      <c r="B365" s="234" t="s">
        <v>627</v>
      </c>
      <c r="C365" s="234" t="s">
        <v>541</v>
      </c>
      <c r="D365" s="234" t="s">
        <v>937</v>
      </c>
      <c r="E365" s="245"/>
      <c r="F365" s="236">
        <f>F366</f>
        <v>10000</v>
      </c>
    </row>
    <row r="366" spans="1:6" ht="25.5">
      <c r="A366" s="264" t="s">
        <v>938</v>
      </c>
      <c r="B366" s="234" t="s">
        <v>627</v>
      </c>
      <c r="C366" s="234" t="s">
        <v>541</v>
      </c>
      <c r="D366" s="234" t="s">
        <v>939</v>
      </c>
      <c r="E366" s="245"/>
      <c r="F366" s="236">
        <f>F367</f>
        <v>10000</v>
      </c>
    </row>
    <row r="367" spans="1:6" ht="15">
      <c r="A367" s="264" t="s">
        <v>940</v>
      </c>
      <c r="B367" s="234" t="s">
        <v>627</v>
      </c>
      <c r="C367" s="234" t="s">
        <v>541</v>
      </c>
      <c r="D367" s="234" t="s">
        <v>941</v>
      </c>
      <c r="E367" s="245"/>
      <c r="F367" s="236">
        <f>F368</f>
        <v>10000</v>
      </c>
    </row>
    <row r="368" spans="1:6" ht="26.25">
      <c r="A368" s="243" t="s">
        <v>560</v>
      </c>
      <c r="B368" s="234" t="s">
        <v>627</v>
      </c>
      <c r="C368" s="234" t="s">
        <v>541</v>
      </c>
      <c r="D368" s="234" t="s">
        <v>941</v>
      </c>
      <c r="E368" s="235" t="s">
        <v>561</v>
      </c>
      <c r="F368" s="236">
        <v>10000</v>
      </c>
    </row>
    <row r="369" spans="1:8" ht="15">
      <c r="A369" s="243" t="s">
        <v>942</v>
      </c>
      <c r="B369" s="234" t="s">
        <v>627</v>
      </c>
      <c r="C369" s="234" t="s">
        <v>551</v>
      </c>
      <c r="D369" s="234"/>
      <c r="E369" s="235"/>
      <c r="F369" s="236">
        <f>F370</f>
        <v>42449305.04</v>
      </c>
      <c r="H369" s="242"/>
    </row>
    <row r="370" spans="1:6" ht="26.25">
      <c r="A370" s="240" t="s">
        <v>890</v>
      </c>
      <c r="B370" s="234" t="s">
        <v>627</v>
      </c>
      <c r="C370" s="234" t="s">
        <v>551</v>
      </c>
      <c r="D370" s="234" t="s">
        <v>891</v>
      </c>
      <c r="E370" s="235"/>
      <c r="F370" s="236">
        <f>F371</f>
        <v>42449305.04</v>
      </c>
    </row>
    <row r="371" spans="1:6" ht="51.75">
      <c r="A371" s="243" t="s">
        <v>943</v>
      </c>
      <c r="B371" s="234" t="s">
        <v>627</v>
      </c>
      <c r="C371" s="234" t="s">
        <v>551</v>
      </c>
      <c r="D371" s="246" t="s">
        <v>944</v>
      </c>
      <c r="E371" s="235"/>
      <c r="F371" s="236">
        <f>F372+F378</f>
        <v>42449305.04</v>
      </c>
    </row>
    <row r="372" spans="1:6" ht="25.5">
      <c r="A372" s="255" t="s">
        <v>945</v>
      </c>
      <c r="B372" s="234" t="s">
        <v>627</v>
      </c>
      <c r="C372" s="234" t="s">
        <v>551</v>
      </c>
      <c r="D372" s="234" t="s">
        <v>946</v>
      </c>
      <c r="E372" s="235"/>
      <c r="F372" s="236">
        <f>F373</f>
        <v>22898170</v>
      </c>
    </row>
    <row r="373" spans="1:6" ht="25.5">
      <c r="A373" s="255" t="s">
        <v>722</v>
      </c>
      <c r="B373" s="234" t="s">
        <v>627</v>
      </c>
      <c r="C373" s="234" t="s">
        <v>551</v>
      </c>
      <c r="D373" s="234" t="s">
        <v>947</v>
      </c>
      <c r="E373" s="235"/>
      <c r="F373" s="236">
        <f>F374+F375+F377+F376</f>
        <v>22898170</v>
      </c>
    </row>
    <row r="374" spans="1:6" ht="39">
      <c r="A374" s="243" t="s">
        <v>548</v>
      </c>
      <c r="B374" s="234" t="s">
        <v>627</v>
      </c>
      <c r="C374" s="234" t="s">
        <v>551</v>
      </c>
      <c r="D374" s="234" t="s">
        <v>947</v>
      </c>
      <c r="E374" s="235" t="s">
        <v>549</v>
      </c>
      <c r="F374" s="236">
        <v>14536725</v>
      </c>
    </row>
    <row r="375" spans="1:6" ht="26.25">
      <c r="A375" s="243" t="s">
        <v>560</v>
      </c>
      <c r="B375" s="234" t="s">
        <v>627</v>
      </c>
      <c r="C375" s="234" t="s">
        <v>551</v>
      </c>
      <c r="D375" s="234" t="s">
        <v>947</v>
      </c>
      <c r="E375" s="235" t="s">
        <v>561</v>
      </c>
      <c r="F375" s="236">
        <v>7005477</v>
      </c>
    </row>
    <row r="376" spans="1:6" ht="26.25">
      <c r="A376" s="281" t="s">
        <v>776</v>
      </c>
      <c r="B376" s="234" t="s">
        <v>627</v>
      </c>
      <c r="C376" s="234" t="s">
        <v>551</v>
      </c>
      <c r="D376" s="234" t="s">
        <v>947</v>
      </c>
      <c r="E376" s="235" t="s">
        <v>777</v>
      </c>
      <c r="F376" s="236">
        <v>1251510</v>
      </c>
    </row>
    <row r="377" spans="1:6" ht="15">
      <c r="A377" s="255" t="s">
        <v>602</v>
      </c>
      <c r="B377" s="234" t="s">
        <v>627</v>
      </c>
      <c r="C377" s="234" t="s">
        <v>551</v>
      </c>
      <c r="D377" s="234" t="s">
        <v>947</v>
      </c>
      <c r="E377" s="235" t="s">
        <v>603</v>
      </c>
      <c r="F377" s="236">
        <v>104458</v>
      </c>
    </row>
    <row r="378" spans="1:6" ht="25.5">
      <c r="A378" s="255" t="s">
        <v>948</v>
      </c>
      <c r="B378" s="234" t="s">
        <v>627</v>
      </c>
      <c r="C378" s="234" t="s">
        <v>551</v>
      </c>
      <c r="D378" s="234" t="s">
        <v>949</v>
      </c>
      <c r="E378" s="235"/>
      <c r="F378" s="236">
        <f>F379</f>
        <v>19551135.04</v>
      </c>
    </row>
    <row r="379" spans="1:6" ht="25.5">
      <c r="A379" s="255" t="s">
        <v>722</v>
      </c>
      <c r="B379" s="234" t="s">
        <v>627</v>
      </c>
      <c r="C379" s="234" t="s">
        <v>551</v>
      </c>
      <c r="D379" s="234" t="s">
        <v>950</v>
      </c>
      <c r="E379" s="235"/>
      <c r="F379" s="236">
        <f>F380+F381+F382</f>
        <v>19551135.04</v>
      </c>
    </row>
    <row r="380" spans="1:6" ht="39">
      <c r="A380" s="243" t="s">
        <v>548</v>
      </c>
      <c r="B380" s="234" t="s">
        <v>627</v>
      </c>
      <c r="C380" s="234" t="s">
        <v>551</v>
      </c>
      <c r="D380" s="234" t="s">
        <v>950</v>
      </c>
      <c r="E380" s="235" t="s">
        <v>549</v>
      </c>
      <c r="F380" s="275">
        <f>17937600+270967-207600</f>
        <v>18000967</v>
      </c>
    </row>
    <row r="381" spans="1:6" ht="26.25">
      <c r="A381" s="243" t="s">
        <v>560</v>
      </c>
      <c r="B381" s="234" t="s">
        <v>627</v>
      </c>
      <c r="C381" s="234" t="s">
        <v>551</v>
      </c>
      <c r="D381" s="234" t="s">
        <v>950</v>
      </c>
      <c r="E381" s="235" t="s">
        <v>561</v>
      </c>
      <c r="F381" s="275">
        <f>688100+61300+400700.04+4900+370000+30000+14718-65250</f>
        <v>1504468.04</v>
      </c>
    </row>
    <row r="382" spans="1:6" ht="15">
      <c r="A382" s="255" t="s">
        <v>602</v>
      </c>
      <c r="B382" s="234" t="s">
        <v>627</v>
      </c>
      <c r="C382" s="234" t="s">
        <v>551</v>
      </c>
      <c r="D382" s="234" t="s">
        <v>950</v>
      </c>
      <c r="E382" s="235" t="s">
        <v>603</v>
      </c>
      <c r="F382" s="275">
        <v>45700</v>
      </c>
    </row>
    <row r="383" spans="1:8" ht="15">
      <c r="A383" s="240" t="s">
        <v>951</v>
      </c>
      <c r="B383" s="234" t="s">
        <v>627</v>
      </c>
      <c r="C383" s="234" t="s">
        <v>627</v>
      </c>
      <c r="D383" s="234"/>
      <c r="E383" s="235"/>
      <c r="F383" s="236">
        <f>F384</f>
        <v>4481223.39</v>
      </c>
      <c r="H383" s="242"/>
    </row>
    <row r="384" spans="1:6" ht="51">
      <c r="A384" s="255" t="s">
        <v>952</v>
      </c>
      <c r="B384" s="234" t="s">
        <v>627</v>
      </c>
      <c r="C384" s="234" t="s">
        <v>627</v>
      </c>
      <c r="D384" s="263" t="s">
        <v>953</v>
      </c>
      <c r="E384" s="235"/>
      <c r="F384" s="236">
        <f>F385+F390</f>
        <v>4481223.39</v>
      </c>
    </row>
    <row r="385" spans="1:6" s="250" customFormat="1" ht="63.75">
      <c r="A385" s="255" t="s">
        <v>954</v>
      </c>
      <c r="B385" s="246" t="s">
        <v>627</v>
      </c>
      <c r="C385" s="246" t="s">
        <v>627</v>
      </c>
      <c r="D385" s="271" t="s">
        <v>955</v>
      </c>
      <c r="E385" s="272"/>
      <c r="F385" s="249">
        <f>F386</f>
        <v>105000</v>
      </c>
    </row>
    <row r="386" spans="1:6" ht="38.25">
      <c r="A386" s="255" t="s">
        <v>956</v>
      </c>
      <c r="B386" s="234" t="s">
        <v>627</v>
      </c>
      <c r="C386" s="234" t="s">
        <v>627</v>
      </c>
      <c r="D386" s="263" t="s">
        <v>957</v>
      </c>
      <c r="E386" s="270"/>
      <c r="F386" s="236">
        <f>F387</f>
        <v>105000</v>
      </c>
    </row>
    <row r="387" spans="1:6" ht="15">
      <c r="A387" s="255" t="s">
        <v>958</v>
      </c>
      <c r="B387" s="234" t="s">
        <v>627</v>
      </c>
      <c r="C387" s="234" t="s">
        <v>627</v>
      </c>
      <c r="D387" s="263" t="s">
        <v>959</v>
      </c>
      <c r="E387" s="270"/>
      <c r="F387" s="236">
        <f>F388+F389</f>
        <v>105000</v>
      </c>
    </row>
    <row r="388" spans="1:6" ht="26.25">
      <c r="A388" s="243" t="s">
        <v>560</v>
      </c>
      <c r="B388" s="234" t="s">
        <v>627</v>
      </c>
      <c r="C388" s="234" t="s">
        <v>627</v>
      </c>
      <c r="D388" s="263" t="s">
        <v>959</v>
      </c>
      <c r="E388" s="270" t="s">
        <v>561</v>
      </c>
      <c r="F388" s="236">
        <f>85000-20000+20000</f>
        <v>85000</v>
      </c>
    </row>
    <row r="389" spans="1:6" ht="15">
      <c r="A389" s="240" t="s">
        <v>733</v>
      </c>
      <c r="B389" s="234" t="s">
        <v>627</v>
      </c>
      <c r="C389" s="234" t="s">
        <v>627</v>
      </c>
      <c r="D389" s="263" t="s">
        <v>959</v>
      </c>
      <c r="E389" s="270" t="s">
        <v>734</v>
      </c>
      <c r="F389" s="236">
        <v>20000</v>
      </c>
    </row>
    <row r="390" spans="1:6" s="250" customFormat="1" ht="51">
      <c r="A390" s="266" t="s">
        <v>960</v>
      </c>
      <c r="B390" s="246" t="s">
        <v>627</v>
      </c>
      <c r="C390" s="246" t="s">
        <v>627</v>
      </c>
      <c r="D390" s="271" t="s">
        <v>961</v>
      </c>
      <c r="E390" s="272"/>
      <c r="F390" s="249">
        <f>F391+F403+F400</f>
        <v>4376223.39</v>
      </c>
    </row>
    <row r="391" spans="1:6" ht="25.5">
      <c r="A391" s="255" t="s">
        <v>962</v>
      </c>
      <c r="B391" s="234" t="s">
        <v>627</v>
      </c>
      <c r="C391" s="234" t="s">
        <v>627</v>
      </c>
      <c r="D391" s="263" t="s">
        <v>963</v>
      </c>
      <c r="E391" s="270"/>
      <c r="F391" s="236">
        <f>F392+F395+F398</f>
        <v>1733211</v>
      </c>
    </row>
    <row r="392" spans="1:6" ht="14.25" customHeight="1">
      <c r="A392" s="240" t="s">
        <v>964</v>
      </c>
      <c r="B392" s="234" t="s">
        <v>627</v>
      </c>
      <c r="C392" s="234" t="s">
        <v>627</v>
      </c>
      <c r="D392" s="263" t="s">
        <v>965</v>
      </c>
      <c r="E392" s="235"/>
      <c r="F392" s="236">
        <f>F393+F394</f>
        <v>615795</v>
      </c>
    </row>
    <row r="393" spans="1:6" ht="26.25">
      <c r="A393" s="243" t="s">
        <v>560</v>
      </c>
      <c r="B393" s="234" t="s">
        <v>627</v>
      </c>
      <c r="C393" s="234" t="s">
        <v>627</v>
      </c>
      <c r="D393" s="263" t="s">
        <v>965</v>
      </c>
      <c r="E393" s="270" t="s">
        <v>561</v>
      </c>
      <c r="F393" s="236">
        <f>237417</f>
        <v>237417</v>
      </c>
    </row>
    <row r="394" spans="1:6" ht="15">
      <c r="A394" s="240" t="s">
        <v>733</v>
      </c>
      <c r="B394" s="234" t="s">
        <v>627</v>
      </c>
      <c r="C394" s="234" t="s">
        <v>627</v>
      </c>
      <c r="D394" s="263" t="s">
        <v>965</v>
      </c>
      <c r="E394" s="270" t="s">
        <v>734</v>
      </c>
      <c r="F394" s="236">
        <f>378378</f>
        <v>378378</v>
      </c>
    </row>
    <row r="395" spans="1:6" ht="15">
      <c r="A395" s="252" t="s">
        <v>966</v>
      </c>
      <c r="B395" s="234" t="s">
        <v>627</v>
      </c>
      <c r="C395" s="234" t="s">
        <v>627</v>
      </c>
      <c r="D395" s="263" t="s">
        <v>967</v>
      </c>
      <c r="E395" s="235"/>
      <c r="F395" s="236">
        <f>F397+F396</f>
        <v>1102863</v>
      </c>
    </row>
    <row r="396" spans="1:6" ht="26.25">
      <c r="A396" s="243" t="s">
        <v>560</v>
      </c>
      <c r="B396" s="234" t="s">
        <v>627</v>
      </c>
      <c r="C396" s="234" t="s">
        <v>627</v>
      </c>
      <c r="D396" s="263" t="s">
        <v>967</v>
      </c>
      <c r="E396" s="235" t="s">
        <v>561</v>
      </c>
      <c r="F396" s="236">
        <v>520743</v>
      </c>
    </row>
    <row r="397" spans="1:6" ht="15">
      <c r="A397" s="240" t="s">
        <v>733</v>
      </c>
      <c r="B397" s="234" t="s">
        <v>627</v>
      </c>
      <c r="C397" s="234" t="s">
        <v>627</v>
      </c>
      <c r="D397" s="263" t="s">
        <v>967</v>
      </c>
      <c r="E397" s="270" t="s">
        <v>734</v>
      </c>
      <c r="F397" s="236">
        <f>618000-20412-15468</f>
        <v>582120</v>
      </c>
    </row>
    <row r="398" spans="1:6" ht="15">
      <c r="A398" s="300" t="s">
        <v>968</v>
      </c>
      <c r="B398" s="234" t="s">
        <v>627</v>
      </c>
      <c r="C398" s="234" t="s">
        <v>627</v>
      </c>
      <c r="D398" s="263" t="s">
        <v>969</v>
      </c>
      <c r="E398" s="235"/>
      <c r="F398" s="236">
        <f>F399</f>
        <v>14553</v>
      </c>
    </row>
    <row r="399" spans="1:6" ht="15">
      <c r="A399" s="240" t="s">
        <v>733</v>
      </c>
      <c r="B399" s="234" t="s">
        <v>627</v>
      </c>
      <c r="C399" s="234" t="s">
        <v>627</v>
      </c>
      <c r="D399" s="263" t="s">
        <v>969</v>
      </c>
      <c r="E399" s="270" t="s">
        <v>734</v>
      </c>
      <c r="F399" s="236">
        <f>14553</f>
        <v>14553</v>
      </c>
    </row>
    <row r="400" spans="1:6" ht="15">
      <c r="A400" s="255" t="s">
        <v>970</v>
      </c>
      <c r="B400" s="234" t="s">
        <v>627</v>
      </c>
      <c r="C400" s="234" t="s">
        <v>627</v>
      </c>
      <c r="D400" s="263" t="s">
        <v>971</v>
      </c>
      <c r="E400" s="270"/>
      <c r="F400" s="236">
        <f>F401</f>
        <v>36000</v>
      </c>
    </row>
    <row r="401" spans="1:6" ht="15">
      <c r="A401" s="243" t="s">
        <v>968</v>
      </c>
      <c r="B401" s="234" t="s">
        <v>627</v>
      </c>
      <c r="C401" s="234" t="s">
        <v>627</v>
      </c>
      <c r="D401" s="263" t="s">
        <v>972</v>
      </c>
      <c r="E401" s="270"/>
      <c r="F401" s="236">
        <f>F402</f>
        <v>36000</v>
      </c>
    </row>
    <row r="402" spans="1:6" ht="26.25">
      <c r="A402" s="243" t="s">
        <v>560</v>
      </c>
      <c r="B402" s="234" t="s">
        <v>627</v>
      </c>
      <c r="C402" s="234" t="s">
        <v>627</v>
      </c>
      <c r="D402" s="263" t="s">
        <v>972</v>
      </c>
      <c r="E402" s="270" t="s">
        <v>561</v>
      </c>
      <c r="F402" s="236">
        <f>36000</f>
        <v>36000</v>
      </c>
    </row>
    <row r="403" spans="1:6" ht="38.25">
      <c r="A403" s="255" t="s">
        <v>973</v>
      </c>
      <c r="B403" s="234" t="s">
        <v>627</v>
      </c>
      <c r="C403" s="234" t="s">
        <v>627</v>
      </c>
      <c r="D403" s="263" t="s">
        <v>974</v>
      </c>
      <c r="E403" s="270"/>
      <c r="F403" s="236">
        <f>F404</f>
        <v>2607012.3899999997</v>
      </c>
    </row>
    <row r="404" spans="1:6" ht="26.25">
      <c r="A404" s="241" t="s">
        <v>722</v>
      </c>
      <c r="B404" s="234" t="s">
        <v>627</v>
      </c>
      <c r="C404" s="234" t="s">
        <v>627</v>
      </c>
      <c r="D404" s="263" t="s">
        <v>975</v>
      </c>
      <c r="E404" s="270"/>
      <c r="F404" s="236">
        <f>F405+F406+F407</f>
        <v>2607012.3899999997</v>
      </c>
    </row>
    <row r="405" spans="1:6" ht="26.25">
      <c r="A405" s="240" t="s">
        <v>976</v>
      </c>
      <c r="B405" s="234" t="s">
        <v>627</v>
      </c>
      <c r="C405" s="234" t="s">
        <v>627</v>
      </c>
      <c r="D405" s="263" t="s">
        <v>975</v>
      </c>
      <c r="E405" s="235" t="s">
        <v>549</v>
      </c>
      <c r="F405" s="236">
        <v>616000</v>
      </c>
    </row>
    <row r="406" spans="1:6" ht="26.25">
      <c r="A406" s="243" t="s">
        <v>560</v>
      </c>
      <c r="B406" s="234" t="s">
        <v>627</v>
      </c>
      <c r="C406" s="234" t="s">
        <v>627</v>
      </c>
      <c r="D406" s="263" t="s">
        <v>975</v>
      </c>
      <c r="E406" s="270" t="s">
        <v>561</v>
      </c>
      <c r="F406" s="236">
        <v>1954002.39</v>
      </c>
    </row>
    <row r="407" spans="1:6" ht="15">
      <c r="A407" s="255" t="s">
        <v>602</v>
      </c>
      <c r="B407" s="234" t="s">
        <v>627</v>
      </c>
      <c r="C407" s="234" t="s">
        <v>627</v>
      </c>
      <c r="D407" s="263" t="s">
        <v>975</v>
      </c>
      <c r="E407" s="270" t="s">
        <v>603</v>
      </c>
      <c r="F407" s="236">
        <v>37010</v>
      </c>
    </row>
    <row r="408" spans="1:6" ht="15">
      <c r="A408" s="240" t="s">
        <v>977</v>
      </c>
      <c r="B408" s="234" t="s">
        <v>627</v>
      </c>
      <c r="C408" s="234" t="s">
        <v>738</v>
      </c>
      <c r="D408" s="234"/>
      <c r="E408" s="235"/>
      <c r="F408" s="236">
        <f>F409+F421</f>
        <v>9261690</v>
      </c>
    </row>
    <row r="409" spans="1:6" ht="26.25">
      <c r="A409" s="240" t="s">
        <v>890</v>
      </c>
      <c r="B409" s="234" t="s">
        <v>627</v>
      </c>
      <c r="C409" s="234" t="s">
        <v>738</v>
      </c>
      <c r="D409" s="234" t="s">
        <v>891</v>
      </c>
      <c r="E409" s="235"/>
      <c r="F409" s="236">
        <f>F410</f>
        <v>9261690</v>
      </c>
    </row>
    <row r="410" spans="1:6" s="250" customFormat="1" ht="51">
      <c r="A410" s="265" t="s">
        <v>978</v>
      </c>
      <c r="B410" s="246" t="s">
        <v>627</v>
      </c>
      <c r="C410" s="246" t="s">
        <v>738</v>
      </c>
      <c r="D410" s="246" t="s">
        <v>979</v>
      </c>
      <c r="E410" s="253"/>
      <c r="F410" s="249">
        <f>F411+F416</f>
        <v>9261690</v>
      </c>
    </row>
    <row r="411" spans="1:6" ht="25.5">
      <c r="A411" s="255" t="s">
        <v>980</v>
      </c>
      <c r="B411" s="234" t="s">
        <v>627</v>
      </c>
      <c r="C411" s="234" t="s">
        <v>738</v>
      </c>
      <c r="D411" s="234" t="s">
        <v>981</v>
      </c>
      <c r="E411" s="235"/>
      <c r="F411" s="236">
        <f>F412</f>
        <v>9038638</v>
      </c>
    </row>
    <row r="412" spans="1:6" ht="25.5">
      <c r="A412" s="255" t="s">
        <v>722</v>
      </c>
      <c r="B412" s="234" t="s">
        <v>627</v>
      </c>
      <c r="C412" s="234" t="s">
        <v>738</v>
      </c>
      <c r="D412" s="234" t="s">
        <v>982</v>
      </c>
      <c r="E412" s="235"/>
      <c r="F412" s="236">
        <f>F413+F414+F415</f>
        <v>9038638</v>
      </c>
    </row>
    <row r="413" spans="1:6" ht="39">
      <c r="A413" s="243" t="s">
        <v>548</v>
      </c>
      <c r="B413" s="234" t="s">
        <v>627</v>
      </c>
      <c r="C413" s="234" t="s">
        <v>738</v>
      </c>
      <c r="D413" s="234" t="s">
        <v>982</v>
      </c>
      <c r="E413" s="235" t="s">
        <v>549</v>
      </c>
      <c r="F413" s="275">
        <f>7573300+116000+35100</f>
        <v>7724400</v>
      </c>
    </row>
    <row r="414" spans="1:6" ht="26.25">
      <c r="A414" s="243" t="s">
        <v>560</v>
      </c>
      <c r="B414" s="234" t="s">
        <v>627</v>
      </c>
      <c r="C414" s="234" t="s">
        <v>738</v>
      </c>
      <c r="D414" s="234" t="s">
        <v>982</v>
      </c>
      <c r="E414" s="235" t="s">
        <v>561</v>
      </c>
      <c r="F414" s="275">
        <f>517200+35500+100000+467547+60000+7770+27875+30120+24075</f>
        <v>1270087</v>
      </c>
    </row>
    <row r="415" spans="1:6" ht="15">
      <c r="A415" s="255" t="s">
        <v>602</v>
      </c>
      <c r="B415" s="234" t="s">
        <v>627</v>
      </c>
      <c r="C415" s="234" t="s">
        <v>738</v>
      </c>
      <c r="D415" s="234" t="s">
        <v>982</v>
      </c>
      <c r="E415" s="235" t="s">
        <v>603</v>
      </c>
      <c r="F415" s="275">
        <f>35314-1063+9900</f>
        <v>44151</v>
      </c>
    </row>
    <row r="416" spans="1:6" ht="25.5">
      <c r="A416" s="255" t="s">
        <v>983</v>
      </c>
      <c r="B416" s="234" t="s">
        <v>627</v>
      </c>
      <c r="C416" s="234" t="s">
        <v>738</v>
      </c>
      <c r="D416" s="234" t="s">
        <v>984</v>
      </c>
      <c r="E416" s="235"/>
      <c r="F416" s="236">
        <f>F417+F419</f>
        <v>223052</v>
      </c>
    </row>
    <row r="417" spans="1:6" ht="26.25">
      <c r="A417" s="301" t="s">
        <v>985</v>
      </c>
      <c r="B417" s="234" t="s">
        <v>627</v>
      </c>
      <c r="C417" s="234" t="s">
        <v>738</v>
      </c>
      <c r="D417" s="234" t="s">
        <v>986</v>
      </c>
      <c r="E417" s="235"/>
      <c r="F417" s="236">
        <f>F418</f>
        <v>223052</v>
      </c>
    </row>
    <row r="418" spans="1:6" ht="39">
      <c r="A418" s="243" t="s">
        <v>548</v>
      </c>
      <c r="B418" s="234" t="s">
        <v>627</v>
      </c>
      <c r="C418" s="234" t="s">
        <v>738</v>
      </c>
      <c r="D418" s="234" t="s">
        <v>986</v>
      </c>
      <c r="E418" s="235" t="s">
        <v>549</v>
      </c>
      <c r="F418" s="236">
        <v>223052</v>
      </c>
    </row>
    <row r="419" spans="1:6" ht="15" hidden="1">
      <c r="A419" s="243" t="s">
        <v>929</v>
      </c>
      <c r="B419" s="234" t="s">
        <v>627</v>
      </c>
      <c r="C419" s="234" t="s">
        <v>738</v>
      </c>
      <c r="D419" s="234" t="s">
        <v>987</v>
      </c>
      <c r="E419" s="235"/>
      <c r="F419" s="236">
        <f>F420</f>
        <v>0</v>
      </c>
    </row>
    <row r="420" spans="1:6" ht="26.25" hidden="1">
      <c r="A420" s="243" t="s">
        <v>560</v>
      </c>
      <c r="B420" s="234" t="s">
        <v>627</v>
      </c>
      <c r="C420" s="234" t="s">
        <v>738</v>
      </c>
      <c r="D420" s="234" t="s">
        <v>987</v>
      </c>
      <c r="E420" s="235" t="s">
        <v>561</v>
      </c>
      <c r="F420" s="236"/>
    </row>
    <row r="421" spans="1:6" ht="25.5" hidden="1">
      <c r="A421" s="255" t="s">
        <v>988</v>
      </c>
      <c r="B421" s="234" t="s">
        <v>627</v>
      </c>
      <c r="C421" s="234" t="s">
        <v>738</v>
      </c>
      <c r="D421" s="244" t="s">
        <v>989</v>
      </c>
      <c r="E421" s="235"/>
      <c r="F421" s="236">
        <f>F422</f>
        <v>0</v>
      </c>
    </row>
    <row r="422" spans="1:6" ht="25.5" hidden="1">
      <c r="A422" s="255" t="s">
        <v>990</v>
      </c>
      <c r="B422" s="234" t="s">
        <v>627</v>
      </c>
      <c r="C422" s="234" t="s">
        <v>738</v>
      </c>
      <c r="D422" s="244" t="s">
        <v>991</v>
      </c>
      <c r="E422" s="235"/>
      <c r="F422" s="236">
        <f>F423</f>
        <v>0</v>
      </c>
    </row>
    <row r="423" spans="1:6" ht="15" hidden="1">
      <c r="A423" s="255" t="s">
        <v>992</v>
      </c>
      <c r="B423" s="234" t="s">
        <v>627</v>
      </c>
      <c r="C423" s="234" t="s">
        <v>738</v>
      </c>
      <c r="D423" s="302" t="s">
        <v>993</v>
      </c>
      <c r="E423" s="235"/>
      <c r="F423" s="236">
        <f>F424</f>
        <v>0</v>
      </c>
    </row>
    <row r="424" spans="1:6" ht="26.25" hidden="1">
      <c r="A424" s="243" t="s">
        <v>560</v>
      </c>
      <c r="B424" s="234" t="s">
        <v>627</v>
      </c>
      <c r="C424" s="234" t="s">
        <v>738</v>
      </c>
      <c r="D424" s="244" t="s">
        <v>993</v>
      </c>
      <c r="E424" s="235" t="s">
        <v>561</v>
      </c>
      <c r="F424" s="236"/>
    </row>
    <row r="425" spans="1:6" ht="15">
      <c r="A425" s="240" t="s">
        <v>994</v>
      </c>
      <c r="B425" s="234" t="s">
        <v>758</v>
      </c>
      <c r="C425" s="234"/>
      <c r="D425" s="234"/>
      <c r="E425" s="270"/>
      <c r="F425" s="236">
        <f>F426+F452</f>
        <v>35659549.33</v>
      </c>
    </row>
    <row r="426" spans="1:6" ht="15">
      <c r="A426" s="240" t="s">
        <v>995</v>
      </c>
      <c r="B426" s="234" t="s">
        <v>758</v>
      </c>
      <c r="C426" s="234" t="s">
        <v>539</v>
      </c>
      <c r="D426" s="263"/>
      <c r="E426" s="270"/>
      <c r="F426" s="236">
        <f>F427+F443+F448</f>
        <v>31441777.33</v>
      </c>
    </row>
    <row r="427" spans="1:6" ht="26.25">
      <c r="A427" s="240" t="s">
        <v>996</v>
      </c>
      <c r="B427" s="234" t="s">
        <v>758</v>
      </c>
      <c r="C427" s="234" t="s">
        <v>539</v>
      </c>
      <c r="D427" s="234" t="s">
        <v>997</v>
      </c>
      <c r="E427" s="270"/>
      <c r="F427" s="236">
        <f>F428+F437</f>
        <v>31336777.33</v>
      </c>
    </row>
    <row r="428" spans="1:6" s="250" customFormat="1" ht="39">
      <c r="A428" s="240" t="s">
        <v>998</v>
      </c>
      <c r="B428" s="246" t="s">
        <v>999</v>
      </c>
      <c r="C428" s="246" t="s">
        <v>539</v>
      </c>
      <c r="D428" s="246" t="s">
        <v>1000</v>
      </c>
      <c r="E428" s="253"/>
      <c r="F428" s="249">
        <f>F429</f>
        <v>20620316.33</v>
      </c>
    </row>
    <row r="429" spans="1:6" ht="38.25">
      <c r="A429" s="254" t="s">
        <v>1001</v>
      </c>
      <c r="B429" s="234" t="s">
        <v>999</v>
      </c>
      <c r="C429" s="234" t="s">
        <v>539</v>
      </c>
      <c r="D429" s="234" t="s">
        <v>1002</v>
      </c>
      <c r="E429" s="235"/>
      <c r="F429" s="236">
        <f>F430+F435</f>
        <v>20620316.33</v>
      </c>
    </row>
    <row r="430" spans="1:6" ht="26.25">
      <c r="A430" s="240" t="s">
        <v>722</v>
      </c>
      <c r="B430" s="234" t="s">
        <v>999</v>
      </c>
      <c r="C430" s="234" t="s">
        <v>539</v>
      </c>
      <c r="D430" s="234" t="s">
        <v>1003</v>
      </c>
      <c r="E430" s="235"/>
      <c r="F430" s="236">
        <f>F431+F432+F434+F433</f>
        <v>19249316.33</v>
      </c>
    </row>
    <row r="431" spans="1:6" ht="39">
      <c r="A431" s="243" t="s">
        <v>548</v>
      </c>
      <c r="B431" s="234" t="s">
        <v>999</v>
      </c>
      <c r="C431" s="234" t="s">
        <v>539</v>
      </c>
      <c r="D431" s="234" t="s">
        <v>1003</v>
      </c>
      <c r="E431" s="235" t="s">
        <v>549</v>
      </c>
      <c r="F431" s="236">
        <v>11582092</v>
      </c>
    </row>
    <row r="432" spans="1:6" ht="26.25">
      <c r="A432" s="243" t="s">
        <v>560</v>
      </c>
      <c r="B432" s="234" t="s">
        <v>999</v>
      </c>
      <c r="C432" s="234" t="s">
        <v>539</v>
      </c>
      <c r="D432" s="234" t="s">
        <v>1003</v>
      </c>
      <c r="E432" s="235" t="s">
        <v>561</v>
      </c>
      <c r="F432" s="236">
        <f>7352324.33+52000</f>
        <v>7404324.33</v>
      </c>
    </row>
    <row r="433" spans="1:6" ht="26.25">
      <c r="A433" s="281" t="s">
        <v>776</v>
      </c>
      <c r="B433" s="234" t="s">
        <v>999</v>
      </c>
      <c r="C433" s="234" t="s">
        <v>539</v>
      </c>
      <c r="D433" s="234" t="s">
        <v>1003</v>
      </c>
      <c r="E433" s="235" t="s">
        <v>777</v>
      </c>
      <c r="F433" s="236">
        <v>72000</v>
      </c>
    </row>
    <row r="434" spans="1:6" ht="15">
      <c r="A434" s="276" t="s">
        <v>602</v>
      </c>
      <c r="B434" s="234" t="s">
        <v>999</v>
      </c>
      <c r="C434" s="234" t="s">
        <v>539</v>
      </c>
      <c r="D434" s="234" t="s">
        <v>1003</v>
      </c>
      <c r="E434" s="235" t="s">
        <v>603</v>
      </c>
      <c r="F434" s="236">
        <v>190900</v>
      </c>
    </row>
    <row r="435" spans="1:6" ht="26.25">
      <c r="A435" s="243" t="s">
        <v>1004</v>
      </c>
      <c r="B435" s="234" t="s">
        <v>758</v>
      </c>
      <c r="C435" s="234" t="s">
        <v>539</v>
      </c>
      <c r="D435" s="234" t="s">
        <v>1005</v>
      </c>
      <c r="E435" s="235"/>
      <c r="F435" s="236">
        <f>F436</f>
        <v>1371000</v>
      </c>
    </row>
    <row r="436" spans="1:6" ht="26.25">
      <c r="A436" s="243" t="s">
        <v>560</v>
      </c>
      <c r="B436" s="234" t="s">
        <v>758</v>
      </c>
      <c r="C436" s="234" t="s">
        <v>539</v>
      </c>
      <c r="D436" s="234" t="s">
        <v>1005</v>
      </c>
      <c r="E436" s="235" t="s">
        <v>561</v>
      </c>
      <c r="F436" s="236">
        <f>68550+1302450</f>
        <v>1371000</v>
      </c>
    </row>
    <row r="437" spans="1:6" s="250" customFormat="1" ht="39">
      <c r="A437" s="240" t="s">
        <v>1006</v>
      </c>
      <c r="B437" s="246" t="s">
        <v>999</v>
      </c>
      <c r="C437" s="246" t="s">
        <v>539</v>
      </c>
      <c r="D437" s="271" t="s">
        <v>1007</v>
      </c>
      <c r="E437" s="253"/>
      <c r="F437" s="249">
        <f>F438</f>
        <v>10716461</v>
      </c>
    </row>
    <row r="438" spans="1:6" ht="25.5">
      <c r="A438" s="255" t="s">
        <v>1008</v>
      </c>
      <c r="B438" s="234" t="s">
        <v>999</v>
      </c>
      <c r="C438" s="234" t="s">
        <v>539</v>
      </c>
      <c r="D438" s="263" t="s">
        <v>1009</v>
      </c>
      <c r="E438" s="235"/>
      <c r="F438" s="236">
        <f>F439</f>
        <v>10716461</v>
      </c>
    </row>
    <row r="439" spans="1:6" ht="26.25">
      <c r="A439" s="240" t="s">
        <v>722</v>
      </c>
      <c r="B439" s="234" t="s">
        <v>999</v>
      </c>
      <c r="C439" s="234" t="s">
        <v>539</v>
      </c>
      <c r="D439" s="263" t="s">
        <v>1010</v>
      </c>
      <c r="E439" s="235"/>
      <c r="F439" s="236">
        <f>F440+F441+F442</f>
        <v>10716461</v>
      </c>
    </row>
    <row r="440" spans="1:6" ht="39">
      <c r="A440" s="243" t="s">
        <v>548</v>
      </c>
      <c r="B440" s="234" t="s">
        <v>999</v>
      </c>
      <c r="C440" s="234" t="s">
        <v>539</v>
      </c>
      <c r="D440" s="263" t="s">
        <v>1010</v>
      </c>
      <c r="E440" s="235" t="s">
        <v>549</v>
      </c>
      <c r="F440" s="275">
        <f>8967000+185161</f>
        <v>9152161</v>
      </c>
    </row>
    <row r="441" spans="1:6" ht="26.25">
      <c r="A441" s="243" t="s">
        <v>560</v>
      </c>
      <c r="B441" s="234" t="s">
        <v>999</v>
      </c>
      <c r="C441" s="234" t="s">
        <v>539</v>
      </c>
      <c r="D441" s="263" t="s">
        <v>1010</v>
      </c>
      <c r="E441" s="235" t="s">
        <v>561</v>
      </c>
      <c r="F441" s="275">
        <f>230200+4500+72000+800000+136000+187000+130000</f>
        <v>1559700</v>
      </c>
    </row>
    <row r="442" spans="1:6" ht="15">
      <c r="A442" s="276" t="s">
        <v>602</v>
      </c>
      <c r="B442" s="234" t="s">
        <v>999</v>
      </c>
      <c r="C442" s="234" t="s">
        <v>539</v>
      </c>
      <c r="D442" s="263" t="s">
        <v>1010</v>
      </c>
      <c r="E442" s="235" t="s">
        <v>603</v>
      </c>
      <c r="F442" s="275">
        <f>2100+2500</f>
        <v>4600</v>
      </c>
    </row>
    <row r="443" spans="1:6" ht="25.5">
      <c r="A443" s="265" t="s">
        <v>1011</v>
      </c>
      <c r="B443" s="234" t="s">
        <v>999</v>
      </c>
      <c r="C443" s="234" t="s">
        <v>539</v>
      </c>
      <c r="D443" s="234" t="s">
        <v>935</v>
      </c>
      <c r="E443" s="245"/>
      <c r="F443" s="236">
        <f>F444</f>
        <v>5000</v>
      </c>
    </row>
    <row r="444" spans="1:6" ht="51">
      <c r="A444" s="254" t="s">
        <v>936</v>
      </c>
      <c r="B444" s="234" t="s">
        <v>999</v>
      </c>
      <c r="C444" s="234" t="s">
        <v>539</v>
      </c>
      <c r="D444" s="234" t="s">
        <v>937</v>
      </c>
      <c r="E444" s="245"/>
      <c r="F444" s="236">
        <f>F445</f>
        <v>5000</v>
      </c>
    </row>
    <row r="445" spans="1:6" ht="25.5">
      <c r="A445" s="264" t="s">
        <v>938</v>
      </c>
      <c r="B445" s="234" t="s">
        <v>999</v>
      </c>
      <c r="C445" s="234" t="s">
        <v>539</v>
      </c>
      <c r="D445" s="234" t="s">
        <v>939</v>
      </c>
      <c r="E445" s="245"/>
      <c r="F445" s="236">
        <f>F446</f>
        <v>5000</v>
      </c>
    </row>
    <row r="446" spans="1:6" ht="15">
      <c r="A446" s="264" t="s">
        <v>940</v>
      </c>
      <c r="B446" s="234" t="s">
        <v>999</v>
      </c>
      <c r="C446" s="234" t="s">
        <v>539</v>
      </c>
      <c r="D446" s="234" t="s">
        <v>941</v>
      </c>
      <c r="E446" s="245"/>
      <c r="F446" s="236">
        <f>F447</f>
        <v>5000</v>
      </c>
    </row>
    <row r="447" spans="1:6" ht="26.25">
      <c r="A447" s="243" t="s">
        <v>560</v>
      </c>
      <c r="B447" s="234" t="s">
        <v>999</v>
      </c>
      <c r="C447" s="234" t="s">
        <v>539</v>
      </c>
      <c r="D447" s="234" t="s">
        <v>941</v>
      </c>
      <c r="E447" s="235" t="s">
        <v>561</v>
      </c>
      <c r="F447" s="236">
        <v>5000</v>
      </c>
    </row>
    <row r="448" spans="1:6" ht="25.5">
      <c r="A448" s="303" t="s">
        <v>988</v>
      </c>
      <c r="B448" s="234" t="s">
        <v>999</v>
      </c>
      <c r="C448" s="234" t="s">
        <v>539</v>
      </c>
      <c r="D448" s="263" t="s">
        <v>989</v>
      </c>
      <c r="E448" s="235"/>
      <c r="F448" s="275">
        <f>F449</f>
        <v>100000</v>
      </c>
    </row>
    <row r="449" spans="1:6" ht="26.25">
      <c r="A449" s="243" t="s">
        <v>990</v>
      </c>
      <c r="B449" s="234" t="s">
        <v>999</v>
      </c>
      <c r="C449" s="234" t="s">
        <v>539</v>
      </c>
      <c r="D449" s="263" t="s">
        <v>991</v>
      </c>
      <c r="E449" s="235"/>
      <c r="F449" s="275">
        <f>F450</f>
        <v>100000</v>
      </c>
    </row>
    <row r="450" spans="1:6" ht="15">
      <c r="A450" s="243" t="s">
        <v>1012</v>
      </c>
      <c r="B450" s="234" t="s">
        <v>999</v>
      </c>
      <c r="C450" s="234" t="s">
        <v>539</v>
      </c>
      <c r="D450" s="244" t="s">
        <v>1013</v>
      </c>
      <c r="E450" s="235"/>
      <c r="F450" s="275">
        <f>F451</f>
        <v>100000</v>
      </c>
    </row>
    <row r="451" spans="1:6" ht="24.75">
      <c r="A451" s="304" t="s">
        <v>560</v>
      </c>
      <c r="B451" s="234" t="s">
        <v>999</v>
      </c>
      <c r="C451" s="234" t="s">
        <v>539</v>
      </c>
      <c r="D451" s="244" t="s">
        <v>1013</v>
      </c>
      <c r="E451" s="235" t="s">
        <v>561</v>
      </c>
      <c r="F451" s="275">
        <f>100000</f>
        <v>100000</v>
      </c>
    </row>
    <row r="452" spans="1:6" ht="15">
      <c r="A452" s="240" t="s">
        <v>1014</v>
      </c>
      <c r="B452" s="234" t="s">
        <v>758</v>
      </c>
      <c r="C452" s="234" t="s">
        <v>564</v>
      </c>
      <c r="D452" s="234"/>
      <c r="E452" s="235"/>
      <c r="F452" s="236">
        <f>F453</f>
        <v>4217772</v>
      </c>
    </row>
    <row r="453" spans="1:6" ht="26.25">
      <c r="A453" s="240" t="s">
        <v>996</v>
      </c>
      <c r="B453" s="234" t="s">
        <v>758</v>
      </c>
      <c r="C453" s="234" t="s">
        <v>564</v>
      </c>
      <c r="D453" s="234" t="s">
        <v>997</v>
      </c>
      <c r="E453" s="235"/>
      <c r="F453" s="236">
        <f>F454</f>
        <v>4217772</v>
      </c>
    </row>
    <row r="454" spans="1:6" ht="51.75">
      <c r="A454" s="240" t="s">
        <v>1015</v>
      </c>
      <c r="B454" s="234" t="s">
        <v>758</v>
      </c>
      <c r="C454" s="234" t="s">
        <v>564</v>
      </c>
      <c r="D454" s="234" t="s">
        <v>1016</v>
      </c>
      <c r="E454" s="235"/>
      <c r="F454" s="236">
        <f>F455+F460</f>
        <v>4217772</v>
      </c>
    </row>
    <row r="455" spans="1:6" ht="25.5">
      <c r="A455" s="305" t="s">
        <v>1017</v>
      </c>
      <c r="B455" s="234" t="s">
        <v>758</v>
      </c>
      <c r="C455" s="234" t="s">
        <v>564</v>
      </c>
      <c r="D455" s="234" t="s">
        <v>1018</v>
      </c>
      <c r="E455" s="235"/>
      <c r="F455" s="236">
        <f>F456</f>
        <v>4164900</v>
      </c>
    </row>
    <row r="456" spans="1:6" ht="26.25">
      <c r="A456" s="240" t="s">
        <v>722</v>
      </c>
      <c r="B456" s="234" t="s">
        <v>758</v>
      </c>
      <c r="C456" s="234" t="s">
        <v>564</v>
      </c>
      <c r="D456" s="234" t="s">
        <v>1019</v>
      </c>
      <c r="E456" s="235"/>
      <c r="F456" s="236">
        <f>F457+F458+F459</f>
        <v>4164900</v>
      </c>
    </row>
    <row r="457" spans="1:6" ht="39">
      <c r="A457" s="243" t="s">
        <v>548</v>
      </c>
      <c r="B457" s="234" t="s">
        <v>758</v>
      </c>
      <c r="C457" s="234" t="s">
        <v>564</v>
      </c>
      <c r="D457" s="234" t="s">
        <v>1019</v>
      </c>
      <c r="E457" s="235" t="s">
        <v>549</v>
      </c>
      <c r="F457" s="275">
        <f>3411200+207600</f>
        <v>3618800</v>
      </c>
    </row>
    <row r="458" spans="1:6" ht="26.25">
      <c r="A458" s="243" t="s">
        <v>560</v>
      </c>
      <c r="B458" s="234" t="s">
        <v>758</v>
      </c>
      <c r="C458" s="234" t="s">
        <v>564</v>
      </c>
      <c r="D458" s="234" t="s">
        <v>1019</v>
      </c>
      <c r="E458" s="235" t="s">
        <v>561</v>
      </c>
      <c r="F458" s="275">
        <f>230100-80000+15000+310000+19000+50000</f>
        <v>544100</v>
      </c>
    </row>
    <row r="459" spans="1:6" ht="15">
      <c r="A459" s="276" t="s">
        <v>602</v>
      </c>
      <c r="B459" s="234" t="s">
        <v>758</v>
      </c>
      <c r="C459" s="234" t="s">
        <v>564</v>
      </c>
      <c r="D459" s="234" t="s">
        <v>1019</v>
      </c>
      <c r="E459" s="235" t="s">
        <v>603</v>
      </c>
      <c r="F459" s="275">
        <v>2000</v>
      </c>
    </row>
    <row r="460" spans="1:6" ht="39">
      <c r="A460" s="306" t="s">
        <v>1020</v>
      </c>
      <c r="B460" s="234" t="s">
        <v>758</v>
      </c>
      <c r="C460" s="234" t="s">
        <v>564</v>
      </c>
      <c r="D460" s="234" t="s">
        <v>1021</v>
      </c>
      <c r="E460" s="235"/>
      <c r="F460" s="236">
        <f>F461</f>
        <v>52872</v>
      </c>
    </row>
    <row r="461" spans="1:6" ht="39">
      <c r="A461" s="241" t="s">
        <v>1022</v>
      </c>
      <c r="B461" s="234" t="s">
        <v>758</v>
      </c>
      <c r="C461" s="234" t="s">
        <v>564</v>
      </c>
      <c r="D461" s="234" t="s">
        <v>1023</v>
      </c>
      <c r="E461" s="235"/>
      <c r="F461" s="236">
        <f>F462</f>
        <v>52872</v>
      </c>
    </row>
    <row r="462" spans="1:6" ht="39">
      <c r="A462" s="243" t="s">
        <v>548</v>
      </c>
      <c r="B462" s="234" t="s">
        <v>758</v>
      </c>
      <c r="C462" s="234" t="s">
        <v>564</v>
      </c>
      <c r="D462" s="234" t="s">
        <v>1023</v>
      </c>
      <c r="E462" s="235" t="s">
        <v>549</v>
      </c>
      <c r="F462" s="236">
        <v>52872</v>
      </c>
    </row>
    <row r="463" spans="1:6" ht="15">
      <c r="A463" s="240" t="s">
        <v>1024</v>
      </c>
      <c r="B463" s="234" t="s">
        <v>738</v>
      </c>
      <c r="C463" s="234"/>
      <c r="D463" s="263"/>
      <c r="E463" s="270"/>
      <c r="F463" s="236">
        <f>F464</f>
        <v>500197</v>
      </c>
    </row>
    <row r="464" spans="1:6" ht="15">
      <c r="A464" s="307" t="s">
        <v>1025</v>
      </c>
      <c r="B464" s="234" t="s">
        <v>738</v>
      </c>
      <c r="C464" s="234" t="s">
        <v>627</v>
      </c>
      <c r="D464" s="234"/>
      <c r="E464" s="235"/>
      <c r="F464" s="236">
        <f>F465</f>
        <v>500197</v>
      </c>
    </row>
    <row r="465" spans="1:6" ht="15">
      <c r="A465" s="240" t="s">
        <v>604</v>
      </c>
      <c r="B465" s="234" t="s">
        <v>738</v>
      </c>
      <c r="C465" s="234" t="s">
        <v>627</v>
      </c>
      <c r="D465" s="259" t="s">
        <v>605</v>
      </c>
      <c r="E465" s="245"/>
      <c r="F465" s="236">
        <f>F466</f>
        <v>500197</v>
      </c>
    </row>
    <row r="466" spans="1:6" ht="15">
      <c r="A466" s="240" t="s">
        <v>611</v>
      </c>
      <c r="B466" s="234" t="s">
        <v>738</v>
      </c>
      <c r="C466" s="234" t="s">
        <v>627</v>
      </c>
      <c r="D466" s="234" t="s">
        <v>612</v>
      </c>
      <c r="E466" s="235"/>
      <c r="F466" s="236">
        <f>F467</f>
        <v>500197</v>
      </c>
    </row>
    <row r="467" spans="1:6" ht="25.5">
      <c r="A467" s="257" t="s">
        <v>1026</v>
      </c>
      <c r="B467" s="234" t="s">
        <v>738</v>
      </c>
      <c r="C467" s="234" t="s">
        <v>627</v>
      </c>
      <c r="D467" s="234" t="s">
        <v>1027</v>
      </c>
      <c r="E467" s="235"/>
      <c r="F467" s="236">
        <f>F468</f>
        <v>500197</v>
      </c>
    </row>
    <row r="468" spans="1:6" ht="26.25">
      <c r="A468" s="243" t="s">
        <v>560</v>
      </c>
      <c r="B468" s="234" t="s">
        <v>738</v>
      </c>
      <c r="C468" s="234" t="s">
        <v>627</v>
      </c>
      <c r="D468" s="234" t="s">
        <v>1027</v>
      </c>
      <c r="E468" s="245" t="s">
        <v>561</v>
      </c>
      <c r="F468" s="236">
        <f>5758+275126+219313</f>
        <v>500197</v>
      </c>
    </row>
    <row r="469" spans="1:6" ht="15">
      <c r="A469" s="240" t="s">
        <v>1028</v>
      </c>
      <c r="B469" s="234" t="s">
        <v>1029</v>
      </c>
      <c r="C469" s="234"/>
      <c r="D469" s="263"/>
      <c r="E469" s="270"/>
      <c r="F469" s="236">
        <f>F470+F476+F508</f>
        <v>46699106</v>
      </c>
    </row>
    <row r="470" spans="1:6" ht="15">
      <c r="A470" s="240" t="s">
        <v>1030</v>
      </c>
      <c r="B470" s="234" t="s">
        <v>1029</v>
      </c>
      <c r="C470" s="234" t="s">
        <v>539</v>
      </c>
      <c r="D470" s="234"/>
      <c r="E470" s="235"/>
      <c r="F470" s="236">
        <f>F471</f>
        <v>279600</v>
      </c>
    </row>
    <row r="471" spans="1:6" ht="26.25">
      <c r="A471" s="240" t="s">
        <v>1031</v>
      </c>
      <c r="B471" s="234" t="s">
        <v>1029</v>
      </c>
      <c r="C471" s="234" t="s">
        <v>539</v>
      </c>
      <c r="D471" s="234" t="s">
        <v>566</v>
      </c>
      <c r="E471" s="235"/>
      <c r="F471" s="236">
        <f>F472</f>
        <v>279600</v>
      </c>
    </row>
    <row r="472" spans="1:6" s="250" customFormat="1" ht="51">
      <c r="A472" s="308" t="s">
        <v>1032</v>
      </c>
      <c r="B472" s="246" t="s">
        <v>1029</v>
      </c>
      <c r="C472" s="246" t="s">
        <v>539</v>
      </c>
      <c r="D472" s="246" t="s">
        <v>644</v>
      </c>
      <c r="E472" s="253"/>
      <c r="F472" s="249">
        <f>F474</f>
        <v>279600</v>
      </c>
    </row>
    <row r="473" spans="1:6" ht="25.5">
      <c r="A473" s="269" t="s">
        <v>1033</v>
      </c>
      <c r="B473" s="234" t="s">
        <v>1029</v>
      </c>
      <c r="C473" s="234" t="s">
        <v>539</v>
      </c>
      <c r="D473" s="234" t="s">
        <v>1034</v>
      </c>
      <c r="E473" s="235"/>
      <c r="F473" s="236">
        <f>F474</f>
        <v>279600</v>
      </c>
    </row>
    <row r="474" spans="1:6" ht="25.5">
      <c r="A474" s="308" t="s">
        <v>1035</v>
      </c>
      <c r="B474" s="234" t="s">
        <v>1036</v>
      </c>
      <c r="C474" s="234" t="s">
        <v>539</v>
      </c>
      <c r="D474" s="234" t="s">
        <v>1037</v>
      </c>
      <c r="E474" s="235"/>
      <c r="F474" s="236">
        <f>F475</f>
        <v>279600</v>
      </c>
    </row>
    <row r="475" spans="1:6" ht="15">
      <c r="A475" s="276" t="s">
        <v>733</v>
      </c>
      <c r="B475" s="234" t="s">
        <v>1036</v>
      </c>
      <c r="C475" s="234" t="s">
        <v>539</v>
      </c>
      <c r="D475" s="234" t="s">
        <v>1037</v>
      </c>
      <c r="E475" s="235" t="s">
        <v>734</v>
      </c>
      <c r="F475" s="275">
        <f>148731+120169+10700</f>
        <v>279600</v>
      </c>
    </row>
    <row r="476" spans="1:6" ht="15">
      <c r="A476" s="240" t="s">
        <v>1038</v>
      </c>
      <c r="B476" s="234">
        <v>10</v>
      </c>
      <c r="C476" s="234" t="s">
        <v>551</v>
      </c>
      <c r="D476" s="234"/>
      <c r="E476" s="235"/>
      <c r="F476" s="236">
        <f>F482+F497+F477</f>
        <v>32698711</v>
      </c>
    </row>
    <row r="477" spans="1:6" ht="26.25">
      <c r="A477" s="240" t="s">
        <v>996</v>
      </c>
      <c r="B477" s="234">
        <v>10</v>
      </c>
      <c r="C477" s="234" t="s">
        <v>551</v>
      </c>
      <c r="D477" s="234" t="s">
        <v>997</v>
      </c>
      <c r="E477" s="235"/>
      <c r="F477" s="236">
        <f>F478</f>
        <v>1575907</v>
      </c>
    </row>
    <row r="478" spans="1:6" s="250" customFormat="1" ht="51.75">
      <c r="A478" s="240" t="s">
        <v>1015</v>
      </c>
      <c r="B478" s="246">
        <v>10</v>
      </c>
      <c r="C478" s="246" t="s">
        <v>551</v>
      </c>
      <c r="D478" s="246" t="s">
        <v>1016</v>
      </c>
      <c r="E478" s="253"/>
      <c r="F478" s="249">
        <f>F479</f>
        <v>1575907</v>
      </c>
    </row>
    <row r="479" spans="1:6" ht="25.5">
      <c r="A479" s="269" t="s">
        <v>1039</v>
      </c>
      <c r="B479" s="234">
        <v>10</v>
      </c>
      <c r="C479" s="234" t="s">
        <v>551</v>
      </c>
      <c r="D479" s="234" t="s">
        <v>1040</v>
      </c>
      <c r="E479" s="235"/>
      <c r="F479" s="236">
        <f>F480</f>
        <v>1575907</v>
      </c>
    </row>
    <row r="480" spans="1:6" ht="39">
      <c r="A480" s="252" t="s">
        <v>1041</v>
      </c>
      <c r="B480" s="234">
        <v>10</v>
      </c>
      <c r="C480" s="234" t="s">
        <v>551</v>
      </c>
      <c r="D480" s="259" t="s">
        <v>1042</v>
      </c>
      <c r="E480" s="235"/>
      <c r="F480" s="236">
        <f>F481</f>
        <v>1575907</v>
      </c>
    </row>
    <row r="481" spans="1:6" ht="15">
      <c r="A481" s="276" t="s">
        <v>733</v>
      </c>
      <c r="B481" s="234">
        <v>10</v>
      </c>
      <c r="C481" s="234" t="s">
        <v>551</v>
      </c>
      <c r="D481" s="259" t="s">
        <v>1042</v>
      </c>
      <c r="E481" s="235" t="s">
        <v>734</v>
      </c>
      <c r="F481" s="236">
        <v>1575907</v>
      </c>
    </row>
    <row r="482" spans="1:6" ht="39">
      <c r="A482" s="240" t="s">
        <v>1043</v>
      </c>
      <c r="B482" s="234">
        <v>10</v>
      </c>
      <c r="C482" s="234" t="s">
        <v>551</v>
      </c>
      <c r="D482" s="234" t="s">
        <v>566</v>
      </c>
      <c r="E482" s="235"/>
      <c r="F482" s="236">
        <f>F483</f>
        <v>10656796</v>
      </c>
    </row>
    <row r="483" spans="1:8" s="250" customFormat="1" ht="51">
      <c r="A483" s="262" t="s">
        <v>1044</v>
      </c>
      <c r="B483" s="246">
        <v>10</v>
      </c>
      <c r="C483" s="246" t="s">
        <v>551</v>
      </c>
      <c r="D483" s="246" t="s">
        <v>644</v>
      </c>
      <c r="E483" s="253"/>
      <c r="F483" s="249">
        <f>F484</f>
        <v>10656796</v>
      </c>
      <c r="H483" s="288"/>
    </row>
    <row r="484" spans="1:6" ht="25.5">
      <c r="A484" s="262" t="s">
        <v>1045</v>
      </c>
      <c r="B484" s="234">
        <v>10</v>
      </c>
      <c r="C484" s="234" t="s">
        <v>551</v>
      </c>
      <c r="D484" s="234" t="s">
        <v>1046</v>
      </c>
      <c r="E484" s="235"/>
      <c r="F484" s="236">
        <f>F485+F488+F491+F494</f>
        <v>10656796</v>
      </c>
    </row>
    <row r="485" spans="1:6" ht="26.25">
      <c r="A485" s="241" t="s">
        <v>1047</v>
      </c>
      <c r="B485" s="234">
        <v>10</v>
      </c>
      <c r="C485" s="234" t="s">
        <v>551</v>
      </c>
      <c r="D485" s="234" t="s">
        <v>1048</v>
      </c>
      <c r="E485" s="235"/>
      <c r="F485" s="236">
        <f>F487+F486</f>
        <v>63415</v>
      </c>
    </row>
    <row r="486" spans="1:6" ht="26.25">
      <c r="A486" s="243" t="s">
        <v>560</v>
      </c>
      <c r="B486" s="234">
        <v>10</v>
      </c>
      <c r="C486" s="234" t="s">
        <v>551</v>
      </c>
      <c r="D486" s="234" t="s">
        <v>1048</v>
      </c>
      <c r="E486" s="235" t="s">
        <v>561</v>
      </c>
      <c r="F486" s="236">
        <v>980</v>
      </c>
    </row>
    <row r="487" spans="1:6" ht="15">
      <c r="A487" s="309" t="s">
        <v>733</v>
      </c>
      <c r="B487" s="234">
        <v>10</v>
      </c>
      <c r="C487" s="234" t="s">
        <v>551</v>
      </c>
      <c r="D487" s="234" t="s">
        <v>1048</v>
      </c>
      <c r="E487" s="235" t="s">
        <v>734</v>
      </c>
      <c r="F487" s="236">
        <v>62435</v>
      </c>
    </row>
    <row r="488" spans="1:6" ht="26.25">
      <c r="A488" s="241" t="s">
        <v>1049</v>
      </c>
      <c r="B488" s="234">
        <v>10</v>
      </c>
      <c r="C488" s="234" t="s">
        <v>551</v>
      </c>
      <c r="D488" s="234" t="s">
        <v>1050</v>
      </c>
      <c r="E488" s="235"/>
      <c r="F488" s="236">
        <f>F490+F489</f>
        <v>261767</v>
      </c>
    </row>
    <row r="489" spans="1:6" ht="26.25">
      <c r="A489" s="243" t="s">
        <v>560</v>
      </c>
      <c r="B489" s="234">
        <v>10</v>
      </c>
      <c r="C489" s="234" t="s">
        <v>551</v>
      </c>
      <c r="D489" s="234" t="s">
        <v>1050</v>
      </c>
      <c r="E489" s="235" t="s">
        <v>561</v>
      </c>
      <c r="F489" s="275">
        <f>5240-100</f>
        <v>5140</v>
      </c>
    </row>
    <row r="490" spans="1:6" ht="15">
      <c r="A490" s="309" t="s">
        <v>733</v>
      </c>
      <c r="B490" s="234">
        <v>10</v>
      </c>
      <c r="C490" s="234" t="s">
        <v>551</v>
      </c>
      <c r="D490" s="234" t="s">
        <v>1050</v>
      </c>
      <c r="E490" s="235" t="s">
        <v>734</v>
      </c>
      <c r="F490" s="275">
        <f>290609-34082+100</f>
        <v>256627</v>
      </c>
    </row>
    <row r="491" spans="1:6" ht="15">
      <c r="A491" s="240" t="s">
        <v>1051</v>
      </c>
      <c r="B491" s="234">
        <v>10</v>
      </c>
      <c r="C491" s="234" t="s">
        <v>551</v>
      </c>
      <c r="D491" s="234" t="s">
        <v>1052</v>
      </c>
      <c r="E491" s="235"/>
      <c r="F491" s="236">
        <f>F493+F492</f>
        <v>9216614</v>
      </c>
    </row>
    <row r="492" spans="1:6" ht="26.25">
      <c r="A492" s="243" t="s">
        <v>560</v>
      </c>
      <c r="B492" s="234">
        <v>10</v>
      </c>
      <c r="C492" s="234" t="s">
        <v>551</v>
      </c>
      <c r="D492" s="234" t="s">
        <v>1052</v>
      </c>
      <c r="E492" s="235" t="s">
        <v>561</v>
      </c>
      <c r="F492" s="275">
        <f>148440+2700</f>
        <v>151140</v>
      </c>
    </row>
    <row r="493" spans="1:6" ht="15">
      <c r="A493" s="309" t="s">
        <v>733</v>
      </c>
      <c r="B493" s="234">
        <v>10</v>
      </c>
      <c r="C493" s="234" t="s">
        <v>551</v>
      </c>
      <c r="D493" s="234" t="s">
        <v>1052</v>
      </c>
      <c r="E493" s="235" t="s">
        <v>734</v>
      </c>
      <c r="F493" s="275">
        <f>8914137-257595+408932</f>
        <v>9065474</v>
      </c>
    </row>
    <row r="494" spans="1:6" ht="15">
      <c r="A494" s="240" t="s">
        <v>1053</v>
      </c>
      <c r="B494" s="234">
        <v>10</v>
      </c>
      <c r="C494" s="234" t="s">
        <v>551</v>
      </c>
      <c r="D494" s="234" t="s">
        <v>1054</v>
      </c>
      <c r="E494" s="235"/>
      <c r="F494" s="236">
        <f>F496+F495</f>
        <v>1115000</v>
      </c>
    </row>
    <row r="495" spans="1:6" ht="26.25">
      <c r="A495" s="243" t="s">
        <v>560</v>
      </c>
      <c r="B495" s="234">
        <v>10</v>
      </c>
      <c r="C495" s="234" t="s">
        <v>551</v>
      </c>
      <c r="D495" s="234" t="s">
        <v>1054</v>
      </c>
      <c r="E495" s="235" t="s">
        <v>561</v>
      </c>
      <c r="F495" s="275">
        <f>24490-4290</f>
        <v>20200</v>
      </c>
    </row>
    <row r="496" spans="1:6" ht="15">
      <c r="A496" s="309" t="s">
        <v>733</v>
      </c>
      <c r="B496" s="234">
        <v>10</v>
      </c>
      <c r="C496" s="234" t="s">
        <v>551</v>
      </c>
      <c r="D496" s="234" t="s">
        <v>1054</v>
      </c>
      <c r="E496" s="235" t="s">
        <v>734</v>
      </c>
      <c r="F496" s="275">
        <f>1450810-331010-25000</f>
        <v>1094800</v>
      </c>
    </row>
    <row r="497" spans="1:6" ht="26.25">
      <c r="A497" s="240" t="s">
        <v>890</v>
      </c>
      <c r="B497" s="234">
        <v>10</v>
      </c>
      <c r="C497" s="234" t="s">
        <v>551</v>
      </c>
      <c r="D497" s="234" t="s">
        <v>891</v>
      </c>
      <c r="E497" s="235"/>
      <c r="F497" s="236">
        <f>F498+F503</f>
        <v>20466008</v>
      </c>
    </row>
    <row r="498" spans="1:6" s="250" customFormat="1" ht="39">
      <c r="A498" s="233" t="s">
        <v>892</v>
      </c>
      <c r="B498" s="246">
        <v>10</v>
      </c>
      <c r="C498" s="246" t="s">
        <v>551</v>
      </c>
      <c r="D498" s="246" t="s">
        <v>893</v>
      </c>
      <c r="E498" s="253"/>
      <c r="F498" s="249">
        <f>F499</f>
        <v>19098140.37</v>
      </c>
    </row>
    <row r="499" spans="1:6" ht="25.5">
      <c r="A499" s="255" t="s">
        <v>1055</v>
      </c>
      <c r="B499" s="234">
        <v>10</v>
      </c>
      <c r="C499" s="234" t="s">
        <v>551</v>
      </c>
      <c r="D499" s="234" t="s">
        <v>1056</v>
      </c>
      <c r="E499" s="235"/>
      <c r="F499" s="236">
        <f>F500</f>
        <v>19098140.37</v>
      </c>
    </row>
    <row r="500" spans="1:6" ht="51.75">
      <c r="A500" s="252" t="s">
        <v>1057</v>
      </c>
      <c r="B500" s="234">
        <v>10</v>
      </c>
      <c r="C500" s="234" t="s">
        <v>551</v>
      </c>
      <c r="D500" s="234" t="s">
        <v>1058</v>
      </c>
      <c r="E500" s="235"/>
      <c r="F500" s="236">
        <f>F501+F502</f>
        <v>19098140.37</v>
      </c>
    </row>
    <row r="501" spans="1:6" ht="26.25">
      <c r="A501" s="243" t="s">
        <v>560</v>
      </c>
      <c r="B501" s="234">
        <v>10</v>
      </c>
      <c r="C501" s="234" t="s">
        <v>551</v>
      </c>
      <c r="D501" s="234" t="s">
        <v>1058</v>
      </c>
      <c r="E501" s="235" t="s">
        <v>561</v>
      </c>
      <c r="F501" s="236"/>
    </row>
    <row r="502" spans="1:6" ht="15">
      <c r="A502" s="309" t="s">
        <v>733</v>
      </c>
      <c r="B502" s="234">
        <v>10</v>
      </c>
      <c r="C502" s="234" t="s">
        <v>551</v>
      </c>
      <c r="D502" s="234" t="s">
        <v>1058</v>
      </c>
      <c r="E502" s="235" t="s">
        <v>734</v>
      </c>
      <c r="F502" s="275">
        <f>18966008+132132.37</f>
        <v>19098140.37</v>
      </c>
    </row>
    <row r="503" spans="1:6" s="250" customFormat="1" ht="51.75">
      <c r="A503" s="243" t="s">
        <v>943</v>
      </c>
      <c r="B503" s="246">
        <v>10</v>
      </c>
      <c r="C503" s="246" t="s">
        <v>551</v>
      </c>
      <c r="D503" s="246" t="s">
        <v>944</v>
      </c>
      <c r="E503" s="253"/>
      <c r="F503" s="249">
        <f>F504</f>
        <v>1367867.63</v>
      </c>
    </row>
    <row r="504" spans="1:6" ht="25.5">
      <c r="A504" s="310" t="s">
        <v>1059</v>
      </c>
      <c r="B504" s="234">
        <v>10</v>
      </c>
      <c r="C504" s="234" t="s">
        <v>551</v>
      </c>
      <c r="D504" s="234" t="s">
        <v>1060</v>
      </c>
      <c r="E504" s="235"/>
      <c r="F504" s="236">
        <f>F505</f>
        <v>1367867.63</v>
      </c>
    </row>
    <row r="505" spans="1:6" ht="51.75">
      <c r="A505" s="292" t="s">
        <v>1061</v>
      </c>
      <c r="B505" s="234">
        <v>10</v>
      </c>
      <c r="C505" s="234" t="s">
        <v>551</v>
      </c>
      <c r="D505" s="234" t="s">
        <v>1062</v>
      </c>
      <c r="E505" s="235"/>
      <c r="F505" s="236">
        <f>F507</f>
        <v>1367867.63</v>
      </c>
    </row>
    <row r="506" spans="1:6" ht="26.25">
      <c r="A506" s="243" t="s">
        <v>560</v>
      </c>
      <c r="B506" s="234">
        <v>10</v>
      </c>
      <c r="C506" s="234" t="s">
        <v>551</v>
      </c>
      <c r="D506" s="234" t="s">
        <v>1062</v>
      </c>
      <c r="E506" s="235" t="s">
        <v>561</v>
      </c>
      <c r="F506" s="236"/>
    </row>
    <row r="507" spans="1:6" ht="15">
      <c r="A507" s="309" t="s">
        <v>733</v>
      </c>
      <c r="B507" s="234">
        <v>10</v>
      </c>
      <c r="C507" s="234" t="s">
        <v>551</v>
      </c>
      <c r="D507" s="234" t="s">
        <v>1062</v>
      </c>
      <c r="E507" s="235" t="s">
        <v>734</v>
      </c>
      <c r="F507" s="311">
        <f>400000+1100000-132132.37</f>
        <v>1367867.63</v>
      </c>
    </row>
    <row r="508" spans="1:6" ht="15">
      <c r="A508" s="240" t="s">
        <v>1063</v>
      </c>
      <c r="B508" s="234">
        <v>10</v>
      </c>
      <c r="C508" s="234" t="s">
        <v>564</v>
      </c>
      <c r="D508" s="234"/>
      <c r="E508" s="235"/>
      <c r="F508" s="236">
        <f>F519+F509</f>
        <v>13720795</v>
      </c>
    </row>
    <row r="509" spans="1:6" ht="26.25">
      <c r="A509" s="240" t="s">
        <v>642</v>
      </c>
      <c r="B509" s="234">
        <v>10</v>
      </c>
      <c r="C509" s="234" t="s">
        <v>564</v>
      </c>
      <c r="D509" s="312" t="s">
        <v>566</v>
      </c>
      <c r="E509" s="235"/>
      <c r="F509" s="236">
        <f>F515+F510</f>
        <v>11377205</v>
      </c>
    </row>
    <row r="510" spans="1:6" ht="51">
      <c r="A510" s="262" t="s">
        <v>1044</v>
      </c>
      <c r="B510" s="234">
        <v>10</v>
      </c>
      <c r="C510" s="234" t="s">
        <v>564</v>
      </c>
      <c r="D510" s="246" t="s">
        <v>644</v>
      </c>
      <c r="E510" s="253"/>
      <c r="F510" s="249">
        <f>F511</f>
        <v>1404078</v>
      </c>
    </row>
    <row r="511" spans="1:6" ht="25.5">
      <c r="A511" s="262" t="s">
        <v>1045</v>
      </c>
      <c r="B511" s="234">
        <v>10</v>
      </c>
      <c r="C511" s="234" t="s">
        <v>564</v>
      </c>
      <c r="D511" s="234" t="s">
        <v>1046</v>
      </c>
      <c r="E511" s="235"/>
      <c r="F511" s="236">
        <f>F512</f>
        <v>1404078</v>
      </c>
    </row>
    <row r="512" spans="1:6" ht="15">
      <c r="A512" s="240" t="s">
        <v>1064</v>
      </c>
      <c r="B512" s="234">
        <v>10</v>
      </c>
      <c r="C512" s="234" t="s">
        <v>564</v>
      </c>
      <c r="D512" s="234" t="s">
        <v>1065</v>
      </c>
      <c r="E512" s="235"/>
      <c r="F512" s="236">
        <f>F514+F513</f>
        <v>1404078</v>
      </c>
    </row>
    <row r="513" spans="1:6" ht="26.25">
      <c r="A513" s="243" t="s">
        <v>560</v>
      </c>
      <c r="B513" s="234">
        <v>10</v>
      </c>
      <c r="C513" s="234" t="s">
        <v>564</v>
      </c>
      <c r="D513" s="234" t="s">
        <v>1065</v>
      </c>
      <c r="E513" s="235" t="s">
        <v>561</v>
      </c>
      <c r="F513" s="236">
        <v>280</v>
      </c>
    </row>
    <row r="514" spans="1:6" ht="15">
      <c r="A514" s="309" t="s">
        <v>733</v>
      </c>
      <c r="B514" s="234">
        <v>10</v>
      </c>
      <c r="C514" s="234" t="s">
        <v>564</v>
      </c>
      <c r="D514" s="234" t="s">
        <v>1065</v>
      </c>
      <c r="E514" s="235" t="s">
        <v>734</v>
      </c>
      <c r="F514" s="236">
        <f>1556604-152806</f>
        <v>1403798</v>
      </c>
    </row>
    <row r="515" spans="1:6" ht="51">
      <c r="A515" s="266" t="s">
        <v>1066</v>
      </c>
      <c r="B515" s="234">
        <v>10</v>
      </c>
      <c r="C515" s="234" t="s">
        <v>564</v>
      </c>
      <c r="D515" s="234" t="s">
        <v>568</v>
      </c>
      <c r="E515" s="235"/>
      <c r="F515" s="236">
        <f>F517</f>
        <v>9973127</v>
      </c>
    </row>
    <row r="516" spans="1:6" ht="38.25">
      <c r="A516" s="255" t="s">
        <v>1067</v>
      </c>
      <c r="B516" s="234">
        <v>10</v>
      </c>
      <c r="C516" s="234" t="s">
        <v>564</v>
      </c>
      <c r="D516" s="234" t="s">
        <v>1068</v>
      </c>
      <c r="E516" s="235"/>
      <c r="F516" s="236">
        <f>F517</f>
        <v>9973127</v>
      </c>
    </row>
    <row r="517" spans="1:6" ht="26.25">
      <c r="A517" s="241" t="s">
        <v>1069</v>
      </c>
      <c r="B517" s="234">
        <v>10</v>
      </c>
      <c r="C517" s="234" t="s">
        <v>564</v>
      </c>
      <c r="D517" s="234" t="s">
        <v>1070</v>
      </c>
      <c r="E517" s="235"/>
      <c r="F517" s="236">
        <f>F518</f>
        <v>9973127</v>
      </c>
    </row>
    <row r="518" spans="1:6" ht="15">
      <c r="A518" s="309" t="s">
        <v>733</v>
      </c>
      <c r="B518" s="234">
        <v>10</v>
      </c>
      <c r="C518" s="234" t="s">
        <v>564</v>
      </c>
      <c r="D518" s="234" t="s">
        <v>1070</v>
      </c>
      <c r="E518" s="235" t="s">
        <v>734</v>
      </c>
      <c r="F518" s="275">
        <f>9054167+918960</f>
        <v>9973127</v>
      </c>
    </row>
    <row r="519" spans="1:6" ht="26.25">
      <c r="A519" s="240" t="s">
        <v>1071</v>
      </c>
      <c r="B519" s="234">
        <v>10</v>
      </c>
      <c r="C519" s="234" t="s">
        <v>564</v>
      </c>
      <c r="D519" s="312" t="s">
        <v>891</v>
      </c>
      <c r="E519" s="235"/>
      <c r="F519" s="236">
        <f>F520</f>
        <v>2343590</v>
      </c>
    </row>
    <row r="520" spans="1:6" s="250" customFormat="1" ht="39">
      <c r="A520" s="233" t="s">
        <v>892</v>
      </c>
      <c r="B520" s="246">
        <v>10</v>
      </c>
      <c r="C520" s="246" t="s">
        <v>564</v>
      </c>
      <c r="D520" s="313" t="s">
        <v>893</v>
      </c>
      <c r="E520" s="253"/>
      <c r="F520" s="249">
        <f>F522</f>
        <v>2343590</v>
      </c>
    </row>
    <row r="521" spans="1:6" ht="25.5">
      <c r="A521" s="255" t="s">
        <v>894</v>
      </c>
      <c r="B521" s="234">
        <v>10</v>
      </c>
      <c r="C521" s="234" t="s">
        <v>564</v>
      </c>
      <c r="D521" s="312" t="s">
        <v>895</v>
      </c>
      <c r="E521" s="235"/>
      <c r="F521" s="236">
        <f>F522</f>
        <v>2343590</v>
      </c>
    </row>
    <row r="522" spans="1:6" ht="15">
      <c r="A522" s="314" t="s">
        <v>1072</v>
      </c>
      <c r="B522" s="234">
        <v>10</v>
      </c>
      <c r="C522" s="234" t="s">
        <v>564</v>
      </c>
      <c r="D522" s="312" t="s">
        <v>1073</v>
      </c>
      <c r="E522" s="235"/>
      <c r="F522" s="236">
        <f>F523</f>
        <v>2343590</v>
      </c>
    </row>
    <row r="523" spans="1:6" ht="15">
      <c r="A523" s="309" t="s">
        <v>733</v>
      </c>
      <c r="B523" s="234">
        <v>10</v>
      </c>
      <c r="C523" s="234" t="s">
        <v>564</v>
      </c>
      <c r="D523" s="312" t="s">
        <v>1073</v>
      </c>
      <c r="E523" s="235" t="s">
        <v>734</v>
      </c>
      <c r="F523" s="275">
        <f>2080810+262780</f>
        <v>2343590</v>
      </c>
    </row>
    <row r="524" spans="1:6" ht="15">
      <c r="A524" s="240" t="s">
        <v>1074</v>
      </c>
      <c r="B524" s="234" t="s">
        <v>633</v>
      </c>
      <c r="C524" s="234"/>
      <c r="D524" s="234"/>
      <c r="E524" s="235"/>
      <c r="F524" s="236">
        <f aca="true" t="shared" si="0" ref="F524:F529">F525</f>
        <v>461440</v>
      </c>
    </row>
    <row r="525" spans="1:6" ht="15">
      <c r="A525" s="240" t="s">
        <v>1075</v>
      </c>
      <c r="B525" s="234" t="s">
        <v>633</v>
      </c>
      <c r="C525" s="234" t="s">
        <v>539</v>
      </c>
      <c r="D525" s="234"/>
      <c r="E525" s="235"/>
      <c r="F525" s="236">
        <f t="shared" si="0"/>
        <v>461440</v>
      </c>
    </row>
    <row r="526" spans="1:6" ht="51">
      <c r="A526" s="255" t="s">
        <v>952</v>
      </c>
      <c r="B526" s="234" t="s">
        <v>633</v>
      </c>
      <c r="C526" s="234" t="s">
        <v>539</v>
      </c>
      <c r="D526" s="263" t="s">
        <v>953</v>
      </c>
      <c r="E526" s="235"/>
      <c r="F526" s="236">
        <f t="shared" si="0"/>
        <v>461440</v>
      </c>
    </row>
    <row r="527" spans="1:6" s="250" customFormat="1" ht="63.75">
      <c r="A527" s="266" t="s">
        <v>1076</v>
      </c>
      <c r="B527" s="246" t="s">
        <v>633</v>
      </c>
      <c r="C527" s="246" t="s">
        <v>539</v>
      </c>
      <c r="D527" s="271" t="s">
        <v>1077</v>
      </c>
      <c r="E527" s="253"/>
      <c r="F527" s="249">
        <f>F528+F531</f>
        <v>461440</v>
      </c>
    </row>
    <row r="528" spans="1:6" ht="38.25">
      <c r="A528" s="266" t="s">
        <v>1078</v>
      </c>
      <c r="B528" s="234" t="s">
        <v>633</v>
      </c>
      <c r="C528" s="234" t="s">
        <v>539</v>
      </c>
      <c r="D528" s="263" t="s">
        <v>1079</v>
      </c>
      <c r="E528" s="235"/>
      <c r="F528" s="236">
        <f t="shared" si="0"/>
        <v>150000</v>
      </c>
    </row>
    <row r="529" spans="1:6" ht="39">
      <c r="A529" s="240" t="s">
        <v>1080</v>
      </c>
      <c r="B529" s="234" t="s">
        <v>633</v>
      </c>
      <c r="C529" s="234" t="s">
        <v>539</v>
      </c>
      <c r="D529" s="263" t="s">
        <v>1081</v>
      </c>
      <c r="E529" s="235"/>
      <c r="F529" s="236">
        <f t="shared" si="0"/>
        <v>150000</v>
      </c>
    </row>
    <row r="530" spans="1:6" ht="26.25">
      <c r="A530" s="243" t="s">
        <v>560</v>
      </c>
      <c r="B530" s="234" t="s">
        <v>633</v>
      </c>
      <c r="C530" s="234" t="s">
        <v>539</v>
      </c>
      <c r="D530" s="263" t="s">
        <v>1081</v>
      </c>
      <c r="E530" s="235" t="s">
        <v>561</v>
      </c>
      <c r="F530" s="236">
        <f>100000+50000</f>
        <v>150000</v>
      </c>
    </row>
    <row r="531" spans="1:6" ht="25.5">
      <c r="A531" s="266" t="s">
        <v>1082</v>
      </c>
      <c r="B531" s="234" t="s">
        <v>633</v>
      </c>
      <c r="C531" s="234" t="s">
        <v>539</v>
      </c>
      <c r="D531" s="263" t="s">
        <v>1083</v>
      </c>
      <c r="E531" s="235"/>
      <c r="F531" s="236">
        <f>F532</f>
        <v>311440</v>
      </c>
    </row>
    <row r="532" spans="1:6" ht="26.25">
      <c r="A532" s="240" t="s">
        <v>722</v>
      </c>
      <c r="B532" s="234" t="s">
        <v>633</v>
      </c>
      <c r="C532" s="234" t="s">
        <v>539</v>
      </c>
      <c r="D532" s="263" t="s">
        <v>1084</v>
      </c>
      <c r="E532" s="235"/>
      <c r="F532" s="236">
        <f>F534+F533+F535</f>
        <v>311440</v>
      </c>
    </row>
    <row r="533" spans="1:6" ht="39">
      <c r="A533" s="243" t="s">
        <v>548</v>
      </c>
      <c r="B533" s="234" t="s">
        <v>633</v>
      </c>
      <c r="C533" s="234" t="s">
        <v>539</v>
      </c>
      <c r="D533" s="263" t="s">
        <v>1084</v>
      </c>
      <c r="E533" s="235" t="s">
        <v>549</v>
      </c>
      <c r="F533" s="275">
        <f>92350+27890+19000</f>
        <v>139240</v>
      </c>
    </row>
    <row r="534" spans="1:6" ht="26.25">
      <c r="A534" s="243" t="s">
        <v>560</v>
      </c>
      <c r="B534" s="234" t="s">
        <v>633</v>
      </c>
      <c r="C534" s="234" t="s">
        <v>539</v>
      </c>
      <c r="D534" s="263" t="s">
        <v>1084</v>
      </c>
      <c r="E534" s="235" t="s">
        <v>561</v>
      </c>
      <c r="F534" s="275">
        <f>115000+160200-103000</f>
        <v>172200</v>
      </c>
    </row>
    <row r="535" spans="1:6" ht="15">
      <c r="A535" s="276" t="s">
        <v>602</v>
      </c>
      <c r="B535" s="234" t="s">
        <v>633</v>
      </c>
      <c r="C535" s="234" t="s">
        <v>539</v>
      </c>
      <c r="D535" s="263" t="s">
        <v>1084</v>
      </c>
      <c r="E535" s="235" t="s">
        <v>603</v>
      </c>
      <c r="F535" s="236"/>
    </row>
    <row r="536" spans="1:6" ht="15">
      <c r="A536" s="240" t="s">
        <v>1085</v>
      </c>
      <c r="B536" s="234" t="s">
        <v>641</v>
      </c>
      <c r="C536" s="234"/>
      <c r="D536" s="234"/>
      <c r="E536" s="235"/>
      <c r="F536" s="236">
        <f>F537</f>
        <v>9602.76</v>
      </c>
    </row>
    <row r="537" spans="1:6" ht="15">
      <c r="A537" s="240" t="s">
        <v>1086</v>
      </c>
      <c r="B537" s="234" t="s">
        <v>641</v>
      </c>
      <c r="C537" s="234" t="s">
        <v>539</v>
      </c>
      <c r="D537" s="234"/>
      <c r="E537" s="235"/>
      <c r="F537" s="236">
        <f>F538</f>
        <v>9602.76</v>
      </c>
    </row>
    <row r="538" spans="1:6" ht="63.75">
      <c r="A538" s="254" t="s">
        <v>1087</v>
      </c>
      <c r="B538" s="234" t="s">
        <v>641</v>
      </c>
      <c r="C538" s="234" t="s">
        <v>539</v>
      </c>
      <c r="D538" s="259" t="s">
        <v>1088</v>
      </c>
      <c r="E538" s="235"/>
      <c r="F538" s="236">
        <f>F539</f>
        <v>9602.76</v>
      </c>
    </row>
    <row r="539" spans="1:6" s="250" customFormat="1" ht="51.75">
      <c r="A539" s="233" t="s">
        <v>1089</v>
      </c>
      <c r="B539" s="246" t="s">
        <v>641</v>
      </c>
      <c r="C539" s="246" t="s">
        <v>539</v>
      </c>
      <c r="D539" s="259" t="s">
        <v>1090</v>
      </c>
      <c r="E539" s="253"/>
      <c r="F539" s="249">
        <f>F541</f>
        <v>9602.76</v>
      </c>
    </row>
    <row r="540" spans="1:6" s="250" customFormat="1" ht="39">
      <c r="A540" s="233" t="s">
        <v>1091</v>
      </c>
      <c r="B540" s="234" t="s">
        <v>641</v>
      </c>
      <c r="C540" s="234" t="s">
        <v>539</v>
      </c>
      <c r="D540" s="259" t="s">
        <v>1092</v>
      </c>
      <c r="E540" s="253"/>
      <c r="F540" s="249">
        <f>F541</f>
        <v>9602.76</v>
      </c>
    </row>
    <row r="541" spans="1:6" ht="15">
      <c r="A541" s="240" t="s">
        <v>1093</v>
      </c>
      <c r="B541" s="234" t="s">
        <v>641</v>
      </c>
      <c r="C541" s="234" t="s">
        <v>539</v>
      </c>
      <c r="D541" s="259" t="s">
        <v>1094</v>
      </c>
      <c r="E541" s="235"/>
      <c r="F541" s="236">
        <f>F542</f>
        <v>9602.76</v>
      </c>
    </row>
    <row r="542" spans="1:6" ht="15">
      <c r="A542" s="233" t="s">
        <v>1095</v>
      </c>
      <c r="B542" s="234" t="s">
        <v>641</v>
      </c>
      <c r="C542" s="234" t="s">
        <v>539</v>
      </c>
      <c r="D542" s="259" t="s">
        <v>1094</v>
      </c>
      <c r="E542" s="235" t="s">
        <v>1096</v>
      </c>
      <c r="F542" s="236">
        <v>9602.76</v>
      </c>
    </row>
    <row r="543" spans="1:6" ht="26.25">
      <c r="A543" s="240" t="s">
        <v>1097</v>
      </c>
      <c r="B543" s="234" t="s">
        <v>1098</v>
      </c>
      <c r="C543" s="234"/>
      <c r="D543" s="234"/>
      <c r="E543" s="235"/>
      <c r="F543" s="236">
        <f aca="true" t="shared" si="1" ref="F543:F548">F544</f>
        <v>7768331</v>
      </c>
    </row>
    <row r="544" spans="1:6" ht="26.25">
      <c r="A544" s="240" t="s">
        <v>1099</v>
      </c>
      <c r="B544" s="234" t="s">
        <v>1098</v>
      </c>
      <c r="C544" s="234" t="s">
        <v>539</v>
      </c>
      <c r="D544" s="234"/>
      <c r="E544" s="235"/>
      <c r="F544" s="236">
        <f t="shared" si="1"/>
        <v>7768331</v>
      </c>
    </row>
    <row r="545" spans="1:6" ht="63.75">
      <c r="A545" s="254" t="s">
        <v>1100</v>
      </c>
      <c r="B545" s="234" t="s">
        <v>1098</v>
      </c>
      <c r="C545" s="234" t="s">
        <v>539</v>
      </c>
      <c r="D545" s="234" t="s">
        <v>1088</v>
      </c>
      <c r="E545" s="235"/>
      <c r="F545" s="236">
        <f t="shared" si="1"/>
        <v>7768331</v>
      </c>
    </row>
    <row r="546" spans="1:6" s="250" customFormat="1" ht="51.75">
      <c r="A546" s="233" t="s">
        <v>1101</v>
      </c>
      <c r="B546" s="246" t="s">
        <v>1098</v>
      </c>
      <c r="C546" s="246" t="s">
        <v>539</v>
      </c>
      <c r="D546" s="246" t="s">
        <v>1102</v>
      </c>
      <c r="E546" s="253"/>
      <c r="F546" s="249">
        <f t="shared" si="1"/>
        <v>7768331</v>
      </c>
    </row>
    <row r="547" spans="1:6" ht="25.5">
      <c r="A547" s="254" t="s">
        <v>1103</v>
      </c>
      <c r="B547" s="234" t="s">
        <v>1098</v>
      </c>
      <c r="C547" s="234" t="s">
        <v>539</v>
      </c>
      <c r="D547" s="234" t="s">
        <v>1104</v>
      </c>
      <c r="E547" s="235"/>
      <c r="F547" s="236">
        <f t="shared" si="1"/>
        <v>7768331</v>
      </c>
    </row>
    <row r="548" spans="1:6" ht="39">
      <c r="A548" s="252" t="s">
        <v>1105</v>
      </c>
      <c r="B548" s="234" t="s">
        <v>1098</v>
      </c>
      <c r="C548" s="234" t="s">
        <v>539</v>
      </c>
      <c r="D548" s="234" t="s">
        <v>1106</v>
      </c>
      <c r="E548" s="235"/>
      <c r="F548" s="236">
        <f t="shared" si="1"/>
        <v>7768331</v>
      </c>
    </row>
    <row r="549" spans="1:6" ht="15.75" thickBot="1">
      <c r="A549" s="315" t="s">
        <v>720</v>
      </c>
      <c r="B549" s="316" t="s">
        <v>1098</v>
      </c>
      <c r="C549" s="316" t="s">
        <v>539</v>
      </c>
      <c r="D549" s="316" t="s">
        <v>1106</v>
      </c>
      <c r="E549" s="317" t="s">
        <v>721</v>
      </c>
      <c r="F549" s="318">
        <v>7768331</v>
      </c>
    </row>
    <row r="550" spans="2:6" ht="15">
      <c r="B550" s="319"/>
      <c r="C550" s="319"/>
      <c r="D550" s="319"/>
      <c r="E550" s="320"/>
      <c r="F550" s="321"/>
    </row>
    <row r="551" spans="2:6" ht="15">
      <c r="B551" s="319"/>
      <c r="C551" s="319"/>
      <c r="D551" s="319"/>
      <c r="E551" s="320"/>
      <c r="F551" s="321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4" r:id="rId1" display="consultantplus://offline/ref=C6EF3AE28B6C46D1117CBBA251A07B11C6C7C5768D606C8B0E322DA1BBA42282C9440EEF08E6CC43400230U6VFM"/>
  </hyperlinks>
  <printOptions/>
  <pageMargins left="0.7086614173228347" right="0.2" top="0.43" bottom="0.33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4"/>
  <sheetViews>
    <sheetView zoomScalePageLayoutView="0" workbookViewId="0" topLeftCell="C583">
      <selection activeCell="J591" sqref="J591"/>
    </sheetView>
  </sheetViews>
  <sheetFormatPr defaultColWidth="9.00390625" defaultRowHeight="12.75"/>
  <cols>
    <col min="1" max="1" width="64.875" style="218" customWidth="1"/>
    <col min="2" max="2" width="5.125" style="224" customWidth="1"/>
    <col min="3" max="3" width="4.875" style="224" customWidth="1"/>
    <col min="4" max="4" width="5.00390625" style="224" customWidth="1"/>
    <col min="5" max="5" width="17.125" style="224" customWidth="1"/>
    <col min="6" max="6" width="5.25390625" style="322" customWidth="1"/>
    <col min="7" max="7" width="16.75390625" style="321" hidden="1" customWidth="1"/>
    <col min="8" max="8" width="13.75390625" style="331" hidden="1" customWidth="1"/>
    <col min="9" max="9" width="18.75390625" style="321" customWidth="1"/>
    <col min="10" max="10" width="15.375" style="214" bestFit="1" customWidth="1"/>
    <col min="11" max="11" width="20.00390625" style="214" customWidth="1"/>
    <col min="12" max="12" width="13.875" style="214" bestFit="1" customWidth="1"/>
    <col min="13" max="16384" width="9.125" style="214" customWidth="1"/>
  </cols>
  <sheetData>
    <row r="1" spans="2:8" ht="15">
      <c r="B1" s="215" t="s">
        <v>1107</v>
      </c>
      <c r="D1" s="215"/>
      <c r="E1" s="215"/>
      <c r="F1" s="216"/>
      <c r="H1" s="324"/>
    </row>
    <row r="2" spans="2:8" ht="15.75" customHeight="1">
      <c r="B2" s="215" t="s">
        <v>520</v>
      </c>
      <c r="C2" s="215"/>
      <c r="D2" s="215"/>
      <c r="E2" s="215"/>
      <c r="F2" s="216"/>
      <c r="H2" s="325"/>
    </row>
    <row r="3" spans="2:8" ht="15.75">
      <c r="B3" s="221" t="s">
        <v>521</v>
      </c>
      <c r="C3" s="221"/>
      <c r="D3" s="221"/>
      <c r="E3" s="326"/>
      <c r="F3" s="222"/>
      <c r="H3" s="325"/>
    </row>
    <row r="4" spans="1:8" ht="14.25" customHeight="1">
      <c r="A4" s="327"/>
      <c r="B4" s="221" t="s">
        <v>1108</v>
      </c>
      <c r="C4" s="221"/>
      <c r="D4" s="221"/>
      <c r="E4" s="326"/>
      <c r="F4" s="222"/>
      <c r="H4" s="325"/>
    </row>
    <row r="5" spans="1:9" ht="30" customHeight="1">
      <c r="A5" s="328"/>
      <c r="B5" s="446" t="s">
        <v>1109</v>
      </c>
      <c r="C5" s="446"/>
      <c r="D5" s="446"/>
      <c r="E5" s="446"/>
      <c r="F5" s="446"/>
      <c r="G5" s="446"/>
      <c r="H5" s="446"/>
      <c r="I5" s="446"/>
    </row>
    <row r="6" spans="1:9" ht="27" customHeight="1">
      <c r="A6" s="328"/>
      <c r="B6" s="430" t="s">
        <v>1110</v>
      </c>
      <c r="C6" s="430"/>
      <c r="D6" s="430"/>
      <c r="E6" s="430"/>
      <c r="F6" s="430"/>
      <c r="G6" s="430"/>
      <c r="H6" s="430"/>
      <c r="I6" s="430"/>
    </row>
    <row r="7" spans="1:9" ht="12.75">
      <c r="A7" s="328"/>
      <c r="B7" s="223"/>
      <c r="C7" s="223"/>
      <c r="D7" s="223"/>
      <c r="E7" s="223"/>
      <c r="F7" s="223"/>
      <c r="G7" s="329"/>
      <c r="H7" s="223"/>
      <c r="I7" s="223"/>
    </row>
    <row r="8" spans="1:9" ht="41.25" customHeight="1">
      <c r="A8" s="447" t="s">
        <v>1111</v>
      </c>
      <c r="B8" s="447"/>
      <c r="C8" s="447"/>
      <c r="D8" s="447"/>
      <c r="E8" s="447"/>
      <c r="F8" s="447"/>
      <c r="G8" s="447"/>
      <c r="H8" s="447"/>
      <c r="I8" s="447"/>
    </row>
    <row r="9" spans="6:9" ht="18.75" customHeight="1" thickBot="1">
      <c r="F9" s="225"/>
      <c r="G9" s="330"/>
      <c r="I9" s="226" t="s">
        <v>526</v>
      </c>
    </row>
    <row r="10" spans="1:11" ht="27.75" customHeight="1">
      <c r="A10" s="432" t="s">
        <v>527</v>
      </c>
      <c r="B10" s="434" t="s">
        <v>1112</v>
      </c>
      <c r="C10" s="434" t="s">
        <v>528</v>
      </c>
      <c r="D10" s="434" t="s">
        <v>529</v>
      </c>
      <c r="E10" s="436" t="s">
        <v>530</v>
      </c>
      <c r="F10" s="436" t="s">
        <v>531</v>
      </c>
      <c r="G10" s="440" t="s">
        <v>1113</v>
      </c>
      <c r="H10" s="442" t="s">
        <v>1114</v>
      </c>
      <c r="I10" s="444" t="s">
        <v>532</v>
      </c>
      <c r="K10" s="238"/>
    </row>
    <row r="11" spans="1:9" ht="3.75" customHeight="1" thickBot="1">
      <c r="A11" s="433"/>
      <c r="B11" s="435"/>
      <c r="C11" s="435"/>
      <c r="D11" s="435"/>
      <c r="E11" s="437"/>
      <c r="F11" s="437"/>
      <c r="G11" s="441"/>
      <c r="H11" s="443"/>
      <c r="I11" s="445"/>
    </row>
    <row r="12" spans="1:9" s="232" customFormat="1" ht="12.75" customHeight="1">
      <c r="A12" s="332">
        <v>1</v>
      </c>
      <c r="B12" s="229">
        <v>2</v>
      </c>
      <c r="C12" s="229" t="s">
        <v>534</v>
      </c>
      <c r="D12" s="229" t="s">
        <v>535</v>
      </c>
      <c r="E12" s="230" t="s">
        <v>536</v>
      </c>
      <c r="F12" s="230" t="s">
        <v>1115</v>
      </c>
      <c r="G12" s="333"/>
      <c r="H12" s="334"/>
      <c r="I12" s="335" t="s">
        <v>1116</v>
      </c>
    </row>
    <row r="13" spans="1:12" s="237" customFormat="1" ht="20.25">
      <c r="A13" s="336" t="s">
        <v>537</v>
      </c>
      <c r="B13" s="234"/>
      <c r="C13" s="234"/>
      <c r="D13" s="234"/>
      <c r="E13" s="234"/>
      <c r="F13" s="235"/>
      <c r="G13" s="275">
        <f>G14+G393+G554</f>
        <v>703835484.2199999</v>
      </c>
      <c r="H13" s="275">
        <f>H14+H393+H554</f>
        <v>17437130.47</v>
      </c>
      <c r="I13" s="236">
        <f>G13+H13</f>
        <v>721272614.6899999</v>
      </c>
      <c r="J13" s="214"/>
      <c r="L13" s="239"/>
    </row>
    <row r="14" spans="1:10" ht="16.5" customHeight="1">
      <c r="A14" s="336" t="s">
        <v>1117</v>
      </c>
      <c r="B14" s="234" t="s">
        <v>1118</v>
      </c>
      <c r="C14" s="234"/>
      <c r="D14" s="234"/>
      <c r="E14" s="234"/>
      <c r="F14" s="235"/>
      <c r="G14" s="275">
        <f>G15+G178+G194+G264+G313+G329+G337+G366+G379+G386+G307</f>
        <v>205996364.77999997</v>
      </c>
      <c r="H14" s="275">
        <f>H15+H178+H194+H264+H313+H329+H337+H366+H379+H386+H307</f>
        <v>150000</v>
      </c>
      <c r="I14" s="236">
        <f>G14+H14</f>
        <v>206146364.77999997</v>
      </c>
      <c r="J14" s="242"/>
    </row>
    <row r="15" spans="1:11" ht="15">
      <c r="A15" s="240" t="s">
        <v>538</v>
      </c>
      <c r="B15" s="234" t="s">
        <v>1118</v>
      </c>
      <c r="C15" s="234" t="s">
        <v>539</v>
      </c>
      <c r="D15" s="234"/>
      <c r="E15" s="234"/>
      <c r="F15" s="235"/>
      <c r="G15" s="275">
        <f>G16+G21+G30+G88+G93+G76+G71+G83</f>
        <v>129111617.2</v>
      </c>
      <c r="H15" s="337"/>
      <c r="I15" s="236">
        <f aca="true" t="shared" si="0" ref="I15:I90">G15+H15</f>
        <v>129111617.2</v>
      </c>
      <c r="K15" s="242"/>
    </row>
    <row r="16" spans="1:9" ht="28.5" customHeight="1">
      <c r="A16" s="241" t="s">
        <v>540</v>
      </c>
      <c r="B16" s="234" t="s">
        <v>1118</v>
      </c>
      <c r="C16" s="234" t="s">
        <v>539</v>
      </c>
      <c r="D16" s="234" t="s">
        <v>541</v>
      </c>
      <c r="E16" s="234"/>
      <c r="F16" s="235"/>
      <c r="G16" s="275">
        <f>G18</f>
        <v>1552000</v>
      </c>
      <c r="H16" s="337"/>
      <c r="I16" s="236">
        <f t="shared" si="0"/>
        <v>1552000</v>
      </c>
    </row>
    <row r="17" spans="1:9" ht="19.5" customHeight="1">
      <c r="A17" s="243" t="s">
        <v>542</v>
      </c>
      <c r="B17" s="234" t="s">
        <v>1118</v>
      </c>
      <c r="C17" s="234" t="s">
        <v>539</v>
      </c>
      <c r="D17" s="234" t="s">
        <v>541</v>
      </c>
      <c r="E17" s="244" t="s">
        <v>543</v>
      </c>
      <c r="F17" s="235"/>
      <c r="G17" s="275">
        <f>G18</f>
        <v>1552000</v>
      </c>
      <c r="H17" s="337"/>
      <c r="I17" s="236">
        <f t="shared" si="0"/>
        <v>1552000</v>
      </c>
    </row>
    <row r="18" spans="1:9" ht="17.25" customHeight="1">
      <c r="A18" s="240" t="s">
        <v>544</v>
      </c>
      <c r="B18" s="234" t="s">
        <v>1118</v>
      </c>
      <c r="C18" s="234" t="s">
        <v>539</v>
      </c>
      <c r="D18" s="234" t="s">
        <v>541</v>
      </c>
      <c r="E18" s="244" t="s">
        <v>545</v>
      </c>
      <c r="F18" s="235"/>
      <c r="G18" s="275">
        <f>G20</f>
        <v>1552000</v>
      </c>
      <c r="H18" s="337"/>
      <c r="I18" s="236">
        <f t="shared" si="0"/>
        <v>1552000</v>
      </c>
    </row>
    <row r="19" spans="1:9" ht="30" customHeight="1">
      <c r="A19" s="241" t="s">
        <v>546</v>
      </c>
      <c r="B19" s="234" t="s">
        <v>1118</v>
      </c>
      <c r="C19" s="234" t="s">
        <v>539</v>
      </c>
      <c r="D19" s="234" t="s">
        <v>541</v>
      </c>
      <c r="E19" s="244" t="s">
        <v>547</v>
      </c>
      <c r="F19" s="235"/>
      <c r="G19" s="275">
        <f>G20</f>
        <v>1552000</v>
      </c>
      <c r="H19" s="337"/>
      <c r="I19" s="236">
        <f t="shared" si="0"/>
        <v>1552000</v>
      </c>
    </row>
    <row r="20" spans="1:9" ht="41.25" customHeight="1">
      <c r="A20" s="243" t="s">
        <v>548</v>
      </c>
      <c r="B20" s="234" t="s">
        <v>1118</v>
      </c>
      <c r="C20" s="234" t="s">
        <v>539</v>
      </c>
      <c r="D20" s="234" t="s">
        <v>541</v>
      </c>
      <c r="E20" s="244" t="s">
        <v>547</v>
      </c>
      <c r="F20" s="245" t="s">
        <v>549</v>
      </c>
      <c r="G20" s="275">
        <f>1537000+15000</f>
        <v>1552000</v>
      </c>
      <c r="H20" s="337"/>
      <c r="I20" s="236">
        <f t="shared" si="0"/>
        <v>1552000</v>
      </c>
    </row>
    <row r="21" spans="1:9" ht="42" customHeight="1">
      <c r="A21" s="241" t="s">
        <v>550</v>
      </c>
      <c r="B21" s="234" t="s">
        <v>1118</v>
      </c>
      <c r="C21" s="234" t="s">
        <v>539</v>
      </c>
      <c r="D21" s="234" t="s">
        <v>551</v>
      </c>
      <c r="E21" s="234"/>
      <c r="F21" s="235"/>
      <c r="G21" s="275">
        <f>G22</f>
        <v>2204792</v>
      </c>
      <c r="H21" s="337"/>
      <c r="I21" s="236">
        <f t="shared" si="0"/>
        <v>2204792</v>
      </c>
    </row>
    <row r="22" spans="1:9" ht="30.75" customHeight="1">
      <c r="A22" s="243" t="s">
        <v>552</v>
      </c>
      <c r="B22" s="234" t="s">
        <v>1118</v>
      </c>
      <c r="C22" s="234" t="s">
        <v>539</v>
      </c>
      <c r="D22" s="234" t="s">
        <v>551</v>
      </c>
      <c r="E22" s="244" t="s">
        <v>553</v>
      </c>
      <c r="F22" s="235"/>
      <c r="G22" s="275">
        <f>G23+G26</f>
        <v>2204792</v>
      </c>
      <c r="H22" s="337"/>
      <c r="I22" s="236">
        <f t="shared" si="0"/>
        <v>2204792</v>
      </c>
    </row>
    <row r="23" spans="1:9" ht="18.75" customHeight="1">
      <c r="A23" s="240" t="s">
        <v>554</v>
      </c>
      <c r="B23" s="234" t="s">
        <v>1118</v>
      </c>
      <c r="C23" s="234" t="s">
        <v>539</v>
      </c>
      <c r="D23" s="234" t="s">
        <v>551</v>
      </c>
      <c r="E23" s="244" t="s">
        <v>555</v>
      </c>
      <c r="F23" s="235"/>
      <c r="G23" s="275">
        <f>G24</f>
        <v>986300</v>
      </c>
      <c r="H23" s="337"/>
      <c r="I23" s="236">
        <f t="shared" si="0"/>
        <v>986300</v>
      </c>
    </row>
    <row r="24" spans="1:9" ht="26.25">
      <c r="A24" s="241" t="s">
        <v>546</v>
      </c>
      <c r="B24" s="234" t="s">
        <v>1118</v>
      </c>
      <c r="C24" s="234" t="s">
        <v>539</v>
      </c>
      <c r="D24" s="234" t="s">
        <v>551</v>
      </c>
      <c r="E24" s="244" t="s">
        <v>556</v>
      </c>
      <c r="F24" s="245"/>
      <c r="G24" s="275">
        <f>G25</f>
        <v>986300</v>
      </c>
      <c r="H24" s="337"/>
      <c r="I24" s="236">
        <f t="shared" si="0"/>
        <v>986300</v>
      </c>
    </row>
    <row r="25" spans="1:9" ht="44.25" customHeight="1">
      <c r="A25" s="243" t="s">
        <v>548</v>
      </c>
      <c r="B25" s="234" t="s">
        <v>1118</v>
      </c>
      <c r="C25" s="234" t="s">
        <v>539</v>
      </c>
      <c r="D25" s="234" t="s">
        <v>551</v>
      </c>
      <c r="E25" s="244" t="s">
        <v>556</v>
      </c>
      <c r="F25" s="245" t="s">
        <v>549</v>
      </c>
      <c r="G25" s="275">
        <f>880000+10000+96300</f>
        <v>986300</v>
      </c>
      <c r="H25" s="337"/>
      <c r="I25" s="236">
        <f t="shared" si="0"/>
        <v>986300</v>
      </c>
    </row>
    <row r="26" spans="1:9" ht="18" customHeight="1">
      <c r="A26" s="240" t="s">
        <v>557</v>
      </c>
      <c r="B26" s="234" t="s">
        <v>1118</v>
      </c>
      <c r="C26" s="234" t="s">
        <v>539</v>
      </c>
      <c r="D26" s="234" t="s">
        <v>551</v>
      </c>
      <c r="E26" s="244" t="s">
        <v>558</v>
      </c>
      <c r="F26" s="245"/>
      <c r="G26" s="275">
        <f>G27</f>
        <v>1218492</v>
      </c>
      <c r="H26" s="337"/>
      <c r="I26" s="236">
        <f t="shared" si="0"/>
        <v>1218492</v>
      </c>
    </row>
    <row r="27" spans="1:9" ht="27.75" customHeight="1">
      <c r="A27" s="241" t="s">
        <v>546</v>
      </c>
      <c r="B27" s="234" t="s">
        <v>1118</v>
      </c>
      <c r="C27" s="234" t="s">
        <v>539</v>
      </c>
      <c r="D27" s="234" t="s">
        <v>551</v>
      </c>
      <c r="E27" s="244" t="s">
        <v>559</v>
      </c>
      <c r="F27" s="245"/>
      <c r="G27" s="275">
        <f>G28+G29</f>
        <v>1218492</v>
      </c>
      <c r="H27" s="337"/>
      <c r="I27" s="236">
        <f t="shared" si="0"/>
        <v>1218492</v>
      </c>
    </row>
    <row r="28" spans="1:9" ht="39">
      <c r="A28" s="243" t="s">
        <v>548</v>
      </c>
      <c r="B28" s="234" t="s">
        <v>1118</v>
      </c>
      <c r="C28" s="234" t="s">
        <v>539</v>
      </c>
      <c r="D28" s="234" t="s">
        <v>551</v>
      </c>
      <c r="E28" s="244" t="s">
        <v>559</v>
      </c>
      <c r="F28" s="245" t="s">
        <v>549</v>
      </c>
      <c r="G28" s="275">
        <f>1062800+22915+10600+55000+21999+20178</f>
        <v>1193492</v>
      </c>
      <c r="H28" s="337"/>
      <c r="I28" s="236">
        <f t="shared" si="0"/>
        <v>1193492</v>
      </c>
    </row>
    <row r="29" spans="1:9" ht="26.25">
      <c r="A29" s="243" t="s">
        <v>560</v>
      </c>
      <c r="B29" s="234" t="s">
        <v>1118</v>
      </c>
      <c r="C29" s="234" t="s">
        <v>539</v>
      </c>
      <c r="D29" s="234" t="s">
        <v>551</v>
      </c>
      <c r="E29" s="244" t="s">
        <v>559</v>
      </c>
      <c r="F29" s="245" t="s">
        <v>561</v>
      </c>
      <c r="G29" s="275">
        <f>10000+15000</f>
        <v>25000</v>
      </c>
      <c r="H29" s="337"/>
      <c r="I29" s="236">
        <f t="shared" si="0"/>
        <v>25000</v>
      </c>
    </row>
    <row r="30" spans="1:9" ht="39">
      <c r="A30" s="241" t="s">
        <v>562</v>
      </c>
      <c r="B30" s="234" t="s">
        <v>1118</v>
      </c>
      <c r="C30" s="234" t="s">
        <v>563</v>
      </c>
      <c r="D30" s="234" t="s">
        <v>564</v>
      </c>
      <c r="E30" s="234"/>
      <c r="F30" s="235"/>
      <c r="G30" s="275">
        <f>G31+G48+G63+G57+G42</f>
        <v>21434658</v>
      </c>
      <c r="H30" s="337"/>
      <c r="I30" s="236">
        <f t="shared" si="0"/>
        <v>21434658</v>
      </c>
    </row>
    <row r="31" spans="1:9" ht="42" customHeight="1">
      <c r="A31" s="240" t="s">
        <v>565</v>
      </c>
      <c r="B31" s="234" t="s">
        <v>1118</v>
      </c>
      <c r="C31" s="234" t="s">
        <v>563</v>
      </c>
      <c r="D31" s="234" t="s">
        <v>564</v>
      </c>
      <c r="E31" s="244" t="s">
        <v>566</v>
      </c>
      <c r="F31" s="245"/>
      <c r="G31" s="275">
        <f>G37+G32</f>
        <v>2960000</v>
      </c>
      <c r="H31" s="337"/>
      <c r="I31" s="236">
        <f t="shared" si="0"/>
        <v>2960000</v>
      </c>
    </row>
    <row r="32" spans="1:9" ht="59.25" customHeight="1">
      <c r="A32" s="243" t="s">
        <v>567</v>
      </c>
      <c r="B32" s="234" t="s">
        <v>1118</v>
      </c>
      <c r="C32" s="246" t="s">
        <v>539</v>
      </c>
      <c r="D32" s="246" t="s">
        <v>564</v>
      </c>
      <c r="E32" s="247" t="s">
        <v>568</v>
      </c>
      <c r="F32" s="248"/>
      <c r="G32" s="338">
        <f>G34</f>
        <v>888000</v>
      </c>
      <c r="H32" s="337"/>
      <c r="I32" s="236">
        <f t="shared" si="0"/>
        <v>888000</v>
      </c>
    </row>
    <row r="33" spans="1:9" ht="48" customHeight="1">
      <c r="A33" s="251" t="s">
        <v>569</v>
      </c>
      <c r="B33" s="234" t="s">
        <v>1118</v>
      </c>
      <c r="C33" s="234" t="s">
        <v>539</v>
      </c>
      <c r="D33" s="234" t="s">
        <v>564</v>
      </c>
      <c r="E33" s="244" t="s">
        <v>570</v>
      </c>
      <c r="F33" s="245"/>
      <c r="G33" s="275">
        <f>G34</f>
        <v>888000</v>
      </c>
      <c r="H33" s="337"/>
      <c r="I33" s="236">
        <f t="shared" si="0"/>
        <v>888000</v>
      </c>
    </row>
    <row r="34" spans="1:9" ht="42" customHeight="1">
      <c r="A34" s="339" t="s">
        <v>571</v>
      </c>
      <c r="B34" s="234" t="s">
        <v>1118</v>
      </c>
      <c r="C34" s="234" t="s">
        <v>539</v>
      </c>
      <c r="D34" s="234" t="s">
        <v>564</v>
      </c>
      <c r="E34" s="244" t="s">
        <v>572</v>
      </c>
      <c r="F34" s="245"/>
      <c r="G34" s="275">
        <f>G35+G36</f>
        <v>888000</v>
      </c>
      <c r="H34" s="337"/>
      <c r="I34" s="236">
        <f t="shared" si="0"/>
        <v>888000</v>
      </c>
    </row>
    <row r="35" spans="1:9" ht="42.75" customHeight="1">
      <c r="A35" s="243" t="s">
        <v>548</v>
      </c>
      <c r="B35" s="234" t="s">
        <v>1118</v>
      </c>
      <c r="C35" s="234" t="s">
        <v>539</v>
      </c>
      <c r="D35" s="234" t="s">
        <v>564</v>
      </c>
      <c r="E35" s="244" t="s">
        <v>572</v>
      </c>
      <c r="F35" s="245" t="s">
        <v>549</v>
      </c>
      <c r="G35" s="275">
        <f>864600-60700-36300</f>
        <v>767600</v>
      </c>
      <c r="H35" s="337"/>
      <c r="I35" s="236">
        <f t="shared" si="0"/>
        <v>767600</v>
      </c>
    </row>
    <row r="36" spans="1:9" ht="26.25">
      <c r="A36" s="243" t="s">
        <v>560</v>
      </c>
      <c r="B36" s="234" t="s">
        <v>1118</v>
      </c>
      <c r="C36" s="234" t="s">
        <v>539</v>
      </c>
      <c r="D36" s="234" t="s">
        <v>564</v>
      </c>
      <c r="E36" s="244" t="s">
        <v>572</v>
      </c>
      <c r="F36" s="245" t="s">
        <v>561</v>
      </c>
      <c r="G36" s="275">
        <f>12000+11400+60700+36300</f>
        <v>120400</v>
      </c>
      <c r="H36" s="337"/>
      <c r="I36" s="236">
        <f t="shared" si="0"/>
        <v>120400</v>
      </c>
    </row>
    <row r="37" spans="1:9" ht="57.75" customHeight="1">
      <c r="A37" s="241" t="s">
        <v>573</v>
      </c>
      <c r="B37" s="234" t="s">
        <v>1118</v>
      </c>
      <c r="C37" s="246" t="s">
        <v>539</v>
      </c>
      <c r="D37" s="246" t="s">
        <v>564</v>
      </c>
      <c r="E37" s="247" t="s">
        <v>574</v>
      </c>
      <c r="F37" s="253"/>
      <c r="G37" s="338">
        <f>G38</f>
        <v>2072000</v>
      </c>
      <c r="H37" s="337"/>
      <c r="I37" s="236">
        <f t="shared" si="0"/>
        <v>2072000</v>
      </c>
    </row>
    <row r="38" spans="1:9" ht="30" customHeight="1">
      <c r="A38" s="254" t="s">
        <v>575</v>
      </c>
      <c r="B38" s="234" t="s">
        <v>1118</v>
      </c>
      <c r="C38" s="234" t="s">
        <v>539</v>
      </c>
      <c r="D38" s="234" t="s">
        <v>564</v>
      </c>
      <c r="E38" s="244" t="s">
        <v>576</v>
      </c>
      <c r="F38" s="235"/>
      <c r="G38" s="275">
        <f>G39</f>
        <v>2072000</v>
      </c>
      <c r="H38" s="337"/>
      <c r="I38" s="236">
        <f t="shared" si="0"/>
        <v>2072000</v>
      </c>
    </row>
    <row r="39" spans="1:9" ht="33" customHeight="1">
      <c r="A39" s="241" t="s">
        <v>577</v>
      </c>
      <c r="B39" s="234" t="s">
        <v>1118</v>
      </c>
      <c r="C39" s="234" t="s">
        <v>539</v>
      </c>
      <c r="D39" s="234" t="s">
        <v>564</v>
      </c>
      <c r="E39" s="244" t="s">
        <v>578</v>
      </c>
      <c r="F39" s="235"/>
      <c r="G39" s="275">
        <f>G40+G41</f>
        <v>2072000</v>
      </c>
      <c r="H39" s="337"/>
      <c r="I39" s="236">
        <f t="shared" si="0"/>
        <v>2072000</v>
      </c>
    </row>
    <row r="40" spans="1:9" ht="43.5" customHeight="1">
      <c r="A40" s="243" t="s">
        <v>548</v>
      </c>
      <c r="B40" s="234" t="s">
        <v>1118</v>
      </c>
      <c r="C40" s="234" t="s">
        <v>539</v>
      </c>
      <c r="D40" s="234" t="s">
        <v>564</v>
      </c>
      <c r="E40" s="244" t="s">
        <v>578</v>
      </c>
      <c r="F40" s="245" t="s">
        <v>549</v>
      </c>
      <c r="G40" s="275">
        <f>1524168+460299+300+60633+26600</f>
        <v>2072000</v>
      </c>
      <c r="H40" s="337"/>
      <c r="I40" s="236">
        <f t="shared" si="0"/>
        <v>2072000</v>
      </c>
    </row>
    <row r="41" spans="1:9" ht="26.25" hidden="1">
      <c r="A41" s="243" t="s">
        <v>560</v>
      </c>
      <c r="B41" s="234" t="s">
        <v>1118</v>
      </c>
      <c r="C41" s="234" t="s">
        <v>539</v>
      </c>
      <c r="D41" s="234" t="s">
        <v>564</v>
      </c>
      <c r="E41" s="244" t="s">
        <v>578</v>
      </c>
      <c r="F41" s="245" t="s">
        <v>561</v>
      </c>
      <c r="G41" s="275">
        <f>60633-60633</f>
        <v>0</v>
      </c>
      <c r="H41" s="337"/>
      <c r="I41" s="236">
        <f t="shared" si="0"/>
        <v>0</v>
      </c>
    </row>
    <row r="42" spans="1:9" ht="45.75" customHeight="1">
      <c r="A42" s="233" t="s">
        <v>579</v>
      </c>
      <c r="B42" s="234" t="s">
        <v>1118</v>
      </c>
      <c r="C42" s="234" t="s">
        <v>539</v>
      </c>
      <c r="D42" s="234" t="s">
        <v>564</v>
      </c>
      <c r="E42" s="244" t="s">
        <v>580</v>
      </c>
      <c r="F42" s="235"/>
      <c r="G42" s="275">
        <f>G43</f>
        <v>329014</v>
      </c>
      <c r="H42" s="337"/>
      <c r="I42" s="236">
        <f t="shared" si="0"/>
        <v>329014</v>
      </c>
    </row>
    <row r="43" spans="1:9" s="250" customFormat="1" ht="72" customHeight="1">
      <c r="A43" s="254" t="s">
        <v>581</v>
      </c>
      <c r="B43" s="246" t="s">
        <v>1118</v>
      </c>
      <c r="C43" s="246" t="s">
        <v>539</v>
      </c>
      <c r="D43" s="246" t="s">
        <v>564</v>
      </c>
      <c r="E43" s="247" t="s">
        <v>582</v>
      </c>
      <c r="F43" s="253"/>
      <c r="G43" s="338">
        <f>G45</f>
        <v>329014</v>
      </c>
      <c r="H43" s="340"/>
      <c r="I43" s="249">
        <f t="shared" si="0"/>
        <v>329014</v>
      </c>
    </row>
    <row r="44" spans="1:9" ht="30.75" customHeight="1">
      <c r="A44" s="255" t="s">
        <v>583</v>
      </c>
      <c r="B44" s="234" t="s">
        <v>1118</v>
      </c>
      <c r="C44" s="234" t="s">
        <v>539</v>
      </c>
      <c r="D44" s="234" t="s">
        <v>564</v>
      </c>
      <c r="E44" s="244" t="s">
        <v>584</v>
      </c>
      <c r="F44" s="235"/>
      <c r="G44" s="275">
        <f>G45</f>
        <v>329014</v>
      </c>
      <c r="H44" s="337"/>
      <c r="I44" s="236">
        <f t="shared" si="0"/>
        <v>329014</v>
      </c>
    </row>
    <row r="45" spans="1:9" ht="31.5" customHeight="1">
      <c r="A45" s="339" t="s">
        <v>585</v>
      </c>
      <c r="B45" s="234" t="s">
        <v>1118</v>
      </c>
      <c r="C45" s="234" t="s">
        <v>539</v>
      </c>
      <c r="D45" s="234" t="s">
        <v>564</v>
      </c>
      <c r="E45" s="244" t="s">
        <v>586</v>
      </c>
      <c r="F45" s="235"/>
      <c r="G45" s="275">
        <f>G46+G47</f>
        <v>329014</v>
      </c>
      <c r="H45" s="337"/>
      <c r="I45" s="236">
        <f t="shared" si="0"/>
        <v>329014</v>
      </c>
    </row>
    <row r="46" spans="1:9" ht="39">
      <c r="A46" s="243" t="s">
        <v>548</v>
      </c>
      <c r="B46" s="234" t="s">
        <v>1118</v>
      </c>
      <c r="C46" s="234" t="s">
        <v>539</v>
      </c>
      <c r="D46" s="234" t="s">
        <v>564</v>
      </c>
      <c r="E46" s="244" t="s">
        <v>586</v>
      </c>
      <c r="F46" s="245" t="s">
        <v>549</v>
      </c>
      <c r="G46" s="275">
        <f>295773+1540-810.64</f>
        <v>296502.36</v>
      </c>
      <c r="H46" s="337"/>
      <c r="I46" s="236">
        <f t="shared" si="0"/>
        <v>296502.36</v>
      </c>
    </row>
    <row r="47" spans="1:9" ht="31.5" customHeight="1">
      <c r="A47" s="243" t="s">
        <v>560</v>
      </c>
      <c r="B47" s="234" t="s">
        <v>1118</v>
      </c>
      <c r="C47" s="234" t="s">
        <v>539</v>
      </c>
      <c r="D47" s="234" t="s">
        <v>564</v>
      </c>
      <c r="E47" s="244" t="s">
        <v>586</v>
      </c>
      <c r="F47" s="245" t="s">
        <v>561</v>
      </c>
      <c r="G47" s="275">
        <f>33241-729.36</f>
        <v>32511.64</v>
      </c>
      <c r="H47" s="337"/>
      <c r="I47" s="236">
        <f t="shared" si="0"/>
        <v>32511.64</v>
      </c>
    </row>
    <row r="48" spans="1:9" ht="54.75" customHeight="1">
      <c r="A48" s="240" t="s">
        <v>587</v>
      </c>
      <c r="B48" s="234" t="s">
        <v>1118</v>
      </c>
      <c r="C48" s="234" t="s">
        <v>539</v>
      </c>
      <c r="D48" s="234" t="s">
        <v>564</v>
      </c>
      <c r="E48" s="244" t="s">
        <v>588</v>
      </c>
      <c r="F48" s="245"/>
      <c r="G48" s="275">
        <f>G49</f>
        <v>592000</v>
      </c>
      <c r="H48" s="337"/>
      <c r="I48" s="236">
        <f t="shared" si="0"/>
        <v>592000</v>
      </c>
    </row>
    <row r="49" spans="1:9" s="250" customFormat="1" ht="72.75" customHeight="1">
      <c r="A49" s="240" t="s">
        <v>589</v>
      </c>
      <c r="B49" s="246" t="s">
        <v>1118</v>
      </c>
      <c r="C49" s="246" t="s">
        <v>539</v>
      </c>
      <c r="D49" s="246" t="s">
        <v>564</v>
      </c>
      <c r="E49" s="247" t="s">
        <v>590</v>
      </c>
      <c r="F49" s="248"/>
      <c r="G49" s="338">
        <f>G51+G54</f>
        <v>592000</v>
      </c>
      <c r="H49" s="340"/>
      <c r="I49" s="249">
        <f t="shared" si="0"/>
        <v>592000</v>
      </c>
    </row>
    <row r="50" spans="1:9" ht="42" customHeight="1">
      <c r="A50" s="254" t="s">
        <v>591</v>
      </c>
      <c r="B50" s="234" t="s">
        <v>1118</v>
      </c>
      <c r="C50" s="234" t="s">
        <v>539</v>
      </c>
      <c r="D50" s="234" t="s">
        <v>564</v>
      </c>
      <c r="E50" s="244" t="s">
        <v>592</v>
      </c>
      <c r="F50" s="245"/>
      <c r="G50" s="275">
        <f>G51+G54</f>
        <v>592000</v>
      </c>
      <c r="H50" s="337"/>
      <c r="I50" s="236">
        <f t="shared" si="0"/>
        <v>592000</v>
      </c>
    </row>
    <row r="51" spans="1:9" ht="44.25" customHeight="1">
      <c r="A51" s="339" t="s">
        <v>593</v>
      </c>
      <c r="B51" s="234" t="s">
        <v>1118</v>
      </c>
      <c r="C51" s="234" t="s">
        <v>539</v>
      </c>
      <c r="D51" s="234" t="s">
        <v>564</v>
      </c>
      <c r="E51" s="234" t="s">
        <v>594</v>
      </c>
      <c r="F51" s="235"/>
      <c r="G51" s="275">
        <f>G52+G53</f>
        <v>296000</v>
      </c>
      <c r="H51" s="337"/>
      <c r="I51" s="236">
        <f t="shared" si="0"/>
        <v>296000</v>
      </c>
    </row>
    <row r="52" spans="1:9" ht="46.5" customHeight="1">
      <c r="A52" s="243" t="s">
        <v>548</v>
      </c>
      <c r="B52" s="234" t="s">
        <v>1118</v>
      </c>
      <c r="C52" s="234" t="s">
        <v>539</v>
      </c>
      <c r="D52" s="234" t="s">
        <v>564</v>
      </c>
      <c r="E52" s="234" t="s">
        <v>594</v>
      </c>
      <c r="F52" s="245" t="s">
        <v>549</v>
      </c>
      <c r="G52" s="275">
        <f>289200-18960+1784+3559</f>
        <v>275583</v>
      </c>
      <c r="H52" s="337"/>
      <c r="I52" s="236">
        <f t="shared" si="0"/>
        <v>275583</v>
      </c>
    </row>
    <row r="53" spans="1:9" ht="26.25">
      <c r="A53" s="243" t="s">
        <v>560</v>
      </c>
      <c r="B53" s="234" t="s">
        <v>1118</v>
      </c>
      <c r="C53" s="234" t="s">
        <v>539</v>
      </c>
      <c r="D53" s="234" t="s">
        <v>564</v>
      </c>
      <c r="E53" s="234" t="s">
        <v>594</v>
      </c>
      <c r="F53" s="245" t="s">
        <v>561</v>
      </c>
      <c r="G53" s="275">
        <f>3000+3800+18960-5343</f>
        <v>20417</v>
      </c>
      <c r="H53" s="337"/>
      <c r="I53" s="236">
        <f t="shared" si="0"/>
        <v>20417</v>
      </c>
    </row>
    <row r="54" spans="1:9" ht="35.25" customHeight="1">
      <c r="A54" s="339" t="s">
        <v>595</v>
      </c>
      <c r="B54" s="234" t="s">
        <v>1118</v>
      </c>
      <c r="C54" s="234" t="s">
        <v>539</v>
      </c>
      <c r="D54" s="234" t="s">
        <v>564</v>
      </c>
      <c r="E54" s="234" t="s">
        <v>596</v>
      </c>
      <c r="F54" s="235"/>
      <c r="G54" s="275">
        <f>G55+G56</f>
        <v>296000</v>
      </c>
      <c r="H54" s="337"/>
      <c r="I54" s="236">
        <f t="shared" si="0"/>
        <v>296000</v>
      </c>
    </row>
    <row r="55" spans="1:9" ht="40.5" customHeight="1">
      <c r="A55" s="243" t="s">
        <v>548</v>
      </c>
      <c r="B55" s="234" t="s">
        <v>1118</v>
      </c>
      <c r="C55" s="234" t="s">
        <v>539</v>
      </c>
      <c r="D55" s="234" t="s">
        <v>564</v>
      </c>
      <c r="E55" s="234" t="s">
        <v>596</v>
      </c>
      <c r="F55" s="245" t="s">
        <v>549</v>
      </c>
      <c r="G55" s="275">
        <f>193920+58564+39716+3800</f>
        <v>296000</v>
      </c>
      <c r="H55" s="337"/>
      <c r="I55" s="236">
        <f t="shared" si="0"/>
        <v>296000</v>
      </c>
    </row>
    <row r="56" spans="1:9" ht="26.25" hidden="1">
      <c r="A56" s="243" t="s">
        <v>560</v>
      </c>
      <c r="B56" s="234" t="s">
        <v>1118</v>
      </c>
      <c r="C56" s="234" t="s">
        <v>539</v>
      </c>
      <c r="D56" s="234" t="s">
        <v>564</v>
      </c>
      <c r="E56" s="234" t="s">
        <v>596</v>
      </c>
      <c r="F56" s="245" t="s">
        <v>561</v>
      </c>
      <c r="G56" s="275">
        <f>39716-39716</f>
        <v>0</v>
      </c>
      <c r="H56" s="337"/>
      <c r="I56" s="236">
        <f t="shared" si="0"/>
        <v>0</v>
      </c>
    </row>
    <row r="57" spans="1:9" ht="18" customHeight="1">
      <c r="A57" s="243" t="s">
        <v>597</v>
      </c>
      <c r="B57" s="234" t="s">
        <v>1118</v>
      </c>
      <c r="C57" s="234" t="s">
        <v>539</v>
      </c>
      <c r="D57" s="234" t="s">
        <v>564</v>
      </c>
      <c r="E57" s="234" t="s">
        <v>598</v>
      </c>
      <c r="F57" s="235"/>
      <c r="G57" s="275">
        <f>G58</f>
        <v>17228044</v>
      </c>
      <c r="H57" s="337"/>
      <c r="I57" s="236">
        <f t="shared" si="0"/>
        <v>17228044</v>
      </c>
    </row>
    <row r="58" spans="1:9" ht="21" customHeight="1">
      <c r="A58" s="241" t="s">
        <v>599</v>
      </c>
      <c r="B58" s="234" t="s">
        <v>1118</v>
      </c>
      <c r="C58" s="234" t="s">
        <v>539</v>
      </c>
      <c r="D58" s="234" t="s">
        <v>564</v>
      </c>
      <c r="E58" s="234" t="s">
        <v>600</v>
      </c>
      <c r="F58" s="235"/>
      <c r="G58" s="275">
        <f>G59</f>
        <v>17228044</v>
      </c>
      <c r="H58" s="337"/>
      <c r="I58" s="236">
        <f t="shared" si="0"/>
        <v>17228044</v>
      </c>
    </row>
    <row r="59" spans="1:9" ht="32.25" customHeight="1">
      <c r="A59" s="241" t="s">
        <v>546</v>
      </c>
      <c r="B59" s="234" t="s">
        <v>1118</v>
      </c>
      <c r="C59" s="234" t="s">
        <v>539</v>
      </c>
      <c r="D59" s="234" t="s">
        <v>564</v>
      </c>
      <c r="E59" s="234" t="s">
        <v>601</v>
      </c>
      <c r="F59" s="235"/>
      <c r="G59" s="275">
        <f>G60+G61+G62</f>
        <v>17228044</v>
      </c>
      <c r="H59" s="337"/>
      <c r="I59" s="236">
        <f t="shared" si="0"/>
        <v>17228044</v>
      </c>
    </row>
    <row r="60" spans="1:9" ht="48.75" customHeight="1">
      <c r="A60" s="243" t="s">
        <v>548</v>
      </c>
      <c r="B60" s="234" t="s">
        <v>1118</v>
      </c>
      <c r="C60" s="234" t="s">
        <v>539</v>
      </c>
      <c r="D60" s="234" t="s">
        <v>564</v>
      </c>
      <c r="E60" s="234" t="s">
        <v>601</v>
      </c>
      <c r="F60" s="245" t="s">
        <v>549</v>
      </c>
      <c r="G60" s="275">
        <f>15918200+187388+172097+438498+311461</f>
        <v>17027644</v>
      </c>
      <c r="H60" s="337"/>
      <c r="I60" s="236">
        <f t="shared" si="0"/>
        <v>17027644</v>
      </c>
    </row>
    <row r="61" spans="1:9" ht="30" customHeight="1">
      <c r="A61" s="243" t="s">
        <v>560</v>
      </c>
      <c r="B61" s="234" t="s">
        <v>1118</v>
      </c>
      <c r="C61" s="234" t="s">
        <v>539</v>
      </c>
      <c r="D61" s="234" t="s">
        <v>564</v>
      </c>
      <c r="E61" s="234" t="s">
        <v>601</v>
      </c>
      <c r="F61" s="245" t="s">
        <v>561</v>
      </c>
      <c r="G61" s="341">
        <v>58500</v>
      </c>
      <c r="H61" s="337"/>
      <c r="I61" s="236">
        <f t="shared" si="0"/>
        <v>58500</v>
      </c>
    </row>
    <row r="62" spans="1:9" ht="18.75" customHeight="1">
      <c r="A62" s="255" t="s">
        <v>602</v>
      </c>
      <c r="B62" s="234" t="s">
        <v>1118</v>
      </c>
      <c r="C62" s="234" t="s">
        <v>539</v>
      </c>
      <c r="D62" s="234" t="s">
        <v>564</v>
      </c>
      <c r="E62" s="234" t="s">
        <v>601</v>
      </c>
      <c r="F62" s="245" t="s">
        <v>603</v>
      </c>
      <c r="G62" s="275">
        <f>80900+6000+6000+51000-6000+15000-6000-5000</f>
        <v>141900</v>
      </c>
      <c r="H62" s="337"/>
      <c r="I62" s="236">
        <f t="shared" si="0"/>
        <v>141900</v>
      </c>
    </row>
    <row r="63" spans="1:9" ht="15">
      <c r="A63" s="240" t="s">
        <v>604</v>
      </c>
      <c r="B63" s="234" t="s">
        <v>1118</v>
      </c>
      <c r="C63" s="234" t="s">
        <v>539</v>
      </c>
      <c r="D63" s="234" t="s">
        <v>564</v>
      </c>
      <c r="E63" s="234" t="s">
        <v>605</v>
      </c>
      <c r="F63" s="235"/>
      <c r="G63" s="275">
        <f>G64+G68</f>
        <v>325600</v>
      </c>
      <c r="H63" s="337"/>
      <c r="I63" s="236">
        <f>G63+H63</f>
        <v>325600</v>
      </c>
    </row>
    <row r="64" spans="1:9" ht="17.25" customHeight="1">
      <c r="A64" s="254" t="s">
        <v>606</v>
      </c>
      <c r="B64" s="234" t="s">
        <v>1118</v>
      </c>
      <c r="C64" s="234" t="s">
        <v>539</v>
      </c>
      <c r="D64" s="234" t="s">
        <v>564</v>
      </c>
      <c r="E64" s="234" t="s">
        <v>607</v>
      </c>
      <c r="F64" s="235"/>
      <c r="G64" s="275">
        <f>G65</f>
        <v>296000</v>
      </c>
      <c r="H64" s="337"/>
      <c r="I64" s="236">
        <f t="shared" si="0"/>
        <v>296000</v>
      </c>
    </row>
    <row r="65" spans="1:9" ht="27.75" customHeight="1">
      <c r="A65" s="241" t="s">
        <v>608</v>
      </c>
      <c r="B65" s="234" t="s">
        <v>1118</v>
      </c>
      <c r="C65" s="234" t="s">
        <v>539</v>
      </c>
      <c r="D65" s="234" t="s">
        <v>564</v>
      </c>
      <c r="E65" s="234" t="s">
        <v>609</v>
      </c>
      <c r="F65" s="235"/>
      <c r="G65" s="275">
        <f>G66+G67</f>
        <v>296000</v>
      </c>
      <c r="H65" s="337"/>
      <c r="I65" s="236">
        <f t="shared" si="0"/>
        <v>296000</v>
      </c>
    </row>
    <row r="66" spans="1:9" ht="39">
      <c r="A66" s="243" t="s">
        <v>548</v>
      </c>
      <c r="B66" s="234" t="s">
        <v>1118</v>
      </c>
      <c r="C66" s="234" t="s">
        <v>539</v>
      </c>
      <c r="D66" s="234" t="s">
        <v>564</v>
      </c>
      <c r="E66" s="234" t="s">
        <v>609</v>
      </c>
      <c r="F66" s="245" t="s">
        <v>549</v>
      </c>
      <c r="G66" s="275">
        <f>208320+62913+20967+3800</f>
        <v>296000</v>
      </c>
      <c r="H66" s="337"/>
      <c r="I66" s="236">
        <f t="shared" si="0"/>
        <v>296000</v>
      </c>
    </row>
    <row r="67" spans="1:9" ht="15" hidden="1">
      <c r="A67" s="243" t="s">
        <v>610</v>
      </c>
      <c r="B67" s="234" t="s">
        <v>1118</v>
      </c>
      <c r="C67" s="234" t="s">
        <v>539</v>
      </c>
      <c r="D67" s="234" t="s">
        <v>564</v>
      </c>
      <c r="E67" s="234" t="s">
        <v>609</v>
      </c>
      <c r="F67" s="245" t="s">
        <v>561</v>
      </c>
      <c r="G67" s="275">
        <f>20967-20967</f>
        <v>0</v>
      </c>
      <c r="H67" s="337"/>
      <c r="I67" s="236">
        <f t="shared" si="0"/>
        <v>0</v>
      </c>
    </row>
    <row r="68" spans="1:9" ht="15">
      <c r="A68" s="240" t="s">
        <v>611</v>
      </c>
      <c r="B68" s="234" t="s">
        <v>1118</v>
      </c>
      <c r="C68" s="234" t="s">
        <v>539</v>
      </c>
      <c r="D68" s="234" t="s">
        <v>564</v>
      </c>
      <c r="E68" s="234" t="s">
        <v>612</v>
      </c>
      <c r="F68" s="235"/>
      <c r="G68" s="275">
        <f>G69</f>
        <v>29600</v>
      </c>
      <c r="H68" s="337"/>
      <c r="I68" s="236">
        <f t="shared" si="0"/>
        <v>29600</v>
      </c>
    </row>
    <row r="69" spans="1:9" ht="38.25">
      <c r="A69" s="342" t="s">
        <v>613</v>
      </c>
      <c r="B69" s="234" t="s">
        <v>1118</v>
      </c>
      <c r="C69" s="234" t="s">
        <v>539</v>
      </c>
      <c r="D69" s="234" t="s">
        <v>564</v>
      </c>
      <c r="E69" s="234" t="s">
        <v>614</v>
      </c>
      <c r="F69" s="235"/>
      <c r="G69" s="275">
        <f>G70</f>
        <v>29600</v>
      </c>
      <c r="H69" s="337"/>
      <c r="I69" s="236">
        <f t="shared" si="0"/>
        <v>29600</v>
      </c>
    </row>
    <row r="70" spans="1:9" ht="39">
      <c r="A70" s="243" t="s">
        <v>548</v>
      </c>
      <c r="B70" s="234" t="s">
        <v>1118</v>
      </c>
      <c r="C70" s="234" t="s">
        <v>539</v>
      </c>
      <c r="D70" s="234" t="s">
        <v>564</v>
      </c>
      <c r="E70" s="234" t="s">
        <v>614</v>
      </c>
      <c r="F70" s="245" t="s">
        <v>549</v>
      </c>
      <c r="G70" s="275">
        <f>22442+6778+380</f>
        <v>29600</v>
      </c>
      <c r="H70" s="337"/>
      <c r="I70" s="236">
        <f t="shared" si="0"/>
        <v>29600</v>
      </c>
    </row>
    <row r="71" spans="1:9" ht="15">
      <c r="A71" s="343" t="s">
        <v>615</v>
      </c>
      <c r="B71" s="234" t="s">
        <v>1118</v>
      </c>
      <c r="C71" s="234" t="s">
        <v>539</v>
      </c>
      <c r="D71" s="234" t="s">
        <v>616</v>
      </c>
      <c r="E71" s="234"/>
      <c r="F71" s="245"/>
      <c r="G71" s="275">
        <f>G72</f>
        <v>16600</v>
      </c>
      <c r="H71" s="337"/>
      <c r="I71" s="236">
        <f t="shared" si="0"/>
        <v>16600</v>
      </c>
    </row>
    <row r="72" spans="1:9" ht="15">
      <c r="A72" s="240" t="s">
        <v>604</v>
      </c>
      <c r="B72" s="234" t="s">
        <v>1118</v>
      </c>
      <c r="C72" s="234" t="s">
        <v>539</v>
      </c>
      <c r="D72" s="234" t="s">
        <v>616</v>
      </c>
      <c r="E72" s="234" t="s">
        <v>605</v>
      </c>
      <c r="F72" s="245"/>
      <c r="G72" s="275">
        <f>G73</f>
        <v>16600</v>
      </c>
      <c r="H72" s="337"/>
      <c r="I72" s="236">
        <f t="shared" si="0"/>
        <v>16600</v>
      </c>
    </row>
    <row r="73" spans="1:9" ht="15">
      <c r="A73" s="240" t="s">
        <v>611</v>
      </c>
      <c r="B73" s="234" t="s">
        <v>1118</v>
      </c>
      <c r="C73" s="234" t="s">
        <v>539</v>
      </c>
      <c r="D73" s="234" t="s">
        <v>616</v>
      </c>
      <c r="E73" s="234" t="s">
        <v>612</v>
      </c>
      <c r="F73" s="245"/>
      <c r="G73" s="275">
        <f>G74</f>
        <v>16600</v>
      </c>
      <c r="H73" s="337"/>
      <c r="I73" s="236">
        <f t="shared" si="0"/>
        <v>16600</v>
      </c>
    </row>
    <row r="74" spans="1:9" ht="39">
      <c r="A74" s="339" t="s">
        <v>617</v>
      </c>
      <c r="B74" s="234" t="s">
        <v>1118</v>
      </c>
      <c r="C74" s="234" t="s">
        <v>539</v>
      </c>
      <c r="D74" s="234" t="s">
        <v>616</v>
      </c>
      <c r="E74" s="234" t="s">
        <v>618</v>
      </c>
      <c r="F74" s="245"/>
      <c r="G74" s="275">
        <f>G75</f>
        <v>16600</v>
      </c>
      <c r="H74" s="337"/>
      <c r="I74" s="236">
        <f t="shared" si="0"/>
        <v>16600</v>
      </c>
    </row>
    <row r="75" spans="1:9" ht="15">
      <c r="A75" s="243" t="s">
        <v>610</v>
      </c>
      <c r="B75" s="234" t="s">
        <v>1118</v>
      </c>
      <c r="C75" s="234" t="s">
        <v>539</v>
      </c>
      <c r="D75" s="234" t="s">
        <v>616</v>
      </c>
      <c r="E75" s="234" t="s">
        <v>618</v>
      </c>
      <c r="F75" s="245" t="s">
        <v>561</v>
      </c>
      <c r="G75" s="275">
        <f>16600</f>
        <v>16600</v>
      </c>
      <c r="H75" s="337"/>
      <c r="I75" s="236">
        <f t="shared" si="0"/>
        <v>16600</v>
      </c>
    </row>
    <row r="76" spans="1:9" ht="26.25">
      <c r="A76" s="240" t="s">
        <v>619</v>
      </c>
      <c r="B76" s="234" t="s">
        <v>1118</v>
      </c>
      <c r="C76" s="234" t="s">
        <v>539</v>
      </c>
      <c r="D76" s="234" t="s">
        <v>620</v>
      </c>
      <c r="E76" s="234"/>
      <c r="F76" s="235"/>
      <c r="G76" s="275">
        <f>G77</f>
        <v>396700</v>
      </c>
      <c r="H76" s="337"/>
      <c r="I76" s="236">
        <f t="shared" si="0"/>
        <v>396700</v>
      </c>
    </row>
    <row r="77" spans="1:9" ht="33.75" customHeight="1">
      <c r="A77" s="258" t="s">
        <v>621</v>
      </c>
      <c r="B77" s="234" t="s">
        <v>1118</v>
      </c>
      <c r="C77" s="234" t="s">
        <v>539</v>
      </c>
      <c r="D77" s="234" t="s">
        <v>620</v>
      </c>
      <c r="E77" s="259" t="s">
        <v>622</v>
      </c>
      <c r="F77" s="245"/>
      <c r="G77" s="275">
        <f>G78</f>
        <v>396700</v>
      </c>
      <c r="H77" s="337"/>
      <c r="I77" s="236">
        <f t="shared" si="0"/>
        <v>396700</v>
      </c>
    </row>
    <row r="78" spans="1:9" ht="15">
      <c r="A78" s="258" t="s">
        <v>623</v>
      </c>
      <c r="B78" s="234" t="s">
        <v>1118</v>
      </c>
      <c r="C78" s="234" t="s">
        <v>539</v>
      </c>
      <c r="D78" s="234" t="s">
        <v>620</v>
      </c>
      <c r="E78" s="259" t="s">
        <v>624</v>
      </c>
      <c r="F78" s="245"/>
      <c r="G78" s="275">
        <f>G79</f>
        <v>396700</v>
      </c>
      <c r="H78" s="337"/>
      <c r="I78" s="236">
        <f t="shared" si="0"/>
        <v>396700</v>
      </c>
    </row>
    <row r="79" spans="1:9" ht="26.25">
      <c r="A79" s="241" t="s">
        <v>546</v>
      </c>
      <c r="B79" s="234" t="s">
        <v>1118</v>
      </c>
      <c r="C79" s="234" t="s">
        <v>539</v>
      </c>
      <c r="D79" s="234" t="s">
        <v>620</v>
      </c>
      <c r="E79" s="259" t="s">
        <v>625</v>
      </c>
      <c r="F79" s="235"/>
      <c r="G79" s="275">
        <f>G80+G81+G82</f>
        <v>396700</v>
      </c>
      <c r="H79" s="337"/>
      <c r="I79" s="236">
        <f t="shared" si="0"/>
        <v>396700</v>
      </c>
    </row>
    <row r="80" spans="1:9" ht="39">
      <c r="A80" s="243" t="s">
        <v>548</v>
      </c>
      <c r="B80" s="234" t="s">
        <v>1118</v>
      </c>
      <c r="C80" s="234" t="s">
        <v>539</v>
      </c>
      <c r="D80" s="234" t="s">
        <v>620</v>
      </c>
      <c r="E80" s="259" t="s">
        <v>625</v>
      </c>
      <c r="F80" s="245" t="s">
        <v>549</v>
      </c>
      <c r="G80" s="275">
        <f>559000-151300-11000</f>
        <v>396700</v>
      </c>
      <c r="H80" s="337"/>
      <c r="I80" s="236">
        <f t="shared" si="0"/>
        <v>396700</v>
      </c>
    </row>
    <row r="81" spans="1:9" ht="15" hidden="1">
      <c r="A81" s="243" t="s">
        <v>610</v>
      </c>
      <c r="B81" s="234" t="s">
        <v>1118</v>
      </c>
      <c r="C81" s="234" t="s">
        <v>539</v>
      </c>
      <c r="D81" s="234" t="s">
        <v>620</v>
      </c>
      <c r="E81" s="259" t="s">
        <v>625</v>
      </c>
      <c r="F81" s="245" t="s">
        <v>561</v>
      </c>
      <c r="G81" s="275"/>
      <c r="H81" s="337"/>
      <c r="I81" s="236">
        <f t="shared" si="0"/>
        <v>0</v>
      </c>
    </row>
    <row r="82" spans="1:9" ht="15" hidden="1">
      <c r="A82" s="255" t="s">
        <v>602</v>
      </c>
      <c r="B82" s="234" t="s">
        <v>1118</v>
      </c>
      <c r="C82" s="234" t="s">
        <v>539</v>
      </c>
      <c r="D82" s="234" t="s">
        <v>620</v>
      </c>
      <c r="E82" s="259" t="s">
        <v>625</v>
      </c>
      <c r="F82" s="245" t="s">
        <v>603</v>
      </c>
      <c r="G82" s="275"/>
      <c r="H82" s="337"/>
      <c r="I82" s="236">
        <f t="shared" si="0"/>
        <v>0</v>
      </c>
    </row>
    <row r="83" spans="1:9" ht="15">
      <c r="A83" s="344" t="s">
        <v>626</v>
      </c>
      <c r="B83" s="234" t="s">
        <v>1118</v>
      </c>
      <c r="C83" s="234" t="s">
        <v>539</v>
      </c>
      <c r="D83" s="234" t="s">
        <v>627</v>
      </c>
      <c r="E83" s="259"/>
      <c r="F83" s="245"/>
      <c r="G83" s="275">
        <f>G84</f>
        <v>103000</v>
      </c>
      <c r="H83" s="337"/>
      <c r="I83" s="236">
        <f t="shared" si="0"/>
        <v>103000</v>
      </c>
    </row>
    <row r="84" spans="1:9" ht="15">
      <c r="A84" s="240" t="s">
        <v>604</v>
      </c>
      <c r="B84" s="234" t="s">
        <v>1118</v>
      </c>
      <c r="C84" s="234" t="s">
        <v>539</v>
      </c>
      <c r="D84" s="234" t="s">
        <v>627</v>
      </c>
      <c r="E84" s="259" t="s">
        <v>605</v>
      </c>
      <c r="F84" s="245"/>
      <c r="G84" s="275">
        <f>G85</f>
        <v>103000</v>
      </c>
      <c r="H84" s="337"/>
      <c r="I84" s="236">
        <f t="shared" si="0"/>
        <v>103000</v>
      </c>
    </row>
    <row r="85" spans="1:9" ht="15">
      <c r="A85" s="255" t="s">
        <v>628</v>
      </c>
      <c r="B85" s="234" t="s">
        <v>1118</v>
      </c>
      <c r="C85" s="234" t="s">
        <v>539</v>
      </c>
      <c r="D85" s="234" t="s">
        <v>627</v>
      </c>
      <c r="E85" s="259" t="s">
        <v>629</v>
      </c>
      <c r="F85" s="245"/>
      <c r="G85" s="275">
        <f>G86</f>
        <v>103000</v>
      </c>
      <c r="H85" s="337"/>
      <c r="I85" s="236">
        <f t="shared" si="0"/>
        <v>103000</v>
      </c>
    </row>
    <row r="86" spans="1:9" ht="15">
      <c r="A86" s="255" t="s">
        <v>630</v>
      </c>
      <c r="B86" s="234" t="s">
        <v>1118</v>
      </c>
      <c r="C86" s="234" t="s">
        <v>539</v>
      </c>
      <c r="D86" s="234" t="s">
        <v>627</v>
      </c>
      <c r="E86" s="259" t="s">
        <v>631</v>
      </c>
      <c r="F86" s="245"/>
      <c r="G86" s="275">
        <f>G87</f>
        <v>103000</v>
      </c>
      <c r="H86" s="337"/>
      <c r="I86" s="236">
        <f t="shared" si="0"/>
        <v>103000</v>
      </c>
    </row>
    <row r="87" spans="1:9" ht="14.25" customHeight="1">
      <c r="A87" s="255" t="s">
        <v>602</v>
      </c>
      <c r="B87" s="234" t="s">
        <v>1118</v>
      </c>
      <c r="C87" s="234" t="s">
        <v>539</v>
      </c>
      <c r="D87" s="234" t="s">
        <v>627</v>
      </c>
      <c r="E87" s="259" t="s">
        <v>631</v>
      </c>
      <c r="F87" s="245" t="s">
        <v>603</v>
      </c>
      <c r="G87" s="275">
        <f>103000</f>
        <v>103000</v>
      </c>
      <c r="H87" s="337"/>
      <c r="I87" s="236">
        <f t="shared" si="0"/>
        <v>103000</v>
      </c>
    </row>
    <row r="88" spans="1:9" ht="15" hidden="1">
      <c r="A88" s="240" t="s">
        <v>632</v>
      </c>
      <c r="B88" s="234" t="s">
        <v>1118</v>
      </c>
      <c r="C88" s="234" t="s">
        <v>539</v>
      </c>
      <c r="D88" s="234" t="s">
        <v>633</v>
      </c>
      <c r="E88" s="234"/>
      <c r="F88" s="235"/>
      <c r="G88" s="275">
        <f>G90</f>
        <v>0</v>
      </c>
      <c r="H88" s="337"/>
      <c r="I88" s="236">
        <f t="shared" si="0"/>
        <v>0</v>
      </c>
    </row>
    <row r="89" spans="1:9" ht="15" hidden="1">
      <c r="A89" s="243" t="s">
        <v>634</v>
      </c>
      <c r="B89" s="234" t="s">
        <v>1118</v>
      </c>
      <c r="C89" s="234" t="s">
        <v>539</v>
      </c>
      <c r="D89" s="234" t="s">
        <v>633</v>
      </c>
      <c r="E89" s="244" t="s">
        <v>635</v>
      </c>
      <c r="F89" s="261" t="s">
        <v>636</v>
      </c>
      <c r="G89" s="275">
        <f>G90</f>
        <v>0</v>
      </c>
      <c r="H89" s="337"/>
      <c r="I89" s="236">
        <f t="shared" si="0"/>
        <v>0</v>
      </c>
    </row>
    <row r="90" spans="1:9" ht="15" hidden="1">
      <c r="A90" s="243" t="s">
        <v>632</v>
      </c>
      <c r="B90" s="234" t="s">
        <v>1118</v>
      </c>
      <c r="C90" s="234" t="s">
        <v>539</v>
      </c>
      <c r="D90" s="234" t="s">
        <v>633</v>
      </c>
      <c r="E90" s="244" t="s">
        <v>637</v>
      </c>
      <c r="F90" s="261" t="s">
        <v>636</v>
      </c>
      <c r="G90" s="275">
        <f>G91</f>
        <v>0</v>
      </c>
      <c r="H90" s="345"/>
      <c r="I90" s="236">
        <f t="shared" si="0"/>
        <v>0</v>
      </c>
    </row>
    <row r="91" spans="1:9" ht="15" hidden="1">
      <c r="A91" s="241" t="s">
        <v>638</v>
      </c>
      <c r="B91" s="234" t="s">
        <v>1118</v>
      </c>
      <c r="C91" s="234" t="s">
        <v>539</v>
      </c>
      <c r="D91" s="234" t="s">
        <v>633</v>
      </c>
      <c r="E91" s="244" t="s">
        <v>639</v>
      </c>
      <c r="F91" s="261" t="s">
        <v>636</v>
      </c>
      <c r="G91" s="275">
        <f>G92</f>
        <v>0</v>
      </c>
      <c r="H91" s="345"/>
      <c r="I91" s="236">
        <f aca="true" t="shared" si="1" ref="I91:I243">G91+H91</f>
        <v>0</v>
      </c>
    </row>
    <row r="92" spans="1:9" ht="15" hidden="1">
      <c r="A92" s="243" t="s">
        <v>602</v>
      </c>
      <c r="B92" s="234" t="s">
        <v>1118</v>
      </c>
      <c r="C92" s="234" t="s">
        <v>539</v>
      </c>
      <c r="D92" s="234" t="s">
        <v>633</v>
      </c>
      <c r="E92" s="244" t="s">
        <v>639</v>
      </c>
      <c r="F92" s="261" t="s">
        <v>603</v>
      </c>
      <c r="G92" s="275">
        <f>50000-50000</f>
        <v>0</v>
      </c>
      <c r="H92" s="345"/>
      <c r="I92" s="236">
        <f t="shared" si="1"/>
        <v>0</v>
      </c>
    </row>
    <row r="93" spans="1:9" ht="15">
      <c r="A93" s="240" t="s">
        <v>640</v>
      </c>
      <c r="B93" s="234" t="s">
        <v>1118</v>
      </c>
      <c r="C93" s="234" t="s">
        <v>539</v>
      </c>
      <c r="D93" s="234" t="s">
        <v>641</v>
      </c>
      <c r="E93" s="234"/>
      <c r="F93" s="235"/>
      <c r="G93" s="275">
        <f>G94+G115+G147+G158+G164+G174+G126+G138+G131+G121+G153</f>
        <v>103403867.2</v>
      </c>
      <c r="H93" s="345"/>
      <c r="I93" s="236">
        <f t="shared" si="1"/>
        <v>103403867.2</v>
      </c>
    </row>
    <row r="94" spans="1:9" ht="42" customHeight="1">
      <c r="A94" s="240" t="s">
        <v>1119</v>
      </c>
      <c r="B94" s="234" t="s">
        <v>1118</v>
      </c>
      <c r="C94" s="234" t="s">
        <v>539</v>
      </c>
      <c r="D94" s="234" t="s">
        <v>641</v>
      </c>
      <c r="E94" s="234" t="s">
        <v>566</v>
      </c>
      <c r="F94" s="235"/>
      <c r="G94" s="275">
        <f>G106+G99+G95</f>
        <v>166300</v>
      </c>
      <c r="H94" s="345"/>
      <c r="I94" s="236">
        <f t="shared" si="1"/>
        <v>166300</v>
      </c>
    </row>
    <row r="95" spans="1:9" ht="57" customHeight="1">
      <c r="A95" s="262" t="s">
        <v>643</v>
      </c>
      <c r="B95" s="234" t="s">
        <v>1118</v>
      </c>
      <c r="C95" s="234" t="s">
        <v>539</v>
      </c>
      <c r="D95" s="234" t="s">
        <v>641</v>
      </c>
      <c r="E95" s="234" t="s">
        <v>644</v>
      </c>
      <c r="F95" s="235"/>
      <c r="G95" s="275">
        <f>G96</f>
        <v>14000</v>
      </c>
      <c r="H95" s="337"/>
      <c r="I95" s="236">
        <f t="shared" si="1"/>
        <v>14000</v>
      </c>
    </row>
    <row r="96" spans="1:9" ht="32.25" customHeight="1">
      <c r="A96" s="262" t="s">
        <v>645</v>
      </c>
      <c r="B96" s="234" t="s">
        <v>1118</v>
      </c>
      <c r="C96" s="234" t="s">
        <v>539</v>
      </c>
      <c r="D96" s="234" t="s">
        <v>641</v>
      </c>
      <c r="E96" s="234" t="s">
        <v>646</v>
      </c>
      <c r="F96" s="235"/>
      <c r="G96" s="275">
        <f>G97</f>
        <v>14000</v>
      </c>
      <c r="H96" s="337"/>
      <c r="I96" s="236">
        <f t="shared" si="1"/>
        <v>14000</v>
      </c>
    </row>
    <row r="97" spans="1:9" ht="15.75" customHeight="1">
      <c r="A97" s="243" t="s">
        <v>647</v>
      </c>
      <c r="B97" s="234" t="s">
        <v>1118</v>
      </c>
      <c r="C97" s="234" t="s">
        <v>539</v>
      </c>
      <c r="D97" s="234" t="s">
        <v>641</v>
      </c>
      <c r="E97" s="263" t="s">
        <v>648</v>
      </c>
      <c r="F97" s="235"/>
      <c r="G97" s="275">
        <f>G98</f>
        <v>14000</v>
      </c>
      <c r="H97" s="337"/>
      <c r="I97" s="236">
        <f t="shared" si="1"/>
        <v>14000</v>
      </c>
    </row>
    <row r="98" spans="1:9" ht="28.5" customHeight="1">
      <c r="A98" s="243" t="s">
        <v>560</v>
      </c>
      <c r="B98" s="234" t="s">
        <v>1118</v>
      </c>
      <c r="C98" s="234" t="s">
        <v>539</v>
      </c>
      <c r="D98" s="234" t="s">
        <v>641</v>
      </c>
      <c r="E98" s="263" t="s">
        <v>648</v>
      </c>
      <c r="F98" s="235" t="s">
        <v>561</v>
      </c>
      <c r="G98" s="275">
        <v>14000</v>
      </c>
      <c r="H98" s="337"/>
      <c r="I98" s="236">
        <f t="shared" si="1"/>
        <v>14000</v>
      </c>
    </row>
    <row r="99" spans="1:9" ht="65.25" customHeight="1">
      <c r="A99" s="243" t="s">
        <v>567</v>
      </c>
      <c r="B99" s="234" t="s">
        <v>1118</v>
      </c>
      <c r="C99" s="246" t="s">
        <v>539</v>
      </c>
      <c r="D99" s="246" t="s">
        <v>641</v>
      </c>
      <c r="E99" s="246" t="s">
        <v>568</v>
      </c>
      <c r="F99" s="253"/>
      <c r="G99" s="338">
        <f>G100+G103</f>
        <v>15000</v>
      </c>
      <c r="H99" s="337"/>
      <c r="I99" s="236">
        <f t="shared" si="1"/>
        <v>15000</v>
      </c>
    </row>
    <row r="100" spans="1:9" ht="38.25" hidden="1">
      <c r="A100" s="251" t="s">
        <v>569</v>
      </c>
      <c r="B100" s="234" t="s">
        <v>1118</v>
      </c>
      <c r="C100" s="234" t="s">
        <v>539</v>
      </c>
      <c r="D100" s="234" t="s">
        <v>641</v>
      </c>
      <c r="E100" s="234" t="s">
        <v>570</v>
      </c>
      <c r="F100" s="235"/>
      <c r="G100" s="275">
        <f>G102</f>
        <v>0</v>
      </c>
      <c r="H100" s="337"/>
      <c r="I100" s="236">
        <f t="shared" si="1"/>
        <v>0</v>
      </c>
    </row>
    <row r="101" spans="1:9" ht="76.5" hidden="1">
      <c r="A101" s="286" t="s">
        <v>1120</v>
      </c>
      <c r="B101" s="234" t="s">
        <v>1118</v>
      </c>
      <c r="C101" s="234" t="s">
        <v>539</v>
      </c>
      <c r="D101" s="234" t="s">
        <v>641</v>
      </c>
      <c r="E101" s="346" t="s">
        <v>1121</v>
      </c>
      <c r="F101" s="235"/>
      <c r="G101" s="275">
        <f>G102</f>
        <v>0</v>
      </c>
      <c r="H101" s="337"/>
      <c r="I101" s="236">
        <f t="shared" si="1"/>
        <v>0</v>
      </c>
    </row>
    <row r="102" spans="1:9" ht="26.25" hidden="1">
      <c r="A102" s="243" t="s">
        <v>560</v>
      </c>
      <c r="B102" s="234" t="s">
        <v>1118</v>
      </c>
      <c r="C102" s="234" t="s">
        <v>539</v>
      </c>
      <c r="D102" s="234" t="s">
        <v>641</v>
      </c>
      <c r="E102" s="346" t="s">
        <v>1121</v>
      </c>
      <c r="F102" s="235" t="s">
        <v>561</v>
      </c>
      <c r="G102" s="275"/>
      <c r="H102" s="337"/>
      <c r="I102" s="236">
        <f t="shared" si="1"/>
        <v>0</v>
      </c>
    </row>
    <row r="103" spans="1:9" ht="28.5" customHeight="1">
      <c r="A103" s="286" t="s">
        <v>649</v>
      </c>
      <c r="B103" s="234" t="s">
        <v>1118</v>
      </c>
      <c r="C103" s="234" t="s">
        <v>539</v>
      </c>
      <c r="D103" s="234" t="s">
        <v>641</v>
      </c>
      <c r="E103" s="234" t="s">
        <v>650</v>
      </c>
      <c r="F103" s="235"/>
      <c r="G103" s="275">
        <f>G104</f>
        <v>15000</v>
      </c>
      <c r="H103" s="337"/>
      <c r="I103" s="236">
        <f t="shared" si="1"/>
        <v>15000</v>
      </c>
    </row>
    <row r="104" spans="1:9" ht="33.75" customHeight="1">
      <c r="A104" s="262" t="s">
        <v>651</v>
      </c>
      <c r="B104" s="234" t="s">
        <v>1118</v>
      </c>
      <c r="C104" s="234" t="s">
        <v>539</v>
      </c>
      <c r="D104" s="234" t="s">
        <v>641</v>
      </c>
      <c r="E104" s="263" t="s">
        <v>652</v>
      </c>
      <c r="F104" s="235"/>
      <c r="G104" s="275">
        <f>G105</f>
        <v>15000</v>
      </c>
      <c r="H104" s="337"/>
      <c r="I104" s="236">
        <f t="shared" si="1"/>
        <v>15000</v>
      </c>
    </row>
    <row r="105" spans="1:9" ht="27" customHeight="1">
      <c r="A105" s="243" t="s">
        <v>560</v>
      </c>
      <c r="B105" s="234" t="s">
        <v>1118</v>
      </c>
      <c r="C105" s="234" t="s">
        <v>539</v>
      </c>
      <c r="D105" s="234" t="s">
        <v>641</v>
      </c>
      <c r="E105" s="263" t="s">
        <v>652</v>
      </c>
      <c r="F105" s="235" t="s">
        <v>561</v>
      </c>
      <c r="G105" s="275">
        <v>15000</v>
      </c>
      <c r="H105" s="337"/>
      <c r="I105" s="236">
        <f t="shared" si="1"/>
        <v>15000</v>
      </c>
    </row>
    <row r="106" spans="1:9" ht="57.75" customHeight="1">
      <c r="A106" s="241" t="s">
        <v>653</v>
      </c>
      <c r="B106" s="234" t="s">
        <v>1118</v>
      </c>
      <c r="C106" s="246" t="s">
        <v>539</v>
      </c>
      <c r="D106" s="246" t="s">
        <v>641</v>
      </c>
      <c r="E106" s="246" t="s">
        <v>574</v>
      </c>
      <c r="F106" s="253"/>
      <c r="G106" s="338">
        <f>G107+G112</f>
        <v>137300</v>
      </c>
      <c r="H106" s="337"/>
      <c r="I106" s="236">
        <f t="shared" si="1"/>
        <v>137300</v>
      </c>
    </row>
    <row r="107" spans="1:9" ht="30" customHeight="1">
      <c r="A107" s="241" t="s">
        <v>654</v>
      </c>
      <c r="B107" s="234" t="s">
        <v>1118</v>
      </c>
      <c r="C107" s="234" t="s">
        <v>539</v>
      </c>
      <c r="D107" s="234" t="s">
        <v>641</v>
      </c>
      <c r="E107" s="234" t="s">
        <v>655</v>
      </c>
      <c r="F107" s="235"/>
      <c r="G107" s="275">
        <f>G108+G110</f>
        <v>127300</v>
      </c>
      <c r="H107" s="337"/>
      <c r="I107" s="236">
        <f t="shared" si="1"/>
        <v>127300</v>
      </c>
    </row>
    <row r="108" spans="1:9" ht="34.5" customHeight="1">
      <c r="A108" s="241" t="s">
        <v>656</v>
      </c>
      <c r="B108" s="234" t="s">
        <v>1118</v>
      </c>
      <c r="C108" s="234" t="s">
        <v>539</v>
      </c>
      <c r="D108" s="234" t="s">
        <v>641</v>
      </c>
      <c r="E108" s="234" t="s">
        <v>657</v>
      </c>
      <c r="F108" s="235"/>
      <c r="G108" s="275">
        <f>G109</f>
        <v>124300</v>
      </c>
      <c r="H108" s="337"/>
      <c r="I108" s="236">
        <f t="shared" si="1"/>
        <v>124300</v>
      </c>
    </row>
    <row r="109" spans="1:9" ht="26.25">
      <c r="A109" s="243" t="s">
        <v>658</v>
      </c>
      <c r="B109" s="234" t="s">
        <v>1118</v>
      </c>
      <c r="C109" s="234" t="s">
        <v>539</v>
      </c>
      <c r="D109" s="234" t="s">
        <v>641</v>
      </c>
      <c r="E109" s="234" t="s">
        <v>657</v>
      </c>
      <c r="F109" s="245" t="s">
        <v>659</v>
      </c>
      <c r="G109" s="275">
        <f>122900+1400</f>
        <v>124300</v>
      </c>
      <c r="H109" s="337"/>
      <c r="I109" s="236">
        <f t="shared" si="1"/>
        <v>124300</v>
      </c>
    </row>
    <row r="110" spans="1:9" ht="18.75" customHeight="1">
      <c r="A110" s="241" t="s">
        <v>660</v>
      </c>
      <c r="B110" s="234" t="s">
        <v>1118</v>
      </c>
      <c r="C110" s="234" t="s">
        <v>539</v>
      </c>
      <c r="D110" s="234" t="s">
        <v>641</v>
      </c>
      <c r="E110" s="234" t="s">
        <v>661</v>
      </c>
      <c r="F110" s="245"/>
      <c r="G110" s="275">
        <f>G111</f>
        <v>3000</v>
      </c>
      <c r="H110" s="337"/>
      <c r="I110" s="236">
        <f t="shared" si="1"/>
        <v>3000</v>
      </c>
    </row>
    <row r="111" spans="1:9" ht="26.25">
      <c r="A111" s="243" t="s">
        <v>658</v>
      </c>
      <c r="B111" s="234" t="s">
        <v>1118</v>
      </c>
      <c r="C111" s="234" t="s">
        <v>539</v>
      </c>
      <c r="D111" s="234" t="s">
        <v>641</v>
      </c>
      <c r="E111" s="234" t="s">
        <v>661</v>
      </c>
      <c r="F111" s="245" t="s">
        <v>659</v>
      </c>
      <c r="G111" s="275">
        <v>3000</v>
      </c>
      <c r="H111" s="337"/>
      <c r="I111" s="236">
        <f t="shared" si="1"/>
        <v>3000</v>
      </c>
    </row>
    <row r="112" spans="1:9" ht="25.5">
      <c r="A112" s="254" t="s">
        <v>575</v>
      </c>
      <c r="B112" s="234" t="s">
        <v>1118</v>
      </c>
      <c r="C112" s="234" t="s">
        <v>539</v>
      </c>
      <c r="D112" s="234" t="s">
        <v>641</v>
      </c>
      <c r="E112" s="234" t="s">
        <v>576</v>
      </c>
      <c r="F112" s="245"/>
      <c r="G112" s="275">
        <f>G113</f>
        <v>10000</v>
      </c>
      <c r="H112" s="337"/>
      <c r="I112" s="236">
        <f t="shared" si="1"/>
        <v>10000</v>
      </c>
    </row>
    <row r="113" spans="1:9" ht="21" customHeight="1">
      <c r="A113" s="286" t="s">
        <v>662</v>
      </c>
      <c r="B113" s="234" t="s">
        <v>1118</v>
      </c>
      <c r="C113" s="234" t="s">
        <v>539</v>
      </c>
      <c r="D113" s="234" t="s">
        <v>641</v>
      </c>
      <c r="E113" s="234" t="s">
        <v>663</v>
      </c>
      <c r="F113" s="245"/>
      <c r="G113" s="275">
        <f>G114</f>
        <v>10000</v>
      </c>
      <c r="H113" s="337"/>
      <c r="I113" s="236">
        <f t="shared" si="1"/>
        <v>10000</v>
      </c>
    </row>
    <row r="114" spans="1:9" ht="26.25">
      <c r="A114" s="243" t="s">
        <v>560</v>
      </c>
      <c r="B114" s="234" t="s">
        <v>1118</v>
      </c>
      <c r="C114" s="234" t="s">
        <v>539</v>
      </c>
      <c r="D114" s="234" t="s">
        <v>641</v>
      </c>
      <c r="E114" s="234" t="s">
        <v>663</v>
      </c>
      <c r="F114" s="245" t="s">
        <v>561</v>
      </c>
      <c r="G114" s="275">
        <v>10000</v>
      </c>
      <c r="H114" s="337"/>
      <c r="I114" s="236">
        <f t="shared" si="1"/>
        <v>10000</v>
      </c>
    </row>
    <row r="115" spans="1:9" ht="38.25">
      <c r="A115" s="298" t="s">
        <v>664</v>
      </c>
      <c r="B115" s="234" t="s">
        <v>1118</v>
      </c>
      <c r="C115" s="234" t="s">
        <v>539</v>
      </c>
      <c r="D115" s="234" t="s">
        <v>641</v>
      </c>
      <c r="E115" s="234" t="s">
        <v>665</v>
      </c>
      <c r="F115" s="245"/>
      <c r="G115" s="275">
        <f>G116</f>
        <v>1956076.33</v>
      </c>
      <c r="H115" s="337"/>
      <c r="I115" s="236">
        <f t="shared" si="1"/>
        <v>1956076.33</v>
      </c>
    </row>
    <row r="116" spans="1:9" ht="59.25" customHeight="1">
      <c r="A116" s="280" t="s">
        <v>666</v>
      </c>
      <c r="B116" s="234" t="s">
        <v>1118</v>
      </c>
      <c r="C116" s="246" t="s">
        <v>539</v>
      </c>
      <c r="D116" s="246" t="s">
        <v>641</v>
      </c>
      <c r="E116" s="246" t="s">
        <v>667</v>
      </c>
      <c r="F116" s="248"/>
      <c r="G116" s="338">
        <f>G117</f>
        <v>1956076.33</v>
      </c>
      <c r="H116" s="337"/>
      <c r="I116" s="236">
        <f t="shared" si="1"/>
        <v>1956076.33</v>
      </c>
    </row>
    <row r="117" spans="1:9" ht="28.5" customHeight="1">
      <c r="A117" s="280" t="s">
        <v>668</v>
      </c>
      <c r="B117" s="234" t="s">
        <v>1118</v>
      </c>
      <c r="C117" s="234" t="s">
        <v>539</v>
      </c>
      <c r="D117" s="234" t="s">
        <v>641</v>
      </c>
      <c r="E117" s="234" t="s">
        <v>669</v>
      </c>
      <c r="F117" s="245"/>
      <c r="G117" s="275">
        <f>G118</f>
        <v>1956076.33</v>
      </c>
      <c r="H117" s="337"/>
      <c r="I117" s="236">
        <f t="shared" si="1"/>
        <v>1956076.33</v>
      </c>
    </row>
    <row r="118" spans="1:9" ht="15">
      <c r="A118" s="280" t="s">
        <v>670</v>
      </c>
      <c r="B118" s="234" t="s">
        <v>1118</v>
      </c>
      <c r="C118" s="234" t="s">
        <v>539</v>
      </c>
      <c r="D118" s="234" t="s">
        <v>641</v>
      </c>
      <c r="E118" s="234" t="s">
        <v>671</v>
      </c>
      <c r="F118" s="245"/>
      <c r="G118" s="275">
        <f>G120+G119</f>
        <v>1956076.33</v>
      </c>
      <c r="H118" s="337"/>
      <c r="I118" s="236">
        <f t="shared" si="1"/>
        <v>1956076.33</v>
      </c>
    </row>
    <row r="119" spans="1:9" ht="39">
      <c r="A119" s="243" t="s">
        <v>548</v>
      </c>
      <c r="B119" s="234" t="s">
        <v>1118</v>
      </c>
      <c r="C119" s="234" t="s">
        <v>539</v>
      </c>
      <c r="D119" s="234" t="s">
        <v>641</v>
      </c>
      <c r="E119" s="234" t="s">
        <v>671</v>
      </c>
      <c r="F119" s="245" t="s">
        <v>549</v>
      </c>
      <c r="G119" s="275">
        <f>40000-10700</f>
        <v>29300</v>
      </c>
      <c r="H119" s="337"/>
      <c r="I119" s="236">
        <f t="shared" si="1"/>
        <v>29300</v>
      </c>
    </row>
    <row r="120" spans="1:9" ht="26.25">
      <c r="A120" s="243" t="s">
        <v>560</v>
      </c>
      <c r="B120" s="234" t="s">
        <v>1118</v>
      </c>
      <c r="C120" s="234" t="s">
        <v>539</v>
      </c>
      <c r="D120" s="234" t="s">
        <v>641</v>
      </c>
      <c r="E120" s="234" t="s">
        <v>671</v>
      </c>
      <c r="F120" s="235" t="s">
        <v>561</v>
      </c>
      <c r="G120" s="275">
        <f>567100+90000+30000+270000+37422+49551+640900+100000-504000+25000+560000+60803.33</f>
        <v>1926776.33</v>
      </c>
      <c r="H120" s="337"/>
      <c r="I120" s="236">
        <f t="shared" si="1"/>
        <v>1926776.33</v>
      </c>
    </row>
    <row r="121" spans="1:9" ht="39">
      <c r="A121" s="233" t="s">
        <v>579</v>
      </c>
      <c r="B121" s="234" t="s">
        <v>1118</v>
      </c>
      <c r="C121" s="234" t="s">
        <v>539</v>
      </c>
      <c r="D121" s="234" t="s">
        <v>641</v>
      </c>
      <c r="E121" s="244" t="s">
        <v>580</v>
      </c>
      <c r="F121" s="235"/>
      <c r="G121" s="275">
        <f>G122</f>
        <v>80000</v>
      </c>
      <c r="H121" s="337"/>
      <c r="I121" s="236">
        <f t="shared" si="1"/>
        <v>80000</v>
      </c>
    </row>
    <row r="122" spans="1:9" ht="89.25">
      <c r="A122" s="254" t="s">
        <v>581</v>
      </c>
      <c r="B122" s="234" t="s">
        <v>1118</v>
      </c>
      <c r="C122" s="234" t="s">
        <v>539</v>
      </c>
      <c r="D122" s="234" t="s">
        <v>641</v>
      </c>
      <c r="E122" s="247" t="s">
        <v>582</v>
      </c>
      <c r="F122" s="253"/>
      <c r="G122" s="338">
        <f>G123</f>
        <v>80000</v>
      </c>
      <c r="H122" s="337"/>
      <c r="I122" s="236">
        <f t="shared" si="1"/>
        <v>80000</v>
      </c>
    </row>
    <row r="123" spans="1:9" ht="25.5">
      <c r="A123" s="255" t="s">
        <v>583</v>
      </c>
      <c r="B123" s="234" t="s">
        <v>1118</v>
      </c>
      <c r="C123" s="234" t="s">
        <v>539</v>
      </c>
      <c r="D123" s="234" t="s">
        <v>641</v>
      </c>
      <c r="E123" s="244" t="s">
        <v>584</v>
      </c>
      <c r="F123" s="235"/>
      <c r="G123" s="275">
        <f>G124</f>
        <v>80000</v>
      </c>
      <c r="H123" s="337"/>
      <c r="I123" s="236">
        <f t="shared" si="1"/>
        <v>80000</v>
      </c>
    </row>
    <row r="124" spans="1:9" ht="26.25">
      <c r="A124" s="243" t="s">
        <v>674</v>
      </c>
      <c r="B124" s="234" t="s">
        <v>1118</v>
      </c>
      <c r="C124" s="234" t="s">
        <v>539</v>
      </c>
      <c r="D124" s="234" t="s">
        <v>641</v>
      </c>
      <c r="E124" s="244" t="s">
        <v>675</v>
      </c>
      <c r="F124" s="235"/>
      <c r="G124" s="275">
        <f>G125</f>
        <v>80000</v>
      </c>
      <c r="H124" s="337"/>
      <c r="I124" s="236">
        <f t="shared" si="1"/>
        <v>80000</v>
      </c>
    </row>
    <row r="125" spans="1:9" ht="26.25">
      <c r="A125" s="243" t="s">
        <v>560</v>
      </c>
      <c r="B125" s="234" t="s">
        <v>1118</v>
      </c>
      <c r="C125" s="234" t="s">
        <v>539</v>
      </c>
      <c r="D125" s="234" t="s">
        <v>641</v>
      </c>
      <c r="E125" s="244" t="s">
        <v>675</v>
      </c>
      <c r="F125" s="245" t="s">
        <v>561</v>
      </c>
      <c r="G125" s="275">
        <f>80000</f>
        <v>80000</v>
      </c>
      <c r="H125" s="337"/>
      <c r="I125" s="236">
        <f t="shared" si="1"/>
        <v>80000</v>
      </c>
    </row>
    <row r="126" spans="1:9" ht="51" hidden="1">
      <c r="A126" s="298" t="s">
        <v>676</v>
      </c>
      <c r="B126" s="234" t="s">
        <v>1118</v>
      </c>
      <c r="C126" s="234" t="s">
        <v>539</v>
      </c>
      <c r="D126" s="234" t="s">
        <v>641</v>
      </c>
      <c r="E126" s="234" t="s">
        <v>677</v>
      </c>
      <c r="F126" s="235"/>
      <c r="G126" s="275">
        <f>G127</f>
        <v>0</v>
      </c>
      <c r="H126" s="337"/>
      <c r="I126" s="236">
        <f t="shared" si="1"/>
        <v>0</v>
      </c>
    </row>
    <row r="127" spans="1:9" ht="63.75" hidden="1">
      <c r="A127" s="280" t="s">
        <v>678</v>
      </c>
      <c r="B127" s="234" t="s">
        <v>1118</v>
      </c>
      <c r="C127" s="234" t="s">
        <v>539</v>
      </c>
      <c r="D127" s="234" t="s">
        <v>641</v>
      </c>
      <c r="E127" s="234" t="s">
        <v>679</v>
      </c>
      <c r="F127" s="235"/>
      <c r="G127" s="275">
        <f>G128</f>
        <v>0</v>
      </c>
      <c r="H127" s="337"/>
      <c r="I127" s="236">
        <f t="shared" si="1"/>
        <v>0</v>
      </c>
    </row>
    <row r="128" spans="1:9" ht="25.5" hidden="1">
      <c r="A128" s="347" t="s">
        <v>680</v>
      </c>
      <c r="B128" s="234" t="s">
        <v>1118</v>
      </c>
      <c r="C128" s="234" t="s">
        <v>539</v>
      </c>
      <c r="D128" s="234" t="s">
        <v>641</v>
      </c>
      <c r="E128" s="234" t="s">
        <v>681</v>
      </c>
      <c r="F128" s="235"/>
      <c r="G128" s="275">
        <f>G129</f>
        <v>0</v>
      </c>
      <c r="H128" s="337"/>
      <c r="I128" s="236">
        <f t="shared" si="1"/>
        <v>0</v>
      </c>
    </row>
    <row r="129" spans="1:9" ht="25.5" hidden="1">
      <c r="A129" s="255" t="s">
        <v>682</v>
      </c>
      <c r="B129" s="234" t="s">
        <v>1118</v>
      </c>
      <c r="C129" s="234" t="s">
        <v>539</v>
      </c>
      <c r="D129" s="234" t="s">
        <v>641</v>
      </c>
      <c r="E129" s="234" t="s">
        <v>683</v>
      </c>
      <c r="F129" s="235"/>
      <c r="G129" s="275">
        <f>G130</f>
        <v>0</v>
      </c>
      <c r="H129" s="337"/>
      <c r="I129" s="236">
        <f t="shared" si="1"/>
        <v>0</v>
      </c>
    </row>
    <row r="130" spans="1:9" ht="26.25" hidden="1">
      <c r="A130" s="243" t="s">
        <v>560</v>
      </c>
      <c r="B130" s="234" t="s">
        <v>1118</v>
      </c>
      <c r="C130" s="234" t="s">
        <v>539</v>
      </c>
      <c r="D130" s="234" t="s">
        <v>641</v>
      </c>
      <c r="E130" s="234" t="s">
        <v>683</v>
      </c>
      <c r="F130" s="235" t="s">
        <v>561</v>
      </c>
      <c r="G130" s="275"/>
      <c r="H130" s="337"/>
      <c r="I130" s="236">
        <f t="shared" si="1"/>
        <v>0</v>
      </c>
    </row>
    <row r="131" spans="1:9" ht="42" customHeight="1">
      <c r="A131" s="240" t="s">
        <v>587</v>
      </c>
      <c r="B131" s="234" t="s">
        <v>1118</v>
      </c>
      <c r="C131" s="234" t="s">
        <v>539</v>
      </c>
      <c r="D131" s="234" t="s">
        <v>641</v>
      </c>
      <c r="E131" s="244" t="s">
        <v>588</v>
      </c>
      <c r="F131" s="235"/>
      <c r="G131" s="275">
        <f>G132</f>
        <v>70000</v>
      </c>
      <c r="H131" s="345"/>
      <c r="I131" s="236">
        <f t="shared" si="1"/>
        <v>70000</v>
      </c>
    </row>
    <row r="132" spans="1:9" ht="63.75">
      <c r="A132" s="268" t="s">
        <v>684</v>
      </c>
      <c r="B132" s="234" t="s">
        <v>1118</v>
      </c>
      <c r="C132" s="234" t="s">
        <v>539</v>
      </c>
      <c r="D132" s="234" t="s">
        <v>641</v>
      </c>
      <c r="E132" s="244" t="s">
        <v>685</v>
      </c>
      <c r="F132" s="235"/>
      <c r="G132" s="275">
        <f>G133</f>
        <v>70000</v>
      </c>
      <c r="H132" s="345"/>
      <c r="I132" s="236">
        <f t="shared" si="1"/>
        <v>70000</v>
      </c>
    </row>
    <row r="133" spans="1:9" ht="38.25">
      <c r="A133" s="254" t="s">
        <v>686</v>
      </c>
      <c r="B133" s="234" t="s">
        <v>1118</v>
      </c>
      <c r="C133" s="234" t="s">
        <v>539</v>
      </c>
      <c r="D133" s="234" t="s">
        <v>641</v>
      </c>
      <c r="E133" s="259" t="s">
        <v>687</v>
      </c>
      <c r="F133" s="235"/>
      <c r="G133" s="275">
        <f>G134+G136</f>
        <v>70000</v>
      </c>
      <c r="H133" s="345"/>
      <c r="I133" s="236">
        <f t="shared" si="1"/>
        <v>70000</v>
      </c>
    </row>
    <row r="134" spans="1:9" ht="26.25">
      <c r="A134" s="243" t="s">
        <v>688</v>
      </c>
      <c r="B134" s="234" t="s">
        <v>1118</v>
      </c>
      <c r="C134" s="234" t="s">
        <v>539</v>
      </c>
      <c r="D134" s="234" t="s">
        <v>641</v>
      </c>
      <c r="E134" s="259" t="s">
        <v>689</v>
      </c>
      <c r="F134" s="235"/>
      <c r="G134" s="275">
        <f>G135</f>
        <v>30000</v>
      </c>
      <c r="H134" s="337"/>
      <c r="I134" s="236">
        <f t="shared" si="1"/>
        <v>30000</v>
      </c>
    </row>
    <row r="135" spans="1:9" ht="26.25">
      <c r="A135" s="243" t="s">
        <v>560</v>
      </c>
      <c r="B135" s="234" t="s">
        <v>1118</v>
      </c>
      <c r="C135" s="234" t="s">
        <v>539</v>
      </c>
      <c r="D135" s="234" t="s">
        <v>641</v>
      </c>
      <c r="E135" s="259" t="s">
        <v>689</v>
      </c>
      <c r="F135" s="235" t="s">
        <v>561</v>
      </c>
      <c r="G135" s="275">
        <v>30000</v>
      </c>
      <c r="H135" s="337"/>
      <c r="I135" s="236">
        <f t="shared" si="1"/>
        <v>30000</v>
      </c>
    </row>
    <row r="136" spans="1:9" ht="26.25">
      <c r="A136" s="243" t="s">
        <v>690</v>
      </c>
      <c r="B136" s="234" t="s">
        <v>1118</v>
      </c>
      <c r="C136" s="234" t="s">
        <v>539</v>
      </c>
      <c r="D136" s="234" t="s">
        <v>641</v>
      </c>
      <c r="E136" s="259" t="s">
        <v>691</v>
      </c>
      <c r="F136" s="235"/>
      <c r="G136" s="275">
        <f>G137</f>
        <v>40000</v>
      </c>
      <c r="H136" s="337"/>
      <c r="I136" s="236">
        <f t="shared" si="1"/>
        <v>40000</v>
      </c>
    </row>
    <row r="137" spans="1:9" ht="26.25">
      <c r="A137" s="243" t="s">
        <v>560</v>
      </c>
      <c r="B137" s="234" t="s">
        <v>1118</v>
      </c>
      <c r="C137" s="234" t="s">
        <v>539</v>
      </c>
      <c r="D137" s="234" t="s">
        <v>641</v>
      </c>
      <c r="E137" s="259" t="s">
        <v>691</v>
      </c>
      <c r="F137" s="235" t="s">
        <v>561</v>
      </c>
      <c r="G137" s="275">
        <f>40000</f>
        <v>40000</v>
      </c>
      <c r="H137" s="337"/>
      <c r="I137" s="236">
        <f t="shared" si="1"/>
        <v>40000</v>
      </c>
    </row>
    <row r="138" spans="1:9" ht="42.75" customHeight="1">
      <c r="A138" s="269" t="s">
        <v>692</v>
      </c>
      <c r="B138" s="234" t="s">
        <v>1118</v>
      </c>
      <c r="C138" s="234" t="s">
        <v>539</v>
      </c>
      <c r="D138" s="234" t="s">
        <v>641</v>
      </c>
      <c r="E138" s="263" t="s">
        <v>693</v>
      </c>
      <c r="F138" s="235"/>
      <c r="G138" s="275">
        <f>G139+G143</f>
        <v>704696.67</v>
      </c>
      <c r="H138" s="337"/>
      <c r="I138" s="236">
        <f t="shared" si="1"/>
        <v>704696.67</v>
      </c>
    </row>
    <row r="139" spans="1:9" ht="51" customHeight="1" hidden="1">
      <c r="A139" s="286" t="s">
        <v>694</v>
      </c>
      <c r="B139" s="234" t="s">
        <v>1118</v>
      </c>
      <c r="C139" s="234" t="s">
        <v>539</v>
      </c>
      <c r="D139" s="234" t="s">
        <v>641</v>
      </c>
      <c r="E139" s="263" t="s">
        <v>695</v>
      </c>
      <c r="F139" s="235"/>
      <c r="G139" s="275">
        <f>G140</f>
        <v>0</v>
      </c>
      <c r="H139" s="337"/>
      <c r="I139" s="236">
        <f t="shared" si="1"/>
        <v>0</v>
      </c>
    </row>
    <row r="140" spans="1:9" ht="25.5" hidden="1">
      <c r="A140" s="286" t="s">
        <v>696</v>
      </c>
      <c r="B140" s="234" t="s">
        <v>1118</v>
      </c>
      <c r="C140" s="234" t="s">
        <v>539</v>
      </c>
      <c r="D140" s="234" t="s">
        <v>641</v>
      </c>
      <c r="E140" s="263" t="s">
        <v>697</v>
      </c>
      <c r="F140" s="235"/>
      <c r="G140" s="275">
        <f>G141</f>
        <v>0</v>
      </c>
      <c r="H140" s="337"/>
      <c r="I140" s="236">
        <f t="shared" si="1"/>
        <v>0</v>
      </c>
    </row>
    <row r="141" spans="1:9" ht="26.25" hidden="1">
      <c r="A141" s="243" t="s">
        <v>698</v>
      </c>
      <c r="B141" s="234" t="s">
        <v>1118</v>
      </c>
      <c r="C141" s="234" t="s">
        <v>539</v>
      </c>
      <c r="D141" s="234" t="s">
        <v>641</v>
      </c>
      <c r="E141" s="263" t="s">
        <v>699</v>
      </c>
      <c r="F141" s="235"/>
      <c r="G141" s="275">
        <f>G142</f>
        <v>0</v>
      </c>
      <c r="H141" s="337"/>
      <c r="I141" s="236">
        <f t="shared" si="1"/>
        <v>0</v>
      </c>
    </row>
    <row r="142" spans="1:9" ht="26.25" hidden="1">
      <c r="A142" s="243" t="s">
        <v>560</v>
      </c>
      <c r="B142" s="234" t="s">
        <v>1118</v>
      </c>
      <c r="C142" s="234" t="s">
        <v>539</v>
      </c>
      <c r="D142" s="234" t="s">
        <v>641</v>
      </c>
      <c r="E142" s="263" t="s">
        <v>699</v>
      </c>
      <c r="F142" s="235" t="s">
        <v>561</v>
      </c>
      <c r="G142" s="275">
        <f>15000-15000</f>
        <v>0</v>
      </c>
      <c r="H142" s="337"/>
      <c r="I142" s="236">
        <f t="shared" si="1"/>
        <v>0</v>
      </c>
    </row>
    <row r="143" spans="1:9" ht="59.25" customHeight="1">
      <c r="A143" s="286" t="s">
        <v>700</v>
      </c>
      <c r="B143" s="234" t="s">
        <v>1118</v>
      </c>
      <c r="C143" s="234" t="s">
        <v>539</v>
      </c>
      <c r="D143" s="234" t="s">
        <v>641</v>
      </c>
      <c r="E143" s="263" t="s">
        <v>701</v>
      </c>
      <c r="F143" s="235"/>
      <c r="G143" s="275">
        <f>G144</f>
        <v>704696.67</v>
      </c>
      <c r="H143" s="337"/>
      <c r="I143" s="236">
        <f t="shared" si="1"/>
        <v>704696.67</v>
      </c>
    </row>
    <row r="144" spans="1:9" ht="15">
      <c r="A144" s="286" t="s">
        <v>702</v>
      </c>
      <c r="B144" s="234" t="s">
        <v>1118</v>
      </c>
      <c r="C144" s="234" t="s">
        <v>539</v>
      </c>
      <c r="D144" s="234" t="s">
        <v>641</v>
      </c>
      <c r="E144" s="263" t="s">
        <v>703</v>
      </c>
      <c r="F144" s="235"/>
      <c r="G144" s="275">
        <f>G145</f>
        <v>704696.67</v>
      </c>
      <c r="H144" s="337"/>
      <c r="I144" s="236">
        <f t="shared" si="1"/>
        <v>704696.67</v>
      </c>
    </row>
    <row r="145" spans="1:9" ht="23.25" customHeight="1">
      <c r="A145" s="286" t="s">
        <v>662</v>
      </c>
      <c r="B145" s="234" t="s">
        <v>1118</v>
      </c>
      <c r="C145" s="234" t="s">
        <v>539</v>
      </c>
      <c r="D145" s="234" t="s">
        <v>641</v>
      </c>
      <c r="E145" s="263" t="s">
        <v>704</v>
      </c>
      <c r="F145" s="235"/>
      <c r="G145" s="275">
        <f>G146</f>
        <v>704696.67</v>
      </c>
      <c r="H145" s="337"/>
      <c r="I145" s="236">
        <f t="shared" si="1"/>
        <v>704696.67</v>
      </c>
    </row>
    <row r="146" spans="1:9" ht="30" customHeight="1">
      <c r="A146" s="243" t="s">
        <v>560</v>
      </c>
      <c r="B146" s="234" t="s">
        <v>1118</v>
      </c>
      <c r="C146" s="234" t="s">
        <v>539</v>
      </c>
      <c r="D146" s="234" t="s">
        <v>641</v>
      </c>
      <c r="E146" s="263" t="s">
        <v>704</v>
      </c>
      <c r="F146" s="235" t="s">
        <v>561</v>
      </c>
      <c r="G146" s="275">
        <f>181500+72000+504000+15000-67803.33</f>
        <v>704696.67</v>
      </c>
      <c r="H146" s="345"/>
      <c r="I146" s="236">
        <f t="shared" si="1"/>
        <v>704696.67</v>
      </c>
    </row>
    <row r="147" spans="1:9" ht="46.5" customHeight="1">
      <c r="A147" s="243" t="s">
        <v>1122</v>
      </c>
      <c r="B147" s="234" t="s">
        <v>1118</v>
      </c>
      <c r="C147" s="234" t="s">
        <v>539</v>
      </c>
      <c r="D147" s="234" t="s">
        <v>641</v>
      </c>
      <c r="E147" s="263" t="s">
        <v>706</v>
      </c>
      <c r="F147" s="270"/>
      <c r="G147" s="275">
        <f>G148</f>
        <v>2746541</v>
      </c>
      <c r="H147" s="337"/>
      <c r="I147" s="236">
        <f t="shared" si="1"/>
        <v>2746541</v>
      </c>
    </row>
    <row r="148" spans="1:9" ht="57.75" customHeight="1">
      <c r="A148" s="243" t="s">
        <v>707</v>
      </c>
      <c r="B148" s="234" t="s">
        <v>1118</v>
      </c>
      <c r="C148" s="246" t="s">
        <v>539</v>
      </c>
      <c r="D148" s="246" t="s">
        <v>641</v>
      </c>
      <c r="E148" s="271" t="s">
        <v>708</v>
      </c>
      <c r="F148" s="272"/>
      <c r="G148" s="338">
        <f>G150</f>
        <v>2746541</v>
      </c>
      <c r="H148" s="337"/>
      <c r="I148" s="236">
        <f t="shared" si="1"/>
        <v>2746541</v>
      </c>
    </row>
    <row r="149" spans="1:9" ht="62.25" customHeight="1">
      <c r="A149" s="273" t="s">
        <v>709</v>
      </c>
      <c r="B149" s="234" t="s">
        <v>1118</v>
      </c>
      <c r="C149" s="234" t="s">
        <v>539</v>
      </c>
      <c r="D149" s="234" t="s">
        <v>641</v>
      </c>
      <c r="E149" s="263" t="s">
        <v>710</v>
      </c>
      <c r="F149" s="270"/>
      <c r="G149" s="275">
        <f>G150</f>
        <v>2746541</v>
      </c>
      <c r="H149" s="337"/>
      <c r="I149" s="236">
        <f t="shared" si="1"/>
        <v>2746541</v>
      </c>
    </row>
    <row r="150" spans="1:9" ht="33.75" customHeight="1">
      <c r="A150" s="241" t="s">
        <v>711</v>
      </c>
      <c r="B150" s="234" t="s">
        <v>1118</v>
      </c>
      <c r="C150" s="234" t="s">
        <v>539</v>
      </c>
      <c r="D150" s="234" t="s">
        <v>641</v>
      </c>
      <c r="E150" s="263" t="s">
        <v>712</v>
      </c>
      <c r="F150" s="270"/>
      <c r="G150" s="275">
        <f>G151+G152</f>
        <v>2746541</v>
      </c>
      <c r="H150" s="337"/>
      <c r="I150" s="236">
        <f t="shared" si="1"/>
        <v>2746541</v>
      </c>
    </row>
    <row r="151" spans="1:9" ht="41.25" customHeight="1">
      <c r="A151" s="243" t="s">
        <v>548</v>
      </c>
      <c r="B151" s="234" t="s">
        <v>1118</v>
      </c>
      <c r="C151" s="234" t="s">
        <v>539</v>
      </c>
      <c r="D151" s="234" t="s">
        <v>641</v>
      </c>
      <c r="E151" s="263" t="s">
        <v>712</v>
      </c>
      <c r="F151" s="270" t="s">
        <v>549</v>
      </c>
      <c r="G151" s="275">
        <f>765394+171128.44</f>
        <v>936522.44</v>
      </c>
      <c r="H151" s="345"/>
      <c r="I151" s="236">
        <f t="shared" si="1"/>
        <v>936522.44</v>
      </c>
    </row>
    <row r="152" spans="1:9" ht="30.75" customHeight="1">
      <c r="A152" s="243" t="s">
        <v>560</v>
      </c>
      <c r="B152" s="234" t="s">
        <v>1118</v>
      </c>
      <c r="C152" s="234" t="s">
        <v>539</v>
      </c>
      <c r="D152" s="234" t="s">
        <v>641</v>
      </c>
      <c r="E152" s="263" t="s">
        <v>712</v>
      </c>
      <c r="F152" s="270" t="s">
        <v>561</v>
      </c>
      <c r="G152" s="275">
        <f>1981147-171128.44</f>
        <v>1810018.56</v>
      </c>
      <c r="H152" s="345"/>
      <c r="I152" s="236">
        <f t="shared" si="1"/>
        <v>1810018.56</v>
      </c>
    </row>
    <row r="153" spans="1:9" ht="30.75" customHeight="1">
      <c r="A153" s="243" t="s">
        <v>597</v>
      </c>
      <c r="B153" s="234" t="s">
        <v>1118</v>
      </c>
      <c r="C153" s="234" t="s">
        <v>539</v>
      </c>
      <c r="D153" s="234" t="s">
        <v>641</v>
      </c>
      <c r="E153" s="234" t="s">
        <v>598</v>
      </c>
      <c r="F153" s="270"/>
      <c r="G153" s="275">
        <f>G154</f>
        <v>290000</v>
      </c>
      <c r="H153" s="345"/>
      <c r="I153" s="236">
        <f t="shared" si="1"/>
        <v>290000</v>
      </c>
    </row>
    <row r="154" spans="1:9" ht="30.75" customHeight="1">
      <c r="A154" s="241" t="s">
        <v>599</v>
      </c>
      <c r="B154" s="234" t="s">
        <v>1118</v>
      </c>
      <c r="C154" s="234" t="s">
        <v>539</v>
      </c>
      <c r="D154" s="234" t="s">
        <v>641</v>
      </c>
      <c r="E154" s="234" t="s">
        <v>600</v>
      </c>
      <c r="F154" s="270"/>
      <c r="G154" s="275">
        <f>G155</f>
        <v>290000</v>
      </c>
      <c r="H154" s="345"/>
      <c r="I154" s="236">
        <f t="shared" si="1"/>
        <v>290000</v>
      </c>
    </row>
    <row r="155" spans="1:9" ht="30.75" customHeight="1">
      <c r="A155" s="348" t="s">
        <v>713</v>
      </c>
      <c r="B155" s="234" t="s">
        <v>1118</v>
      </c>
      <c r="C155" s="234" t="s">
        <v>539</v>
      </c>
      <c r="D155" s="234" t="s">
        <v>641</v>
      </c>
      <c r="E155" s="234" t="s">
        <v>714</v>
      </c>
      <c r="F155" s="270"/>
      <c r="G155" s="275">
        <f>G156+G157</f>
        <v>290000</v>
      </c>
      <c r="H155" s="345"/>
      <c r="I155" s="236">
        <f t="shared" si="1"/>
        <v>290000</v>
      </c>
    </row>
    <row r="156" spans="1:9" ht="40.5" customHeight="1">
      <c r="A156" s="243" t="s">
        <v>548</v>
      </c>
      <c r="B156" s="234" t="s">
        <v>1118</v>
      </c>
      <c r="C156" s="234" t="s">
        <v>539</v>
      </c>
      <c r="D156" s="234" t="s">
        <v>641</v>
      </c>
      <c r="E156" s="234" t="s">
        <v>714</v>
      </c>
      <c r="F156" s="270" t="s">
        <v>549</v>
      </c>
      <c r="G156" s="275">
        <f>168970+51030-13400</f>
        <v>206600</v>
      </c>
      <c r="H156" s="345"/>
      <c r="I156" s="236">
        <f t="shared" si="1"/>
        <v>206600</v>
      </c>
    </row>
    <row r="157" spans="1:9" ht="30.75" customHeight="1">
      <c r="A157" s="243" t="s">
        <v>560</v>
      </c>
      <c r="B157" s="234" t="s">
        <v>1118</v>
      </c>
      <c r="C157" s="234" t="s">
        <v>539</v>
      </c>
      <c r="D157" s="234" t="s">
        <v>641</v>
      </c>
      <c r="E157" s="234" t="s">
        <v>714</v>
      </c>
      <c r="F157" s="270" t="s">
        <v>561</v>
      </c>
      <c r="G157" s="275">
        <f>40000+30000+13400</f>
        <v>83400</v>
      </c>
      <c r="H157" s="345"/>
      <c r="I157" s="236">
        <f t="shared" si="1"/>
        <v>83400</v>
      </c>
    </row>
    <row r="158" spans="1:9" ht="26.25">
      <c r="A158" s="243" t="s">
        <v>715</v>
      </c>
      <c r="B158" s="234" t="s">
        <v>1118</v>
      </c>
      <c r="C158" s="234" t="s">
        <v>539</v>
      </c>
      <c r="D158" s="234" t="s">
        <v>641</v>
      </c>
      <c r="E158" s="244" t="s">
        <v>716</v>
      </c>
      <c r="F158" s="270"/>
      <c r="G158" s="275">
        <f>G159</f>
        <v>75142602.2</v>
      </c>
      <c r="H158" s="337"/>
      <c r="I158" s="236">
        <f t="shared" si="1"/>
        <v>75142602.2</v>
      </c>
    </row>
    <row r="159" spans="1:9" ht="21.75" customHeight="1">
      <c r="A159" s="243" t="s">
        <v>717</v>
      </c>
      <c r="B159" s="234" t="s">
        <v>1118</v>
      </c>
      <c r="C159" s="234" t="s">
        <v>539</v>
      </c>
      <c r="D159" s="234" t="s">
        <v>641</v>
      </c>
      <c r="E159" s="244" t="s">
        <v>718</v>
      </c>
      <c r="F159" s="270"/>
      <c r="G159" s="275">
        <f>G160</f>
        <v>75142602.2</v>
      </c>
      <c r="H159" s="337"/>
      <c r="I159" s="236">
        <f t="shared" si="1"/>
        <v>75142602.2</v>
      </c>
    </row>
    <row r="160" spans="1:9" ht="23.25" customHeight="1">
      <c r="A160" s="240" t="s">
        <v>662</v>
      </c>
      <c r="B160" s="234" t="s">
        <v>1118</v>
      </c>
      <c r="C160" s="234" t="s">
        <v>539</v>
      </c>
      <c r="D160" s="234" t="s">
        <v>641</v>
      </c>
      <c r="E160" s="244" t="s">
        <v>719</v>
      </c>
      <c r="F160" s="270"/>
      <c r="G160" s="275">
        <f>G161+G163+G162</f>
        <v>75142602.2</v>
      </c>
      <c r="H160" s="337"/>
      <c r="I160" s="236">
        <f t="shared" si="1"/>
        <v>75142602.2</v>
      </c>
    </row>
    <row r="161" spans="1:9" ht="30" customHeight="1">
      <c r="A161" s="243" t="s">
        <v>560</v>
      </c>
      <c r="B161" s="234" t="s">
        <v>1118</v>
      </c>
      <c r="C161" s="234" t="s">
        <v>539</v>
      </c>
      <c r="D161" s="234" t="s">
        <v>641</v>
      </c>
      <c r="E161" s="244" t="s">
        <v>719</v>
      </c>
      <c r="F161" s="270" t="s">
        <v>561</v>
      </c>
      <c r="G161" s="275">
        <f>10000+0.24+50000</f>
        <v>60000.24</v>
      </c>
      <c r="H161" s="345"/>
      <c r="I161" s="236">
        <f t="shared" si="1"/>
        <v>60000.24</v>
      </c>
    </row>
    <row r="162" spans="1:9" ht="21" customHeight="1">
      <c r="A162" s="292" t="s">
        <v>720</v>
      </c>
      <c r="B162" s="234" t="s">
        <v>1118</v>
      </c>
      <c r="C162" s="234" t="s">
        <v>539</v>
      </c>
      <c r="D162" s="234" t="s">
        <v>641</v>
      </c>
      <c r="E162" s="244" t="s">
        <v>719</v>
      </c>
      <c r="F162" s="270" t="s">
        <v>721</v>
      </c>
      <c r="G162" s="275">
        <f>220000</f>
        <v>220000</v>
      </c>
      <c r="H162" s="345"/>
      <c r="I162" s="236">
        <f t="shared" si="1"/>
        <v>220000</v>
      </c>
    </row>
    <row r="163" spans="1:9" ht="17.25" customHeight="1">
      <c r="A163" s="255" t="s">
        <v>602</v>
      </c>
      <c r="B163" s="234" t="s">
        <v>1118</v>
      </c>
      <c r="C163" s="234" t="s">
        <v>539</v>
      </c>
      <c r="D163" s="234" t="s">
        <v>641</v>
      </c>
      <c r="E163" s="244" t="s">
        <v>719</v>
      </c>
      <c r="F163" s="270" t="s">
        <v>603</v>
      </c>
      <c r="G163" s="275">
        <f>167900+67000+3521200-105748.68-68550-50947-2963820+30000+2277273-177600-1369183.36+302308-93214+36566342+26462885-200000+13542000-593331-52000-956338-460497-4000-452077-577000+50000</f>
        <v>74862601.96000001</v>
      </c>
      <c r="H163" s="345"/>
      <c r="I163" s="236">
        <f t="shared" si="1"/>
        <v>74862601.96000001</v>
      </c>
    </row>
    <row r="164" spans="1:9" ht="20.25" customHeight="1">
      <c r="A164" s="240" t="s">
        <v>604</v>
      </c>
      <c r="B164" s="234" t="s">
        <v>1118</v>
      </c>
      <c r="C164" s="274" t="s">
        <v>539</v>
      </c>
      <c r="D164" s="234" t="s">
        <v>641</v>
      </c>
      <c r="E164" s="259" t="s">
        <v>605</v>
      </c>
      <c r="F164" s="245"/>
      <c r="G164" s="275">
        <f>G165</f>
        <v>22157651</v>
      </c>
      <c r="H164" s="345"/>
      <c r="I164" s="236">
        <f t="shared" si="1"/>
        <v>22157651</v>
      </c>
    </row>
    <row r="165" spans="1:9" ht="18.75" customHeight="1">
      <c r="A165" s="240" t="s">
        <v>611</v>
      </c>
      <c r="B165" s="234" t="s">
        <v>1118</v>
      </c>
      <c r="C165" s="234" t="s">
        <v>539</v>
      </c>
      <c r="D165" s="234" t="s">
        <v>641</v>
      </c>
      <c r="E165" s="234" t="s">
        <v>612</v>
      </c>
      <c r="F165" s="235"/>
      <c r="G165" s="275">
        <f>G166+G170+G172</f>
        <v>22157651</v>
      </c>
      <c r="H165" s="345"/>
      <c r="I165" s="236">
        <f t="shared" si="1"/>
        <v>22157651</v>
      </c>
    </row>
    <row r="166" spans="1:9" ht="30" customHeight="1">
      <c r="A166" s="255" t="s">
        <v>722</v>
      </c>
      <c r="B166" s="234" t="s">
        <v>1118</v>
      </c>
      <c r="C166" s="234" t="s">
        <v>539</v>
      </c>
      <c r="D166" s="234" t="s">
        <v>641</v>
      </c>
      <c r="E166" s="234" t="s">
        <v>723</v>
      </c>
      <c r="F166" s="235"/>
      <c r="G166" s="275">
        <f>G167+G168+G169</f>
        <v>21882331</v>
      </c>
      <c r="H166" s="345"/>
      <c r="I166" s="236">
        <f t="shared" si="1"/>
        <v>21882331</v>
      </c>
    </row>
    <row r="167" spans="1:9" ht="42" customHeight="1">
      <c r="A167" s="243" t="s">
        <v>548</v>
      </c>
      <c r="B167" s="234" t="s">
        <v>1118</v>
      </c>
      <c r="C167" s="234" t="s">
        <v>539</v>
      </c>
      <c r="D167" s="234" t="s">
        <v>641</v>
      </c>
      <c r="E167" s="234" t="s">
        <v>723</v>
      </c>
      <c r="F167" s="245" t="s">
        <v>549</v>
      </c>
      <c r="G167" s="275">
        <f>5520500+317090+83869+61258+34630+112438</f>
        <v>6129785</v>
      </c>
      <c r="H167" s="345"/>
      <c r="I167" s="236">
        <f t="shared" si="1"/>
        <v>6129785</v>
      </c>
    </row>
    <row r="168" spans="1:9" ht="30" customHeight="1">
      <c r="A168" s="243" t="s">
        <v>560</v>
      </c>
      <c r="B168" s="234" t="s">
        <v>1118</v>
      </c>
      <c r="C168" s="234" t="s">
        <v>539</v>
      </c>
      <c r="D168" s="234" t="s">
        <v>641</v>
      </c>
      <c r="E168" s="234" t="s">
        <v>723</v>
      </c>
      <c r="F168" s="245" t="s">
        <v>561</v>
      </c>
      <c r="G168" s="275">
        <f>2631850+3275000+5851500+40000+102950+1487928+3551072-1436006+200000</f>
        <v>15704294</v>
      </c>
      <c r="H168" s="345"/>
      <c r="I168" s="236">
        <f t="shared" si="1"/>
        <v>15704294</v>
      </c>
    </row>
    <row r="169" spans="1:9" ht="21.75" customHeight="1">
      <c r="A169" s="255" t="s">
        <v>602</v>
      </c>
      <c r="B169" s="234" t="s">
        <v>1118</v>
      </c>
      <c r="C169" s="234" t="s">
        <v>539</v>
      </c>
      <c r="D169" s="234" t="s">
        <v>641</v>
      </c>
      <c r="E169" s="234" t="s">
        <v>723</v>
      </c>
      <c r="F169" s="245" t="s">
        <v>603</v>
      </c>
      <c r="G169" s="275">
        <f>18140+8000+12787+9325</f>
        <v>48252</v>
      </c>
      <c r="H169" s="345"/>
      <c r="I169" s="236">
        <f t="shared" si="1"/>
        <v>48252</v>
      </c>
    </row>
    <row r="170" spans="1:9" ht="21" customHeight="1">
      <c r="A170" s="280" t="s">
        <v>724</v>
      </c>
      <c r="B170" s="234" t="s">
        <v>1118</v>
      </c>
      <c r="C170" s="234" t="s">
        <v>539</v>
      </c>
      <c r="D170" s="234" t="s">
        <v>641</v>
      </c>
      <c r="E170" s="234" t="s">
        <v>725</v>
      </c>
      <c r="F170" s="245"/>
      <c r="G170" s="275">
        <f>G171</f>
        <v>100000</v>
      </c>
      <c r="H170" s="337"/>
      <c r="I170" s="236">
        <f t="shared" si="1"/>
        <v>100000</v>
      </c>
    </row>
    <row r="171" spans="1:9" ht="30" customHeight="1">
      <c r="A171" s="243" t="s">
        <v>560</v>
      </c>
      <c r="B171" s="234" t="s">
        <v>1118</v>
      </c>
      <c r="C171" s="234" t="s">
        <v>539</v>
      </c>
      <c r="D171" s="234" t="s">
        <v>641</v>
      </c>
      <c r="E171" s="234" t="s">
        <v>725</v>
      </c>
      <c r="F171" s="245" t="s">
        <v>561</v>
      </c>
      <c r="G171" s="275">
        <v>100000</v>
      </c>
      <c r="H171" s="345"/>
      <c r="I171" s="236">
        <f t="shared" si="1"/>
        <v>100000</v>
      </c>
    </row>
    <row r="172" spans="1:9" ht="30" customHeight="1">
      <c r="A172" s="243" t="s">
        <v>726</v>
      </c>
      <c r="B172" s="234" t="s">
        <v>1118</v>
      </c>
      <c r="C172" s="234" t="s">
        <v>539</v>
      </c>
      <c r="D172" s="234" t="s">
        <v>641</v>
      </c>
      <c r="E172" s="234" t="s">
        <v>727</v>
      </c>
      <c r="F172" s="245"/>
      <c r="G172" s="275">
        <f>G173</f>
        <v>175320</v>
      </c>
      <c r="H172" s="337"/>
      <c r="I172" s="236">
        <f t="shared" si="1"/>
        <v>175320</v>
      </c>
    </row>
    <row r="173" spans="1:9" ht="15">
      <c r="A173" s="243" t="s">
        <v>720</v>
      </c>
      <c r="B173" s="234" t="s">
        <v>1118</v>
      </c>
      <c r="C173" s="234" t="s">
        <v>539</v>
      </c>
      <c r="D173" s="234" t="s">
        <v>641</v>
      </c>
      <c r="E173" s="234" t="s">
        <v>727</v>
      </c>
      <c r="F173" s="245" t="s">
        <v>721</v>
      </c>
      <c r="G173" s="275">
        <f>175320</f>
        <v>175320</v>
      </c>
      <c r="H173" s="345"/>
      <c r="I173" s="236">
        <f t="shared" si="1"/>
        <v>175320</v>
      </c>
    </row>
    <row r="174" spans="1:9" ht="15">
      <c r="A174" s="240" t="s">
        <v>728</v>
      </c>
      <c r="B174" s="234" t="s">
        <v>1118</v>
      </c>
      <c r="C174" s="274" t="s">
        <v>539</v>
      </c>
      <c r="D174" s="234" t="s">
        <v>641</v>
      </c>
      <c r="E174" s="259" t="s">
        <v>729</v>
      </c>
      <c r="F174" s="245"/>
      <c r="G174" s="275">
        <f>G175</f>
        <v>90000</v>
      </c>
      <c r="H174" s="337"/>
      <c r="I174" s="236">
        <f t="shared" si="1"/>
        <v>90000</v>
      </c>
    </row>
    <row r="175" spans="1:9" ht="15">
      <c r="A175" s="243" t="s">
        <v>632</v>
      </c>
      <c r="B175" s="234" t="s">
        <v>1118</v>
      </c>
      <c r="C175" s="274" t="s">
        <v>539</v>
      </c>
      <c r="D175" s="234" t="s">
        <v>641</v>
      </c>
      <c r="E175" s="259" t="s">
        <v>730</v>
      </c>
      <c r="F175" s="245"/>
      <c r="G175" s="275">
        <f>G176</f>
        <v>90000</v>
      </c>
      <c r="H175" s="337"/>
      <c r="I175" s="236">
        <f t="shared" si="1"/>
        <v>90000</v>
      </c>
    </row>
    <row r="176" spans="1:9" ht="15">
      <c r="A176" s="243" t="s">
        <v>731</v>
      </c>
      <c r="B176" s="234" t="s">
        <v>1118</v>
      </c>
      <c r="C176" s="274" t="s">
        <v>539</v>
      </c>
      <c r="D176" s="234" t="s">
        <v>641</v>
      </c>
      <c r="E176" s="259" t="s">
        <v>732</v>
      </c>
      <c r="F176" s="245"/>
      <c r="G176" s="275">
        <f>G177</f>
        <v>90000</v>
      </c>
      <c r="H176" s="337"/>
      <c r="I176" s="236">
        <f t="shared" si="1"/>
        <v>90000</v>
      </c>
    </row>
    <row r="177" spans="1:9" ht="15">
      <c r="A177" s="276" t="s">
        <v>733</v>
      </c>
      <c r="B177" s="234" t="s">
        <v>1118</v>
      </c>
      <c r="C177" s="274" t="s">
        <v>539</v>
      </c>
      <c r="D177" s="234" t="s">
        <v>641</v>
      </c>
      <c r="E177" s="259" t="s">
        <v>732</v>
      </c>
      <c r="F177" s="245" t="s">
        <v>734</v>
      </c>
      <c r="G177" s="275">
        <f>30000+30000+30000</f>
        <v>90000</v>
      </c>
      <c r="H177" s="337"/>
      <c r="I177" s="236">
        <f t="shared" si="1"/>
        <v>90000</v>
      </c>
    </row>
    <row r="178" spans="1:9" ht="24" customHeight="1">
      <c r="A178" s="282" t="s">
        <v>735</v>
      </c>
      <c r="B178" s="234" t="s">
        <v>1118</v>
      </c>
      <c r="C178" s="234" t="s">
        <v>551</v>
      </c>
      <c r="D178" s="234" t="s">
        <v>736</v>
      </c>
      <c r="E178" s="259"/>
      <c r="F178" s="245"/>
      <c r="G178" s="275">
        <f>G179</f>
        <v>51000</v>
      </c>
      <c r="H178" s="337"/>
      <c r="I178" s="236">
        <f t="shared" si="1"/>
        <v>51000</v>
      </c>
    </row>
    <row r="179" spans="1:9" ht="27.75" customHeight="1">
      <c r="A179" s="307" t="s">
        <v>737</v>
      </c>
      <c r="B179" s="234" t="s">
        <v>1118</v>
      </c>
      <c r="C179" s="234" t="s">
        <v>551</v>
      </c>
      <c r="D179" s="234" t="s">
        <v>738</v>
      </c>
      <c r="E179" s="259"/>
      <c r="F179" s="245"/>
      <c r="G179" s="275">
        <f>G180</f>
        <v>51000</v>
      </c>
      <c r="H179" s="337"/>
      <c r="I179" s="236">
        <f t="shared" si="1"/>
        <v>51000</v>
      </c>
    </row>
    <row r="180" spans="1:9" ht="54.75" customHeight="1">
      <c r="A180" s="254" t="s">
        <v>739</v>
      </c>
      <c r="B180" s="234" t="s">
        <v>1118</v>
      </c>
      <c r="C180" s="234" t="s">
        <v>551</v>
      </c>
      <c r="D180" s="234" t="s">
        <v>738</v>
      </c>
      <c r="E180" s="271" t="s">
        <v>740</v>
      </c>
      <c r="F180" s="245"/>
      <c r="G180" s="275">
        <f>G181</f>
        <v>51000</v>
      </c>
      <c r="H180" s="337"/>
      <c r="I180" s="236">
        <f t="shared" si="1"/>
        <v>51000</v>
      </c>
    </row>
    <row r="181" spans="1:9" ht="86.25" customHeight="1">
      <c r="A181" s="286" t="s">
        <v>741</v>
      </c>
      <c r="B181" s="234" t="s">
        <v>1118</v>
      </c>
      <c r="C181" s="246" t="s">
        <v>551</v>
      </c>
      <c r="D181" s="246" t="s">
        <v>738</v>
      </c>
      <c r="E181" s="271" t="s">
        <v>742</v>
      </c>
      <c r="F181" s="248"/>
      <c r="G181" s="338">
        <f>G182+G185+G188+G191</f>
        <v>51000</v>
      </c>
      <c r="H181" s="337"/>
      <c r="I181" s="236">
        <f t="shared" si="1"/>
        <v>51000</v>
      </c>
    </row>
    <row r="182" spans="1:9" ht="0.75" customHeight="1" hidden="1">
      <c r="A182" s="286" t="s">
        <v>743</v>
      </c>
      <c r="B182" s="234" t="s">
        <v>1118</v>
      </c>
      <c r="C182" s="234" t="s">
        <v>551</v>
      </c>
      <c r="D182" s="234" t="s">
        <v>738</v>
      </c>
      <c r="E182" s="263" t="s">
        <v>744</v>
      </c>
      <c r="F182" s="245"/>
      <c r="G182" s="275">
        <f>G183</f>
        <v>0</v>
      </c>
      <c r="H182" s="337"/>
      <c r="I182" s="236">
        <f t="shared" si="1"/>
        <v>0</v>
      </c>
    </row>
    <row r="183" spans="1:9" ht="39" customHeight="1" hidden="1">
      <c r="A183" s="243" t="s">
        <v>745</v>
      </c>
      <c r="B183" s="234" t="s">
        <v>1118</v>
      </c>
      <c r="C183" s="234" t="s">
        <v>551</v>
      </c>
      <c r="D183" s="234" t="s">
        <v>738</v>
      </c>
      <c r="E183" s="263" t="s">
        <v>746</v>
      </c>
      <c r="F183" s="245"/>
      <c r="G183" s="275">
        <f>G184</f>
        <v>0</v>
      </c>
      <c r="H183" s="337"/>
      <c r="I183" s="236">
        <f t="shared" si="1"/>
        <v>0</v>
      </c>
    </row>
    <row r="184" spans="1:9" ht="26.25" customHeight="1" hidden="1">
      <c r="A184" s="243" t="s">
        <v>560</v>
      </c>
      <c r="B184" s="234" t="s">
        <v>1118</v>
      </c>
      <c r="C184" s="234" t="s">
        <v>551</v>
      </c>
      <c r="D184" s="234" t="s">
        <v>738</v>
      </c>
      <c r="E184" s="263" t="s">
        <v>746</v>
      </c>
      <c r="F184" s="245" t="s">
        <v>561</v>
      </c>
      <c r="G184" s="275"/>
      <c r="H184" s="337"/>
      <c r="I184" s="236">
        <f t="shared" si="1"/>
        <v>0</v>
      </c>
    </row>
    <row r="185" spans="1:9" ht="60.75" customHeight="1">
      <c r="A185" s="286" t="s">
        <v>747</v>
      </c>
      <c r="B185" s="234" t="s">
        <v>1118</v>
      </c>
      <c r="C185" s="234" t="s">
        <v>551</v>
      </c>
      <c r="D185" s="234" t="s">
        <v>738</v>
      </c>
      <c r="E185" s="263" t="s">
        <v>748</v>
      </c>
      <c r="F185" s="245"/>
      <c r="G185" s="275">
        <f>G186</f>
        <v>51000</v>
      </c>
      <c r="H185" s="337"/>
      <c r="I185" s="236">
        <f t="shared" si="1"/>
        <v>51000</v>
      </c>
    </row>
    <row r="186" spans="1:9" ht="43.5" customHeight="1">
      <c r="A186" s="243" t="s">
        <v>745</v>
      </c>
      <c r="B186" s="234" t="s">
        <v>1118</v>
      </c>
      <c r="C186" s="234" t="s">
        <v>551</v>
      </c>
      <c r="D186" s="234" t="s">
        <v>738</v>
      </c>
      <c r="E186" s="263" t="s">
        <v>749</v>
      </c>
      <c r="F186" s="245"/>
      <c r="G186" s="275">
        <f>G187</f>
        <v>51000</v>
      </c>
      <c r="H186" s="337"/>
      <c r="I186" s="236">
        <f t="shared" si="1"/>
        <v>51000</v>
      </c>
    </row>
    <row r="187" spans="1:9" ht="33" customHeight="1">
      <c r="A187" s="243" t="s">
        <v>560</v>
      </c>
      <c r="B187" s="234" t="s">
        <v>1118</v>
      </c>
      <c r="C187" s="234" t="s">
        <v>551</v>
      </c>
      <c r="D187" s="234" t="s">
        <v>738</v>
      </c>
      <c r="E187" s="263" t="s">
        <v>749</v>
      </c>
      <c r="F187" s="245" t="s">
        <v>561</v>
      </c>
      <c r="G187" s="275">
        <v>51000</v>
      </c>
      <c r="H187" s="345"/>
      <c r="I187" s="236">
        <f t="shared" si="1"/>
        <v>51000</v>
      </c>
    </row>
    <row r="188" spans="1:9" ht="28.5" customHeight="1" hidden="1">
      <c r="A188" s="286" t="s">
        <v>750</v>
      </c>
      <c r="B188" s="234" t="s">
        <v>1118</v>
      </c>
      <c r="C188" s="234" t="s">
        <v>551</v>
      </c>
      <c r="D188" s="234" t="s">
        <v>738</v>
      </c>
      <c r="E188" s="263" t="s">
        <v>751</v>
      </c>
      <c r="F188" s="245"/>
      <c r="G188" s="275">
        <f>G189</f>
        <v>0</v>
      </c>
      <c r="H188" s="337"/>
      <c r="I188" s="236">
        <f t="shared" si="1"/>
        <v>0</v>
      </c>
    </row>
    <row r="189" spans="1:9" ht="30" customHeight="1" hidden="1">
      <c r="A189" s="243" t="s">
        <v>745</v>
      </c>
      <c r="B189" s="234" t="s">
        <v>1118</v>
      </c>
      <c r="C189" s="234" t="s">
        <v>551</v>
      </c>
      <c r="D189" s="234" t="s">
        <v>738</v>
      </c>
      <c r="E189" s="263" t="s">
        <v>752</v>
      </c>
      <c r="F189" s="245"/>
      <c r="G189" s="275">
        <f>G190</f>
        <v>0</v>
      </c>
      <c r="H189" s="337"/>
      <c r="I189" s="236">
        <f t="shared" si="1"/>
        <v>0</v>
      </c>
    </row>
    <row r="190" spans="1:9" ht="15.75" customHeight="1" hidden="1">
      <c r="A190" s="243" t="s">
        <v>560</v>
      </c>
      <c r="B190" s="234" t="s">
        <v>1118</v>
      </c>
      <c r="C190" s="234" t="s">
        <v>551</v>
      </c>
      <c r="D190" s="234" t="s">
        <v>738</v>
      </c>
      <c r="E190" s="263" t="s">
        <v>752</v>
      </c>
      <c r="F190" s="245" t="s">
        <v>561</v>
      </c>
      <c r="G190" s="275"/>
      <c r="H190" s="337"/>
      <c r="I190" s="236">
        <f t="shared" si="1"/>
        <v>0</v>
      </c>
    </row>
    <row r="191" spans="1:9" ht="17.25" customHeight="1" hidden="1">
      <c r="A191" s="286" t="s">
        <v>753</v>
      </c>
      <c r="B191" s="234" t="s">
        <v>1118</v>
      </c>
      <c r="C191" s="234" t="s">
        <v>551</v>
      </c>
      <c r="D191" s="234" t="s">
        <v>738</v>
      </c>
      <c r="E191" s="263" t="s">
        <v>754</v>
      </c>
      <c r="F191" s="245"/>
      <c r="G191" s="275">
        <f>G192</f>
        <v>0</v>
      </c>
      <c r="H191" s="337"/>
      <c r="I191" s="236">
        <f t="shared" si="1"/>
        <v>0</v>
      </c>
    </row>
    <row r="192" spans="1:9" ht="39" hidden="1">
      <c r="A192" s="243" t="s">
        <v>745</v>
      </c>
      <c r="B192" s="234" t="s">
        <v>1118</v>
      </c>
      <c r="C192" s="234" t="s">
        <v>551</v>
      </c>
      <c r="D192" s="234" t="s">
        <v>738</v>
      </c>
      <c r="E192" s="263" t="s">
        <v>755</v>
      </c>
      <c r="F192" s="245"/>
      <c r="G192" s="275">
        <f>G193</f>
        <v>0</v>
      </c>
      <c r="H192" s="337"/>
      <c r="I192" s="236">
        <f t="shared" si="1"/>
        <v>0</v>
      </c>
    </row>
    <row r="193" spans="1:9" ht="44.25" customHeight="1" hidden="1">
      <c r="A193" s="243" t="s">
        <v>560</v>
      </c>
      <c r="B193" s="234" t="s">
        <v>1118</v>
      </c>
      <c r="C193" s="234" t="s">
        <v>551</v>
      </c>
      <c r="D193" s="234" t="s">
        <v>738</v>
      </c>
      <c r="E193" s="263" t="s">
        <v>755</v>
      </c>
      <c r="F193" s="245" t="s">
        <v>561</v>
      </c>
      <c r="G193" s="275"/>
      <c r="H193" s="337"/>
      <c r="I193" s="236">
        <f t="shared" si="1"/>
        <v>0</v>
      </c>
    </row>
    <row r="194" spans="1:13" ht="24.75" customHeight="1">
      <c r="A194" s="240" t="s">
        <v>756</v>
      </c>
      <c r="B194" s="234" t="s">
        <v>1118</v>
      </c>
      <c r="C194" s="234" t="s">
        <v>564</v>
      </c>
      <c r="D194" s="234"/>
      <c r="E194" s="234"/>
      <c r="F194" s="235"/>
      <c r="G194" s="275">
        <f>G195+G202+G227</f>
        <v>33836139.879999995</v>
      </c>
      <c r="H194" s="275">
        <f>H195+H202+H227</f>
        <v>150000</v>
      </c>
      <c r="I194" s="236">
        <f t="shared" si="1"/>
        <v>33986139.879999995</v>
      </c>
      <c r="K194" s="242"/>
      <c r="M194" s="242"/>
    </row>
    <row r="195" spans="1:9" ht="15">
      <c r="A195" s="240" t="s">
        <v>757</v>
      </c>
      <c r="B195" s="234" t="s">
        <v>1118</v>
      </c>
      <c r="C195" s="234" t="s">
        <v>564</v>
      </c>
      <c r="D195" s="234" t="s">
        <v>758</v>
      </c>
      <c r="E195" s="234"/>
      <c r="F195" s="235"/>
      <c r="G195" s="275">
        <f>G196</f>
        <v>1975000</v>
      </c>
      <c r="H195" s="337"/>
      <c r="I195" s="236">
        <f t="shared" si="1"/>
        <v>1975000</v>
      </c>
    </row>
    <row r="196" spans="1:9" ht="56.25" customHeight="1">
      <c r="A196" s="279" t="s">
        <v>676</v>
      </c>
      <c r="B196" s="234" t="s">
        <v>1118</v>
      </c>
      <c r="C196" s="234" t="s">
        <v>564</v>
      </c>
      <c r="D196" s="234" t="s">
        <v>758</v>
      </c>
      <c r="E196" s="263" t="s">
        <v>677</v>
      </c>
      <c r="F196" s="235"/>
      <c r="G196" s="275">
        <f>G197</f>
        <v>1975000</v>
      </c>
      <c r="H196" s="337"/>
      <c r="I196" s="236">
        <f t="shared" si="1"/>
        <v>1975000</v>
      </c>
    </row>
    <row r="197" spans="1:9" ht="73.5" customHeight="1">
      <c r="A197" s="284" t="s">
        <v>759</v>
      </c>
      <c r="B197" s="234" t="s">
        <v>1118</v>
      </c>
      <c r="C197" s="246" t="s">
        <v>564</v>
      </c>
      <c r="D197" s="246" t="s">
        <v>758</v>
      </c>
      <c r="E197" s="271" t="s">
        <v>760</v>
      </c>
      <c r="F197" s="253"/>
      <c r="G197" s="338">
        <f>G198</f>
        <v>1975000</v>
      </c>
      <c r="H197" s="337"/>
      <c r="I197" s="236">
        <f t="shared" si="1"/>
        <v>1975000</v>
      </c>
    </row>
    <row r="198" spans="1:9" ht="32.25" customHeight="1">
      <c r="A198" s="255" t="s">
        <v>761</v>
      </c>
      <c r="B198" s="234" t="s">
        <v>1118</v>
      </c>
      <c r="C198" s="234" t="s">
        <v>564</v>
      </c>
      <c r="D198" s="234" t="s">
        <v>758</v>
      </c>
      <c r="E198" s="263" t="s">
        <v>762</v>
      </c>
      <c r="F198" s="235"/>
      <c r="G198" s="275">
        <f>G199</f>
        <v>1975000</v>
      </c>
      <c r="H198" s="337"/>
      <c r="I198" s="236">
        <f t="shared" si="1"/>
        <v>1975000</v>
      </c>
    </row>
    <row r="199" spans="1:9" ht="15">
      <c r="A199" s="240" t="s">
        <v>763</v>
      </c>
      <c r="B199" s="234" t="s">
        <v>1118</v>
      </c>
      <c r="C199" s="234" t="s">
        <v>564</v>
      </c>
      <c r="D199" s="234" t="s">
        <v>758</v>
      </c>
      <c r="E199" s="263" t="s">
        <v>764</v>
      </c>
      <c r="F199" s="235"/>
      <c r="G199" s="275">
        <f>G201+G200</f>
        <v>1975000</v>
      </c>
      <c r="H199" s="337"/>
      <c r="I199" s="236">
        <f t="shared" si="1"/>
        <v>1975000</v>
      </c>
    </row>
    <row r="200" spans="1:9" ht="26.25">
      <c r="A200" s="243" t="s">
        <v>560</v>
      </c>
      <c r="B200" s="234" t="s">
        <v>1118</v>
      </c>
      <c r="C200" s="234" t="s">
        <v>564</v>
      </c>
      <c r="D200" s="234" t="s">
        <v>758</v>
      </c>
      <c r="E200" s="263" t="s">
        <v>764</v>
      </c>
      <c r="F200" s="235" t="s">
        <v>561</v>
      </c>
      <c r="G200" s="275">
        <v>10000</v>
      </c>
      <c r="H200" s="345"/>
      <c r="I200" s="236">
        <f t="shared" si="1"/>
        <v>10000</v>
      </c>
    </row>
    <row r="201" spans="1:9" ht="15">
      <c r="A201" s="243" t="s">
        <v>602</v>
      </c>
      <c r="B201" s="234" t="s">
        <v>1118</v>
      </c>
      <c r="C201" s="234" t="s">
        <v>564</v>
      </c>
      <c r="D201" s="234" t="s">
        <v>758</v>
      </c>
      <c r="E201" s="263" t="s">
        <v>764</v>
      </c>
      <c r="F201" s="235" t="s">
        <v>603</v>
      </c>
      <c r="G201" s="275">
        <f>500000+565000+600000+300000</f>
        <v>1965000</v>
      </c>
      <c r="H201" s="345"/>
      <c r="I201" s="236">
        <f t="shared" si="1"/>
        <v>1965000</v>
      </c>
    </row>
    <row r="202" spans="1:9" ht="15">
      <c r="A202" s="240" t="s">
        <v>765</v>
      </c>
      <c r="B202" s="234" t="s">
        <v>1118</v>
      </c>
      <c r="C202" s="234" t="s">
        <v>564</v>
      </c>
      <c r="D202" s="234" t="s">
        <v>738</v>
      </c>
      <c r="E202" s="234"/>
      <c r="F202" s="235"/>
      <c r="G202" s="275">
        <f>G203+G223</f>
        <v>29396712.88</v>
      </c>
      <c r="H202" s="275">
        <f>H203</f>
        <v>150000</v>
      </c>
      <c r="I202" s="236">
        <f t="shared" si="1"/>
        <v>29546712.88</v>
      </c>
    </row>
    <row r="203" spans="1:9" ht="45.75" customHeight="1">
      <c r="A203" s="279" t="s">
        <v>676</v>
      </c>
      <c r="B203" s="234" t="s">
        <v>1118</v>
      </c>
      <c r="C203" s="234" t="s">
        <v>564</v>
      </c>
      <c r="D203" s="234" t="s">
        <v>738</v>
      </c>
      <c r="E203" s="263" t="s">
        <v>677</v>
      </c>
      <c r="F203" s="235"/>
      <c r="G203" s="275">
        <f>G204+G219</f>
        <v>15654387.879999999</v>
      </c>
      <c r="H203" s="275">
        <f>H204</f>
        <v>150000</v>
      </c>
      <c r="I203" s="236">
        <f>I204+I219</f>
        <v>15804387.879999999</v>
      </c>
    </row>
    <row r="204" spans="1:10" ht="60.75" customHeight="1">
      <c r="A204" s="280" t="s">
        <v>766</v>
      </c>
      <c r="B204" s="234" t="s">
        <v>1118</v>
      </c>
      <c r="C204" s="246" t="s">
        <v>564</v>
      </c>
      <c r="D204" s="246" t="s">
        <v>738</v>
      </c>
      <c r="E204" s="271" t="s">
        <v>767</v>
      </c>
      <c r="F204" s="253"/>
      <c r="G204" s="338">
        <f>G205+G208</f>
        <v>15476587.879999999</v>
      </c>
      <c r="H204" s="338">
        <f>H205+H208</f>
        <v>150000</v>
      </c>
      <c r="I204" s="236">
        <f>G204+H204</f>
        <v>15626587.879999999</v>
      </c>
      <c r="J204" s="242"/>
    </row>
    <row r="205" spans="1:9" ht="28.5" customHeight="1">
      <c r="A205" s="255" t="s">
        <v>768</v>
      </c>
      <c r="B205" s="234" t="s">
        <v>1118</v>
      </c>
      <c r="C205" s="234" t="s">
        <v>564</v>
      </c>
      <c r="D205" s="234" t="s">
        <v>738</v>
      </c>
      <c r="E205" s="263" t="s">
        <v>769</v>
      </c>
      <c r="F205" s="235"/>
      <c r="G205" s="275">
        <f>G206</f>
        <v>2107961.18</v>
      </c>
      <c r="H205" s="275">
        <f>H206</f>
        <v>0</v>
      </c>
      <c r="I205" s="236">
        <f t="shared" si="1"/>
        <v>2107961.18</v>
      </c>
    </row>
    <row r="206" spans="1:9" ht="26.25">
      <c r="A206" s="243" t="s">
        <v>770</v>
      </c>
      <c r="B206" s="234" t="s">
        <v>1118</v>
      </c>
      <c r="C206" s="234" t="s">
        <v>564</v>
      </c>
      <c r="D206" s="234" t="s">
        <v>738</v>
      </c>
      <c r="E206" s="263" t="s">
        <v>771</v>
      </c>
      <c r="F206" s="235"/>
      <c r="G206" s="275">
        <f>G207</f>
        <v>2107961.18</v>
      </c>
      <c r="H206" s="337"/>
      <c r="I206" s="236">
        <f t="shared" si="1"/>
        <v>2107961.18</v>
      </c>
    </row>
    <row r="207" spans="1:9" ht="15">
      <c r="A207" s="243" t="s">
        <v>610</v>
      </c>
      <c r="B207" s="234" t="s">
        <v>1118</v>
      </c>
      <c r="C207" s="234" t="s">
        <v>564</v>
      </c>
      <c r="D207" s="234" t="s">
        <v>738</v>
      </c>
      <c r="E207" s="263" t="s">
        <v>771</v>
      </c>
      <c r="F207" s="235" t="s">
        <v>561</v>
      </c>
      <c r="G207" s="275">
        <f>200000+1263489.55+644471.63</f>
        <v>2107961.18</v>
      </c>
      <c r="H207" s="337"/>
      <c r="I207" s="236">
        <f t="shared" si="1"/>
        <v>2107961.18</v>
      </c>
    </row>
    <row r="208" spans="1:9" ht="25.5">
      <c r="A208" s="255" t="s">
        <v>772</v>
      </c>
      <c r="B208" s="234" t="s">
        <v>1118</v>
      </c>
      <c r="C208" s="234" t="s">
        <v>564</v>
      </c>
      <c r="D208" s="234" t="s">
        <v>738</v>
      </c>
      <c r="E208" s="263" t="s">
        <v>773</v>
      </c>
      <c r="F208" s="235"/>
      <c r="G208" s="275">
        <f>G209+G211+G217+G215+G213</f>
        <v>13368626.7</v>
      </c>
      <c r="H208" s="275">
        <f>H209+H211+H217+H215+H213</f>
        <v>150000</v>
      </c>
      <c r="I208" s="236">
        <f t="shared" si="1"/>
        <v>13518626.7</v>
      </c>
    </row>
    <row r="209" spans="1:9" ht="15">
      <c r="A209" s="243" t="s">
        <v>774</v>
      </c>
      <c r="B209" s="234" t="s">
        <v>1118</v>
      </c>
      <c r="C209" s="234" t="s">
        <v>564</v>
      </c>
      <c r="D209" s="234" t="s">
        <v>738</v>
      </c>
      <c r="E209" s="263" t="s">
        <v>775</v>
      </c>
      <c r="F209" s="235"/>
      <c r="G209" s="275">
        <f>G210</f>
        <v>1800000</v>
      </c>
      <c r="H209" s="337"/>
      <c r="I209" s="236">
        <f t="shared" si="1"/>
        <v>1800000</v>
      </c>
    </row>
    <row r="210" spans="1:9" ht="26.25">
      <c r="A210" s="281" t="s">
        <v>776</v>
      </c>
      <c r="B210" s="234" t="s">
        <v>1118</v>
      </c>
      <c r="C210" s="234" t="s">
        <v>564</v>
      </c>
      <c r="D210" s="234" t="s">
        <v>738</v>
      </c>
      <c r="E210" s="263" t="s">
        <v>775</v>
      </c>
      <c r="F210" s="235" t="s">
        <v>777</v>
      </c>
      <c r="G210" s="275">
        <f>1800000</f>
        <v>1800000</v>
      </c>
      <c r="H210" s="337"/>
      <c r="I210" s="236">
        <f t="shared" si="1"/>
        <v>1800000</v>
      </c>
    </row>
    <row r="211" spans="1:9" ht="15">
      <c r="A211" s="243" t="s">
        <v>778</v>
      </c>
      <c r="B211" s="234" t="s">
        <v>1118</v>
      </c>
      <c r="C211" s="234" t="s">
        <v>564</v>
      </c>
      <c r="D211" s="234" t="s">
        <v>738</v>
      </c>
      <c r="E211" s="263" t="s">
        <v>779</v>
      </c>
      <c r="F211" s="235"/>
      <c r="G211" s="275">
        <f>G212</f>
        <v>1413000</v>
      </c>
      <c r="H211" s="275">
        <f>H212</f>
        <v>150000</v>
      </c>
      <c r="I211" s="236">
        <f t="shared" si="1"/>
        <v>1563000</v>
      </c>
    </row>
    <row r="212" spans="1:9" ht="26.25">
      <c r="A212" s="281" t="s">
        <v>776</v>
      </c>
      <c r="B212" s="234" t="s">
        <v>1118</v>
      </c>
      <c r="C212" s="234" t="s">
        <v>564</v>
      </c>
      <c r="D212" s="234" t="s">
        <v>738</v>
      </c>
      <c r="E212" s="263" t="s">
        <v>779</v>
      </c>
      <c r="F212" s="235" t="s">
        <v>777</v>
      </c>
      <c r="G212" s="275">
        <f>1285043+127957</f>
        <v>1413000</v>
      </c>
      <c r="H212" s="349">
        <v>150000</v>
      </c>
      <c r="I212" s="236">
        <f t="shared" si="1"/>
        <v>1563000</v>
      </c>
    </row>
    <row r="213" spans="1:9" ht="25.5">
      <c r="A213" s="303" t="s">
        <v>780</v>
      </c>
      <c r="B213" s="234" t="s">
        <v>1118</v>
      </c>
      <c r="C213" s="234" t="s">
        <v>564</v>
      </c>
      <c r="D213" s="234" t="s">
        <v>738</v>
      </c>
      <c r="E213" s="263" t="s">
        <v>781</v>
      </c>
      <c r="F213" s="235"/>
      <c r="G213" s="275">
        <f>G214</f>
        <v>8950098.33</v>
      </c>
      <c r="H213" s="337"/>
      <c r="I213" s="236">
        <f t="shared" si="1"/>
        <v>8950098.33</v>
      </c>
    </row>
    <row r="214" spans="1:9" ht="30">
      <c r="A214" s="282" t="s">
        <v>776</v>
      </c>
      <c r="B214" s="234" t="s">
        <v>1118</v>
      </c>
      <c r="C214" s="234" t="s">
        <v>564</v>
      </c>
      <c r="D214" s="234" t="s">
        <v>738</v>
      </c>
      <c r="E214" s="263" t="s">
        <v>781</v>
      </c>
      <c r="F214" s="235" t="s">
        <v>777</v>
      </c>
      <c r="G214" s="275">
        <f>9060810-110711.67</f>
        <v>8950098.33</v>
      </c>
      <c r="H214" s="337"/>
      <c r="I214" s="236">
        <f t="shared" si="1"/>
        <v>8950098.33</v>
      </c>
    </row>
    <row r="215" spans="1:9" ht="45">
      <c r="A215" s="283" t="s">
        <v>782</v>
      </c>
      <c r="B215" s="234" t="s">
        <v>1118</v>
      </c>
      <c r="C215" s="234" t="s">
        <v>564</v>
      </c>
      <c r="D215" s="234" t="s">
        <v>738</v>
      </c>
      <c r="E215" s="263" t="s">
        <v>783</v>
      </c>
      <c r="F215" s="235"/>
      <c r="G215" s="275">
        <f>G216</f>
        <v>100000</v>
      </c>
      <c r="H215" s="337"/>
      <c r="I215" s="236">
        <f t="shared" si="1"/>
        <v>100000</v>
      </c>
    </row>
    <row r="216" spans="1:9" ht="30">
      <c r="A216" s="282" t="s">
        <v>776</v>
      </c>
      <c r="B216" s="234" t="s">
        <v>1118</v>
      </c>
      <c r="C216" s="234" t="s">
        <v>564</v>
      </c>
      <c r="D216" s="234" t="s">
        <v>738</v>
      </c>
      <c r="E216" s="263" t="s">
        <v>783</v>
      </c>
      <c r="F216" s="235" t="s">
        <v>777</v>
      </c>
      <c r="G216" s="275">
        <f>100000</f>
        <v>100000</v>
      </c>
      <c r="H216" s="337"/>
      <c r="I216" s="236">
        <f t="shared" si="1"/>
        <v>100000</v>
      </c>
    </row>
    <row r="217" spans="1:9" ht="26.25">
      <c r="A217" s="243" t="s">
        <v>784</v>
      </c>
      <c r="B217" s="234" t="s">
        <v>1118</v>
      </c>
      <c r="C217" s="234" t="s">
        <v>564</v>
      </c>
      <c r="D217" s="234" t="s">
        <v>738</v>
      </c>
      <c r="E217" s="263" t="s">
        <v>785</v>
      </c>
      <c r="F217" s="235"/>
      <c r="G217" s="275">
        <f>G218</f>
        <v>1105528.37</v>
      </c>
      <c r="H217" s="337"/>
      <c r="I217" s="236">
        <f t="shared" si="1"/>
        <v>1105528.37</v>
      </c>
    </row>
    <row r="218" spans="1:9" ht="30">
      <c r="A218" s="282" t="s">
        <v>776</v>
      </c>
      <c r="B218" s="234" t="s">
        <v>1118</v>
      </c>
      <c r="C218" s="234" t="s">
        <v>564</v>
      </c>
      <c r="D218" s="234" t="s">
        <v>738</v>
      </c>
      <c r="E218" s="263" t="s">
        <v>785</v>
      </c>
      <c r="F218" s="235" t="s">
        <v>777</v>
      </c>
      <c r="G218" s="275">
        <f>1850000-100000-644471.63</f>
        <v>1105528.37</v>
      </c>
      <c r="H218" s="337"/>
      <c r="I218" s="236">
        <f t="shared" si="1"/>
        <v>1105528.37</v>
      </c>
    </row>
    <row r="219" spans="1:9" ht="63.75">
      <c r="A219" s="284" t="s">
        <v>678</v>
      </c>
      <c r="B219" s="234" t="s">
        <v>1118</v>
      </c>
      <c r="C219" s="234" t="s">
        <v>564</v>
      </c>
      <c r="D219" s="234" t="s">
        <v>738</v>
      </c>
      <c r="E219" s="271" t="s">
        <v>679</v>
      </c>
      <c r="F219" s="235"/>
      <c r="G219" s="275">
        <f>G220</f>
        <v>177800</v>
      </c>
      <c r="H219" s="349"/>
      <c r="I219" s="236">
        <f t="shared" si="1"/>
        <v>177800</v>
      </c>
    </row>
    <row r="220" spans="1:9" ht="25.5">
      <c r="A220" s="350" t="s">
        <v>786</v>
      </c>
      <c r="B220" s="234" t="s">
        <v>1118</v>
      </c>
      <c r="C220" s="234" t="s">
        <v>564</v>
      </c>
      <c r="D220" s="234" t="s">
        <v>738</v>
      </c>
      <c r="E220" s="263" t="s">
        <v>787</v>
      </c>
      <c r="F220" s="235"/>
      <c r="G220" s="275">
        <f>G221</f>
        <v>177800</v>
      </c>
      <c r="H220" s="349"/>
      <c r="I220" s="236">
        <f t="shared" si="1"/>
        <v>177800</v>
      </c>
    </row>
    <row r="221" spans="1:9" ht="15">
      <c r="A221" s="303" t="s">
        <v>788</v>
      </c>
      <c r="B221" s="234" t="s">
        <v>1118</v>
      </c>
      <c r="C221" s="234" t="s">
        <v>564</v>
      </c>
      <c r="D221" s="234" t="s">
        <v>738</v>
      </c>
      <c r="E221" s="263" t="s">
        <v>789</v>
      </c>
      <c r="F221" s="235"/>
      <c r="G221" s="275">
        <f>G222</f>
        <v>177800</v>
      </c>
      <c r="H221" s="349"/>
      <c r="I221" s="236">
        <f t="shared" si="1"/>
        <v>177800</v>
      </c>
    </row>
    <row r="222" spans="1:9" ht="15">
      <c r="A222" s="243" t="s">
        <v>610</v>
      </c>
      <c r="B222" s="234" t="s">
        <v>1118</v>
      </c>
      <c r="C222" s="234" t="s">
        <v>564</v>
      </c>
      <c r="D222" s="234" t="s">
        <v>738</v>
      </c>
      <c r="E222" s="263" t="s">
        <v>789</v>
      </c>
      <c r="F222" s="235" t="s">
        <v>561</v>
      </c>
      <c r="G222" s="275">
        <v>177800</v>
      </c>
      <c r="H222" s="349"/>
      <c r="I222" s="236">
        <f t="shared" si="1"/>
        <v>177800</v>
      </c>
    </row>
    <row r="223" spans="1:9" ht="75">
      <c r="A223" s="285" t="s">
        <v>792</v>
      </c>
      <c r="B223" s="234" t="s">
        <v>1118</v>
      </c>
      <c r="C223" s="234" t="s">
        <v>564</v>
      </c>
      <c r="D223" s="234" t="s">
        <v>738</v>
      </c>
      <c r="E223" s="271" t="s">
        <v>793</v>
      </c>
      <c r="F223" s="235"/>
      <c r="G223" s="275">
        <f>G224</f>
        <v>13742325</v>
      </c>
      <c r="H223" s="337"/>
      <c r="I223" s="236">
        <f>G223+H223</f>
        <v>13742325</v>
      </c>
    </row>
    <row r="224" spans="1:9" ht="25.5">
      <c r="A224" s="255" t="s">
        <v>772</v>
      </c>
      <c r="B224" s="234" t="s">
        <v>1118</v>
      </c>
      <c r="C224" s="234" t="s">
        <v>564</v>
      </c>
      <c r="D224" s="234" t="s">
        <v>738</v>
      </c>
      <c r="E224" s="271" t="s">
        <v>794</v>
      </c>
      <c r="F224" s="235"/>
      <c r="G224" s="275">
        <f>G225</f>
        <v>13742325</v>
      </c>
      <c r="H224" s="337"/>
      <c r="I224" s="236">
        <f t="shared" si="1"/>
        <v>13742325</v>
      </c>
    </row>
    <row r="225" spans="1:9" ht="25.5">
      <c r="A225" s="286" t="s">
        <v>795</v>
      </c>
      <c r="B225" s="234" t="s">
        <v>1118</v>
      </c>
      <c r="C225" s="234" t="s">
        <v>564</v>
      </c>
      <c r="D225" s="234" t="s">
        <v>738</v>
      </c>
      <c r="E225" s="263" t="s">
        <v>796</v>
      </c>
      <c r="F225" s="235"/>
      <c r="G225" s="275">
        <f>G226</f>
        <v>13742325</v>
      </c>
      <c r="H225" s="337"/>
      <c r="I225" s="236">
        <f t="shared" si="1"/>
        <v>13742325</v>
      </c>
    </row>
    <row r="226" spans="1:9" ht="26.25">
      <c r="A226" s="240" t="s">
        <v>776</v>
      </c>
      <c r="B226" s="234" t="s">
        <v>1118</v>
      </c>
      <c r="C226" s="234" t="s">
        <v>564</v>
      </c>
      <c r="D226" s="234" t="s">
        <v>738</v>
      </c>
      <c r="E226" s="263" t="s">
        <v>796</v>
      </c>
      <c r="F226" s="235" t="s">
        <v>777</v>
      </c>
      <c r="G226" s="275">
        <f>1569426+12172899</f>
        <v>13742325</v>
      </c>
      <c r="H226" s="337"/>
      <c r="I226" s="236">
        <f t="shared" si="1"/>
        <v>13742325</v>
      </c>
    </row>
    <row r="227" spans="1:9" ht="20.25" customHeight="1">
      <c r="A227" s="240" t="s">
        <v>797</v>
      </c>
      <c r="B227" s="234" t="s">
        <v>1118</v>
      </c>
      <c r="C227" s="234" t="s">
        <v>564</v>
      </c>
      <c r="D227" s="234" t="s">
        <v>798</v>
      </c>
      <c r="E227" s="234"/>
      <c r="F227" s="235"/>
      <c r="G227" s="275">
        <f>G228+G240+G255+G235+G251</f>
        <v>2464427</v>
      </c>
      <c r="H227" s="337"/>
      <c r="I227" s="236">
        <f t="shared" si="1"/>
        <v>2464427</v>
      </c>
    </row>
    <row r="228" spans="1:9" ht="45" customHeight="1">
      <c r="A228" s="298" t="s">
        <v>799</v>
      </c>
      <c r="B228" s="234" t="s">
        <v>1118</v>
      </c>
      <c r="C228" s="234" t="s">
        <v>564</v>
      </c>
      <c r="D228" s="234" t="s">
        <v>798</v>
      </c>
      <c r="E228" s="234" t="s">
        <v>800</v>
      </c>
      <c r="F228" s="235"/>
      <c r="G228" s="275">
        <f>G229</f>
        <v>530000</v>
      </c>
      <c r="H228" s="337"/>
      <c r="I228" s="236">
        <f t="shared" si="1"/>
        <v>530000</v>
      </c>
    </row>
    <row r="229" spans="1:9" ht="69" customHeight="1">
      <c r="A229" s="351" t="s">
        <v>801</v>
      </c>
      <c r="B229" s="234" t="s">
        <v>1118</v>
      </c>
      <c r="C229" s="246" t="s">
        <v>564</v>
      </c>
      <c r="D229" s="246" t="s">
        <v>798</v>
      </c>
      <c r="E229" s="246" t="s">
        <v>802</v>
      </c>
      <c r="F229" s="253"/>
      <c r="G229" s="338">
        <f>G230</f>
        <v>530000</v>
      </c>
      <c r="H229" s="337"/>
      <c r="I229" s="236">
        <f t="shared" si="1"/>
        <v>530000</v>
      </c>
    </row>
    <row r="230" spans="1:9" ht="41.25" customHeight="1">
      <c r="A230" s="255" t="s">
        <v>803</v>
      </c>
      <c r="B230" s="234" t="s">
        <v>1118</v>
      </c>
      <c r="C230" s="234" t="s">
        <v>564</v>
      </c>
      <c r="D230" s="234" t="s">
        <v>798</v>
      </c>
      <c r="E230" s="234" t="s">
        <v>804</v>
      </c>
      <c r="F230" s="235"/>
      <c r="G230" s="275">
        <f>G231+G233</f>
        <v>530000</v>
      </c>
      <c r="H230" s="337"/>
      <c r="I230" s="236">
        <f t="shared" si="1"/>
        <v>530000</v>
      </c>
    </row>
    <row r="231" spans="1:9" ht="0.75" customHeight="1" hidden="1">
      <c r="A231" s="241" t="s">
        <v>805</v>
      </c>
      <c r="B231" s="234" t="s">
        <v>1118</v>
      </c>
      <c r="C231" s="234" t="s">
        <v>564</v>
      </c>
      <c r="D231" s="234" t="s">
        <v>798</v>
      </c>
      <c r="E231" s="234" t="s">
        <v>806</v>
      </c>
      <c r="F231" s="235"/>
      <c r="G231" s="275">
        <f>G232</f>
        <v>0</v>
      </c>
      <c r="H231" s="337"/>
      <c r="I231" s="236">
        <f t="shared" si="1"/>
        <v>0</v>
      </c>
    </row>
    <row r="232" spans="1:9" ht="26.25" hidden="1">
      <c r="A232" s="243" t="s">
        <v>560</v>
      </c>
      <c r="B232" s="234" t="s">
        <v>1118</v>
      </c>
      <c r="C232" s="234" t="s">
        <v>564</v>
      </c>
      <c r="D232" s="234" t="s">
        <v>798</v>
      </c>
      <c r="E232" s="234" t="s">
        <v>806</v>
      </c>
      <c r="F232" s="235" t="s">
        <v>561</v>
      </c>
      <c r="G232" s="275"/>
      <c r="H232" s="337"/>
      <c r="I232" s="236">
        <f t="shared" si="1"/>
        <v>0</v>
      </c>
    </row>
    <row r="233" spans="1:9" ht="15">
      <c r="A233" s="241" t="s">
        <v>807</v>
      </c>
      <c r="B233" s="234" t="s">
        <v>1118</v>
      </c>
      <c r="C233" s="234" t="s">
        <v>564</v>
      </c>
      <c r="D233" s="234" t="s">
        <v>798</v>
      </c>
      <c r="E233" s="234" t="s">
        <v>808</v>
      </c>
      <c r="F233" s="235"/>
      <c r="G233" s="275">
        <f>G234</f>
        <v>530000</v>
      </c>
      <c r="H233" s="337"/>
      <c r="I233" s="236">
        <f t="shared" si="1"/>
        <v>530000</v>
      </c>
    </row>
    <row r="234" spans="1:9" ht="29.25" customHeight="1">
      <c r="A234" s="243" t="s">
        <v>560</v>
      </c>
      <c r="B234" s="234" t="s">
        <v>1118</v>
      </c>
      <c r="C234" s="234" t="s">
        <v>564</v>
      </c>
      <c r="D234" s="234" t="s">
        <v>798</v>
      </c>
      <c r="E234" s="234" t="s">
        <v>808</v>
      </c>
      <c r="F234" s="235" t="s">
        <v>561</v>
      </c>
      <c r="G234" s="275">
        <f>200000+320000+540000-560000+30000</f>
        <v>530000</v>
      </c>
      <c r="H234" s="337"/>
      <c r="I234" s="236">
        <f t="shared" si="1"/>
        <v>530000</v>
      </c>
    </row>
    <row r="235" spans="1:9" ht="54" customHeight="1" hidden="1">
      <c r="A235" s="352" t="s">
        <v>809</v>
      </c>
      <c r="B235" s="234" t="s">
        <v>1118</v>
      </c>
      <c r="C235" s="234" t="s">
        <v>564</v>
      </c>
      <c r="D235" s="234" t="s">
        <v>798</v>
      </c>
      <c r="E235" s="290" t="s">
        <v>810</v>
      </c>
      <c r="F235" s="235"/>
      <c r="G235" s="275">
        <f>G236</f>
        <v>0</v>
      </c>
      <c r="H235" s="337"/>
      <c r="I235" s="236">
        <f t="shared" si="1"/>
        <v>0</v>
      </c>
    </row>
    <row r="236" spans="1:9" ht="69.75" customHeight="1" hidden="1">
      <c r="A236" s="280" t="s">
        <v>1123</v>
      </c>
      <c r="B236" s="234" t="s">
        <v>1118</v>
      </c>
      <c r="C236" s="234" t="s">
        <v>564</v>
      </c>
      <c r="D236" s="234" t="s">
        <v>798</v>
      </c>
      <c r="E236" s="290" t="s">
        <v>812</v>
      </c>
      <c r="F236" s="235"/>
      <c r="G236" s="275">
        <f>G237</f>
        <v>0</v>
      </c>
      <c r="H236" s="337"/>
      <c r="I236" s="236">
        <f t="shared" si="1"/>
        <v>0</v>
      </c>
    </row>
    <row r="237" spans="1:9" ht="27" customHeight="1" hidden="1">
      <c r="A237" s="255" t="s">
        <v>813</v>
      </c>
      <c r="B237" s="234" t="s">
        <v>1118</v>
      </c>
      <c r="C237" s="234" t="s">
        <v>564</v>
      </c>
      <c r="D237" s="234" t="s">
        <v>798</v>
      </c>
      <c r="E237" s="290" t="s">
        <v>814</v>
      </c>
      <c r="F237" s="235"/>
      <c r="G237" s="275">
        <f>G238</f>
        <v>0</v>
      </c>
      <c r="H237" s="337"/>
      <c r="I237" s="236">
        <f>I238</f>
        <v>0</v>
      </c>
    </row>
    <row r="238" spans="1:9" ht="15.75" customHeight="1" hidden="1">
      <c r="A238" s="233" t="s">
        <v>815</v>
      </c>
      <c r="B238" s="234" t="s">
        <v>1118</v>
      </c>
      <c r="C238" s="234" t="s">
        <v>564</v>
      </c>
      <c r="D238" s="234" t="s">
        <v>798</v>
      </c>
      <c r="E238" s="290" t="s">
        <v>816</v>
      </c>
      <c r="F238" s="235"/>
      <c r="G238" s="275">
        <f>G239</f>
        <v>0</v>
      </c>
      <c r="H238" s="337"/>
      <c r="I238" s="236">
        <f>G238+H238</f>
        <v>0</v>
      </c>
    </row>
    <row r="239" spans="1:9" ht="26.25" customHeight="1" hidden="1">
      <c r="A239" s="304" t="s">
        <v>560</v>
      </c>
      <c r="B239" s="234" t="s">
        <v>1118</v>
      </c>
      <c r="C239" s="234" t="s">
        <v>564</v>
      </c>
      <c r="D239" s="234" t="s">
        <v>798</v>
      </c>
      <c r="E239" s="290" t="s">
        <v>816</v>
      </c>
      <c r="F239" s="235" t="s">
        <v>561</v>
      </c>
      <c r="G239" s="275"/>
      <c r="H239" s="337"/>
      <c r="I239" s="236">
        <f>G239+H239</f>
        <v>0</v>
      </c>
    </row>
    <row r="240" spans="1:9" ht="51.75" customHeight="1">
      <c r="A240" s="298" t="s">
        <v>817</v>
      </c>
      <c r="B240" s="234" t="s">
        <v>1118</v>
      </c>
      <c r="C240" s="234" t="s">
        <v>564</v>
      </c>
      <c r="D240" s="234" t="s">
        <v>798</v>
      </c>
      <c r="E240" s="274" t="s">
        <v>818</v>
      </c>
      <c r="F240" s="235"/>
      <c r="G240" s="275">
        <f>G241</f>
        <v>1924427</v>
      </c>
      <c r="H240" s="337"/>
      <c r="I240" s="236">
        <f t="shared" si="1"/>
        <v>1924427</v>
      </c>
    </row>
    <row r="241" spans="1:9" ht="72" customHeight="1">
      <c r="A241" s="280" t="s">
        <v>819</v>
      </c>
      <c r="B241" s="234" t="s">
        <v>1118</v>
      </c>
      <c r="C241" s="246" t="s">
        <v>564</v>
      </c>
      <c r="D241" s="246" t="s">
        <v>798</v>
      </c>
      <c r="E241" s="291" t="s">
        <v>820</v>
      </c>
      <c r="F241" s="253"/>
      <c r="G241" s="338">
        <f>G242</f>
        <v>1924427</v>
      </c>
      <c r="H241" s="337"/>
      <c r="I241" s="236">
        <f t="shared" si="1"/>
        <v>1924427</v>
      </c>
    </row>
    <row r="242" spans="1:9" ht="25.5">
      <c r="A242" s="255" t="s">
        <v>821</v>
      </c>
      <c r="B242" s="234" t="s">
        <v>1118</v>
      </c>
      <c r="C242" s="234" t="s">
        <v>564</v>
      </c>
      <c r="D242" s="234" t="s">
        <v>798</v>
      </c>
      <c r="E242" s="259" t="s">
        <v>822</v>
      </c>
      <c r="F242" s="245"/>
      <c r="G242" s="275">
        <f>G249+G243+G246</f>
        <v>1924427</v>
      </c>
      <c r="H242" s="337"/>
      <c r="I242" s="236">
        <f t="shared" si="1"/>
        <v>1924427</v>
      </c>
    </row>
    <row r="243" spans="1:9" ht="39" customHeight="1">
      <c r="A243" s="255" t="s">
        <v>823</v>
      </c>
      <c r="B243" s="234" t="s">
        <v>1118</v>
      </c>
      <c r="C243" s="234" t="s">
        <v>564</v>
      </c>
      <c r="D243" s="234" t="s">
        <v>798</v>
      </c>
      <c r="E243" s="259" t="s">
        <v>824</v>
      </c>
      <c r="F243" s="245"/>
      <c r="G243" s="275">
        <f>G244+G245</f>
        <v>1017730</v>
      </c>
      <c r="H243" s="345"/>
      <c r="I243" s="236">
        <f t="shared" si="1"/>
        <v>1017730</v>
      </c>
    </row>
    <row r="244" spans="1:9" ht="26.25">
      <c r="A244" s="243" t="s">
        <v>560</v>
      </c>
      <c r="B244" s="234" t="s">
        <v>1118</v>
      </c>
      <c r="C244" s="234" t="s">
        <v>564</v>
      </c>
      <c r="D244" s="234" t="s">
        <v>798</v>
      </c>
      <c r="E244" s="259" t="s">
        <v>824</v>
      </c>
      <c r="F244" s="245" t="s">
        <v>561</v>
      </c>
      <c r="G244" s="275">
        <f>58130</f>
        <v>58130</v>
      </c>
      <c r="H244" s="345"/>
      <c r="I244" s="236">
        <f>G244+H244</f>
        <v>58130</v>
      </c>
    </row>
    <row r="245" spans="1:9" ht="15">
      <c r="A245" s="292" t="s">
        <v>720</v>
      </c>
      <c r="B245" s="234" t="s">
        <v>1118</v>
      </c>
      <c r="C245" s="234" t="s">
        <v>564</v>
      </c>
      <c r="D245" s="234" t="s">
        <v>798</v>
      </c>
      <c r="E245" s="259" t="s">
        <v>824</v>
      </c>
      <c r="F245" s="245" t="s">
        <v>721</v>
      </c>
      <c r="G245" s="275">
        <f>1017730-58130</f>
        <v>959600</v>
      </c>
      <c r="H245" s="345"/>
      <c r="I245" s="236">
        <f>G245+H245</f>
        <v>959600</v>
      </c>
    </row>
    <row r="246" spans="1:9" ht="31.5" customHeight="1">
      <c r="A246" s="255" t="s">
        <v>825</v>
      </c>
      <c r="B246" s="234" t="s">
        <v>1118</v>
      </c>
      <c r="C246" s="234" t="s">
        <v>564</v>
      </c>
      <c r="D246" s="234" t="s">
        <v>798</v>
      </c>
      <c r="E246" s="259" t="s">
        <v>826</v>
      </c>
      <c r="F246" s="245"/>
      <c r="G246" s="275">
        <f>G248+G247</f>
        <v>440322</v>
      </c>
      <c r="H246" s="345"/>
      <c r="I246" s="236">
        <f>G246+H246</f>
        <v>440322</v>
      </c>
    </row>
    <row r="247" spans="1:9" ht="31.5" customHeight="1">
      <c r="A247" s="243" t="s">
        <v>560</v>
      </c>
      <c r="B247" s="234" t="s">
        <v>1118</v>
      </c>
      <c r="C247" s="234" t="s">
        <v>564</v>
      </c>
      <c r="D247" s="234" t="s">
        <v>798</v>
      </c>
      <c r="E247" s="259" t="s">
        <v>826</v>
      </c>
      <c r="F247" s="245" t="s">
        <v>561</v>
      </c>
      <c r="G247" s="275">
        <f>29065</f>
        <v>29065</v>
      </c>
      <c r="H247" s="345"/>
      <c r="I247" s="236">
        <f>G247+H247</f>
        <v>29065</v>
      </c>
    </row>
    <row r="248" spans="1:9" ht="21" customHeight="1">
      <c r="A248" s="292" t="s">
        <v>720</v>
      </c>
      <c r="B248" s="234" t="s">
        <v>1118</v>
      </c>
      <c r="C248" s="234" t="s">
        <v>564</v>
      </c>
      <c r="D248" s="234" t="s">
        <v>798</v>
      </c>
      <c r="E248" s="259" t="s">
        <v>826</v>
      </c>
      <c r="F248" s="245" t="s">
        <v>721</v>
      </c>
      <c r="G248" s="275">
        <f>877632-466375</f>
        <v>411257</v>
      </c>
      <c r="H248" s="345"/>
      <c r="I248" s="236">
        <f>G248+H248</f>
        <v>411257</v>
      </c>
    </row>
    <row r="249" spans="1:9" ht="39">
      <c r="A249" s="292" t="s">
        <v>827</v>
      </c>
      <c r="B249" s="234" t="s">
        <v>1118</v>
      </c>
      <c r="C249" s="234" t="s">
        <v>564</v>
      </c>
      <c r="D249" s="234" t="s">
        <v>798</v>
      </c>
      <c r="E249" s="259" t="s">
        <v>828</v>
      </c>
      <c r="F249" s="245"/>
      <c r="G249" s="275">
        <f>G250</f>
        <v>466375</v>
      </c>
      <c r="H249" s="337"/>
      <c r="I249" s="236">
        <f aca="true" t="shared" si="2" ref="I249:I309">G249+H249</f>
        <v>466375</v>
      </c>
    </row>
    <row r="250" spans="1:9" ht="14.25" customHeight="1">
      <c r="A250" s="292" t="s">
        <v>720</v>
      </c>
      <c r="B250" s="234" t="s">
        <v>1118</v>
      </c>
      <c r="C250" s="234" t="s">
        <v>564</v>
      </c>
      <c r="D250" s="234" t="s">
        <v>798</v>
      </c>
      <c r="E250" s="259" t="s">
        <v>828</v>
      </c>
      <c r="F250" s="245" t="s">
        <v>721</v>
      </c>
      <c r="G250" s="275">
        <v>466375</v>
      </c>
      <c r="H250" s="337"/>
      <c r="I250" s="236">
        <f t="shared" si="2"/>
        <v>466375</v>
      </c>
    </row>
    <row r="251" spans="1:9" ht="63.75" hidden="1">
      <c r="A251" s="284" t="s">
        <v>678</v>
      </c>
      <c r="B251" s="234" t="s">
        <v>1118</v>
      </c>
      <c r="C251" s="234" t="s">
        <v>564</v>
      </c>
      <c r="D251" s="234" t="s">
        <v>798</v>
      </c>
      <c r="E251" s="271" t="s">
        <v>679</v>
      </c>
      <c r="F251" s="235"/>
      <c r="G251" s="275">
        <f>G252</f>
        <v>0</v>
      </c>
      <c r="H251" s="349"/>
      <c r="I251" s="236">
        <f t="shared" si="2"/>
        <v>0</v>
      </c>
    </row>
    <row r="252" spans="1:9" ht="29.25" customHeight="1" hidden="1">
      <c r="A252" s="268" t="s">
        <v>786</v>
      </c>
      <c r="B252" s="234" t="s">
        <v>1118</v>
      </c>
      <c r="C252" s="234" t="s">
        <v>564</v>
      </c>
      <c r="D252" s="234" t="s">
        <v>798</v>
      </c>
      <c r="E252" s="263" t="s">
        <v>787</v>
      </c>
      <c r="F252" s="235"/>
      <c r="G252" s="275">
        <f>G253</f>
        <v>0</v>
      </c>
      <c r="H252" s="349"/>
      <c r="I252" s="236">
        <f t="shared" si="2"/>
        <v>0</v>
      </c>
    </row>
    <row r="253" spans="1:9" ht="15" hidden="1">
      <c r="A253" s="255" t="s">
        <v>788</v>
      </c>
      <c r="B253" s="234" t="s">
        <v>1118</v>
      </c>
      <c r="C253" s="234" t="s">
        <v>564</v>
      </c>
      <c r="D253" s="234" t="s">
        <v>798</v>
      </c>
      <c r="E253" s="263" t="s">
        <v>789</v>
      </c>
      <c r="F253" s="235"/>
      <c r="G253" s="275">
        <f>G254</f>
        <v>0</v>
      </c>
      <c r="H253" s="349"/>
      <c r="I253" s="236">
        <f t="shared" si="2"/>
        <v>0</v>
      </c>
    </row>
    <row r="254" spans="1:9" ht="15" hidden="1">
      <c r="A254" s="243" t="s">
        <v>610</v>
      </c>
      <c r="B254" s="234" t="s">
        <v>1118</v>
      </c>
      <c r="C254" s="234" t="s">
        <v>564</v>
      </c>
      <c r="D254" s="234" t="s">
        <v>798</v>
      </c>
      <c r="E254" s="263" t="s">
        <v>789</v>
      </c>
      <c r="F254" s="235" t="s">
        <v>561</v>
      </c>
      <c r="G254" s="275"/>
      <c r="H254" s="349"/>
      <c r="I254" s="236">
        <f t="shared" si="2"/>
        <v>0</v>
      </c>
    </row>
    <row r="255" spans="1:9" ht="38.25">
      <c r="A255" s="280" t="s">
        <v>829</v>
      </c>
      <c r="B255" s="234" t="s">
        <v>1118</v>
      </c>
      <c r="C255" s="234" t="s">
        <v>564</v>
      </c>
      <c r="D255" s="234" t="s">
        <v>798</v>
      </c>
      <c r="E255" s="234" t="s">
        <v>830</v>
      </c>
      <c r="F255" s="245"/>
      <c r="G255" s="275">
        <f>G256+G260</f>
        <v>10000</v>
      </c>
      <c r="H255" s="337"/>
      <c r="I255" s="236">
        <f t="shared" si="2"/>
        <v>10000</v>
      </c>
    </row>
    <row r="256" spans="1:9" ht="66" customHeight="1">
      <c r="A256" s="351" t="s">
        <v>831</v>
      </c>
      <c r="B256" s="234" t="s">
        <v>1118</v>
      </c>
      <c r="C256" s="246" t="s">
        <v>564</v>
      </c>
      <c r="D256" s="246" t="s">
        <v>798</v>
      </c>
      <c r="E256" s="246" t="s">
        <v>832</v>
      </c>
      <c r="F256" s="248"/>
      <c r="G256" s="338">
        <f>G257</f>
        <v>10000</v>
      </c>
      <c r="H256" s="337"/>
      <c r="I256" s="236">
        <f t="shared" si="2"/>
        <v>10000</v>
      </c>
    </row>
    <row r="257" spans="1:9" ht="38.25">
      <c r="A257" s="351" t="s">
        <v>833</v>
      </c>
      <c r="B257" s="234" t="s">
        <v>1118</v>
      </c>
      <c r="C257" s="234" t="s">
        <v>564</v>
      </c>
      <c r="D257" s="234" t="s">
        <v>798</v>
      </c>
      <c r="E257" s="234" t="s">
        <v>834</v>
      </c>
      <c r="F257" s="245"/>
      <c r="G257" s="275">
        <f>G258</f>
        <v>10000</v>
      </c>
      <c r="H257" s="337"/>
      <c r="I257" s="236">
        <f t="shared" si="2"/>
        <v>10000</v>
      </c>
    </row>
    <row r="258" spans="1:9" ht="26.25">
      <c r="A258" s="241" t="s">
        <v>835</v>
      </c>
      <c r="B258" s="234" t="s">
        <v>1118</v>
      </c>
      <c r="C258" s="234" t="s">
        <v>564</v>
      </c>
      <c r="D258" s="234" t="s">
        <v>798</v>
      </c>
      <c r="E258" s="234" t="s">
        <v>836</v>
      </c>
      <c r="F258" s="245"/>
      <c r="G258" s="275">
        <f>G259</f>
        <v>10000</v>
      </c>
      <c r="H258" s="337"/>
      <c r="I258" s="236">
        <f t="shared" si="2"/>
        <v>10000</v>
      </c>
    </row>
    <row r="259" spans="1:9" ht="26.25">
      <c r="A259" s="243" t="s">
        <v>560</v>
      </c>
      <c r="B259" s="234" t="s">
        <v>1118</v>
      </c>
      <c r="C259" s="234" t="s">
        <v>564</v>
      </c>
      <c r="D259" s="234" t="s">
        <v>798</v>
      </c>
      <c r="E259" s="234" t="s">
        <v>836</v>
      </c>
      <c r="F259" s="245" t="s">
        <v>561</v>
      </c>
      <c r="G259" s="275">
        <f>28000-18000</f>
        <v>10000</v>
      </c>
      <c r="H259" s="337"/>
      <c r="I259" s="236">
        <f t="shared" si="2"/>
        <v>10000</v>
      </c>
    </row>
    <row r="260" spans="1:9" ht="70.5" customHeight="1" hidden="1">
      <c r="A260" s="254" t="s">
        <v>837</v>
      </c>
      <c r="B260" s="234" t="s">
        <v>1118</v>
      </c>
      <c r="C260" s="246" t="s">
        <v>564</v>
      </c>
      <c r="D260" s="246" t="s">
        <v>798</v>
      </c>
      <c r="E260" s="246" t="s">
        <v>838</v>
      </c>
      <c r="F260" s="245"/>
      <c r="G260" s="275">
        <f>G261</f>
        <v>0</v>
      </c>
      <c r="H260" s="337"/>
      <c r="I260" s="236">
        <f t="shared" si="2"/>
        <v>0</v>
      </c>
    </row>
    <row r="261" spans="1:9" ht="47.25" customHeight="1" hidden="1">
      <c r="A261" s="351" t="s">
        <v>839</v>
      </c>
      <c r="B261" s="234" t="s">
        <v>1118</v>
      </c>
      <c r="C261" s="234" t="s">
        <v>564</v>
      </c>
      <c r="D261" s="234" t="s">
        <v>798</v>
      </c>
      <c r="E261" s="234" t="s">
        <v>840</v>
      </c>
      <c r="F261" s="245"/>
      <c r="G261" s="275">
        <f>G262</f>
        <v>0</v>
      </c>
      <c r="H261" s="337"/>
      <c r="I261" s="236">
        <f t="shared" si="2"/>
        <v>0</v>
      </c>
    </row>
    <row r="262" spans="1:9" ht="26.25" hidden="1">
      <c r="A262" s="243" t="s">
        <v>841</v>
      </c>
      <c r="B262" s="234" t="s">
        <v>1118</v>
      </c>
      <c r="C262" s="234" t="s">
        <v>564</v>
      </c>
      <c r="D262" s="234" t="s">
        <v>798</v>
      </c>
      <c r="E262" s="234" t="s">
        <v>842</v>
      </c>
      <c r="F262" s="245"/>
      <c r="G262" s="275">
        <f>G263</f>
        <v>0</v>
      </c>
      <c r="H262" s="337"/>
      <c r="I262" s="236">
        <f t="shared" si="2"/>
        <v>0</v>
      </c>
    </row>
    <row r="263" spans="1:9" ht="32.25" customHeight="1" hidden="1">
      <c r="A263" s="243" t="s">
        <v>560</v>
      </c>
      <c r="B263" s="234" t="s">
        <v>1118</v>
      </c>
      <c r="C263" s="234" t="s">
        <v>564</v>
      </c>
      <c r="D263" s="234" t="s">
        <v>798</v>
      </c>
      <c r="E263" s="234" t="s">
        <v>842</v>
      </c>
      <c r="F263" s="245" t="s">
        <v>561</v>
      </c>
      <c r="G263" s="275">
        <f>5000-5000</f>
        <v>0</v>
      </c>
      <c r="H263" s="345"/>
      <c r="I263" s="236">
        <f t="shared" si="2"/>
        <v>0</v>
      </c>
    </row>
    <row r="264" spans="1:9" ht="19.5" customHeight="1">
      <c r="A264" s="243" t="s">
        <v>843</v>
      </c>
      <c r="B264" s="234" t="s">
        <v>1118</v>
      </c>
      <c r="C264" s="234" t="s">
        <v>616</v>
      </c>
      <c r="D264" s="234"/>
      <c r="E264" s="234"/>
      <c r="F264" s="245"/>
      <c r="G264" s="275">
        <f>G274+G265</f>
        <v>20537511.94</v>
      </c>
      <c r="H264" s="337"/>
      <c r="I264" s="236">
        <f t="shared" si="2"/>
        <v>20537511.94</v>
      </c>
    </row>
    <row r="265" spans="1:9" ht="15" hidden="1">
      <c r="A265" s="243" t="s">
        <v>844</v>
      </c>
      <c r="B265" s="234" t="s">
        <v>1118</v>
      </c>
      <c r="C265" s="234" t="s">
        <v>616</v>
      </c>
      <c r="D265" s="234" t="s">
        <v>539</v>
      </c>
      <c r="E265" s="234"/>
      <c r="F265" s="245"/>
      <c r="G265" s="275">
        <f>G266</f>
        <v>0</v>
      </c>
      <c r="H265" s="345"/>
      <c r="I265" s="236">
        <f t="shared" si="2"/>
        <v>0</v>
      </c>
    </row>
    <row r="266" spans="1:9" ht="39" hidden="1">
      <c r="A266" s="243" t="s">
        <v>845</v>
      </c>
      <c r="B266" s="234" t="s">
        <v>1118</v>
      </c>
      <c r="C266" s="234" t="s">
        <v>616</v>
      </c>
      <c r="D266" s="234" t="s">
        <v>539</v>
      </c>
      <c r="E266" s="234" t="s">
        <v>818</v>
      </c>
      <c r="F266" s="245"/>
      <c r="G266" s="275">
        <f>G267</f>
        <v>0</v>
      </c>
      <c r="H266" s="345"/>
      <c r="I266" s="236">
        <f t="shared" si="2"/>
        <v>0</v>
      </c>
    </row>
    <row r="267" spans="1:9" ht="64.5" hidden="1">
      <c r="A267" s="243" t="s">
        <v>846</v>
      </c>
      <c r="B267" s="234" t="s">
        <v>1118</v>
      </c>
      <c r="C267" s="234" t="s">
        <v>616</v>
      </c>
      <c r="D267" s="234" t="s">
        <v>539</v>
      </c>
      <c r="E267" s="234" t="s">
        <v>820</v>
      </c>
      <c r="F267" s="245"/>
      <c r="G267" s="275">
        <f>G268</f>
        <v>0</v>
      </c>
      <c r="H267" s="345"/>
      <c r="I267" s="236">
        <f t="shared" si="2"/>
        <v>0</v>
      </c>
    </row>
    <row r="268" spans="1:9" ht="64.5" hidden="1">
      <c r="A268" s="243" t="s">
        <v>847</v>
      </c>
      <c r="B268" s="234" t="s">
        <v>1118</v>
      </c>
      <c r="C268" s="234" t="s">
        <v>616</v>
      </c>
      <c r="D268" s="234" t="s">
        <v>539</v>
      </c>
      <c r="E268" s="234" t="s">
        <v>848</v>
      </c>
      <c r="F268" s="245"/>
      <c r="G268" s="275">
        <f>G269+G271</f>
        <v>0</v>
      </c>
      <c r="H268" s="345"/>
      <c r="I268" s="236">
        <f t="shared" si="2"/>
        <v>0</v>
      </c>
    </row>
    <row r="269" spans="1:9" ht="26.25" hidden="1">
      <c r="A269" s="243" t="s">
        <v>849</v>
      </c>
      <c r="B269" s="234" t="s">
        <v>1118</v>
      </c>
      <c r="C269" s="234" t="s">
        <v>616</v>
      </c>
      <c r="D269" s="234" t="s">
        <v>539</v>
      </c>
      <c r="E269" s="234" t="s">
        <v>850</v>
      </c>
      <c r="F269" s="245"/>
      <c r="G269" s="275">
        <f>G270</f>
        <v>0</v>
      </c>
      <c r="H269" s="345"/>
      <c r="I269" s="236">
        <f t="shared" si="2"/>
        <v>0</v>
      </c>
    </row>
    <row r="270" spans="1:9" ht="26.25" hidden="1">
      <c r="A270" s="292" t="s">
        <v>776</v>
      </c>
      <c r="B270" s="234" t="s">
        <v>1118</v>
      </c>
      <c r="C270" s="234" t="s">
        <v>616</v>
      </c>
      <c r="D270" s="234" t="s">
        <v>539</v>
      </c>
      <c r="E270" s="234" t="s">
        <v>850</v>
      </c>
      <c r="F270" s="245" t="s">
        <v>777</v>
      </c>
      <c r="G270" s="275"/>
      <c r="H270" s="345"/>
      <c r="I270" s="236">
        <f t="shared" si="2"/>
        <v>0</v>
      </c>
    </row>
    <row r="271" spans="1:9" ht="26.25" hidden="1">
      <c r="A271" s="292" t="s">
        <v>851</v>
      </c>
      <c r="B271" s="234" t="s">
        <v>1118</v>
      </c>
      <c r="C271" s="234" t="s">
        <v>616</v>
      </c>
      <c r="D271" s="234" t="s">
        <v>539</v>
      </c>
      <c r="E271" s="234" t="s">
        <v>852</v>
      </c>
      <c r="F271" s="245"/>
      <c r="G271" s="275">
        <f>G273+G272</f>
        <v>0</v>
      </c>
      <c r="H271" s="345"/>
      <c r="I271" s="236">
        <f t="shared" si="2"/>
        <v>0</v>
      </c>
    </row>
    <row r="272" spans="1:9" ht="26.25" hidden="1">
      <c r="A272" s="243" t="s">
        <v>560</v>
      </c>
      <c r="B272" s="234" t="s">
        <v>1118</v>
      </c>
      <c r="C272" s="234" t="s">
        <v>616</v>
      </c>
      <c r="D272" s="234" t="s">
        <v>539</v>
      </c>
      <c r="E272" s="234" t="s">
        <v>852</v>
      </c>
      <c r="F272" s="245" t="s">
        <v>561</v>
      </c>
      <c r="G272" s="275"/>
      <c r="H272" s="345"/>
      <c r="I272" s="236">
        <f t="shared" si="2"/>
        <v>0</v>
      </c>
    </row>
    <row r="273" spans="1:9" ht="26.25" hidden="1">
      <c r="A273" s="292" t="s">
        <v>776</v>
      </c>
      <c r="B273" s="234" t="s">
        <v>1118</v>
      </c>
      <c r="C273" s="234" t="s">
        <v>616</v>
      </c>
      <c r="D273" s="234" t="s">
        <v>539</v>
      </c>
      <c r="E273" s="234" t="s">
        <v>852</v>
      </c>
      <c r="F273" s="245" t="s">
        <v>777</v>
      </c>
      <c r="G273" s="275"/>
      <c r="H273" s="345"/>
      <c r="I273" s="236">
        <f t="shared" si="2"/>
        <v>0</v>
      </c>
    </row>
    <row r="274" spans="1:9" ht="15">
      <c r="A274" s="243" t="s">
        <v>853</v>
      </c>
      <c r="B274" s="234" t="s">
        <v>1118</v>
      </c>
      <c r="C274" s="234" t="s">
        <v>616</v>
      </c>
      <c r="D274" s="234" t="s">
        <v>541</v>
      </c>
      <c r="E274" s="234"/>
      <c r="F274" s="245"/>
      <c r="G274" s="275">
        <f>G275+G284+G294+G286</f>
        <v>20537511.94</v>
      </c>
      <c r="H274" s="337"/>
      <c r="I274" s="236">
        <f t="shared" si="2"/>
        <v>20537511.94</v>
      </c>
    </row>
    <row r="275" spans="1:9" ht="39">
      <c r="A275" s="233" t="s">
        <v>854</v>
      </c>
      <c r="B275" s="234" t="s">
        <v>1118</v>
      </c>
      <c r="C275" s="234" t="s">
        <v>616</v>
      </c>
      <c r="D275" s="234" t="s">
        <v>541</v>
      </c>
      <c r="E275" s="263" t="s">
        <v>855</v>
      </c>
      <c r="F275" s="245"/>
      <c r="G275" s="275">
        <f>G276</f>
        <v>10195138</v>
      </c>
      <c r="H275" s="337"/>
      <c r="I275" s="236">
        <f t="shared" si="2"/>
        <v>10195138</v>
      </c>
    </row>
    <row r="276" spans="1:9" ht="51.75">
      <c r="A276" s="353" t="s">
        <v>856</v>
      </c>
      <c r="B276" s="234" t="s">
        <v>1118</v>
      </c>
      <c r="C276" s="246" t="s">
        <v>616</v>
      </c>
      <c r="D276" s="246" t="s">
        <v>541</v>
      </c>
      <c r="E276" s="271" t="s">
        <v>1124</v>
      </c>
      <c r="F276" s="248"/>
      <c r="G276" s="338">
        <f>G277</f>
        <v>10195138</v>
      </c>
      <c r="H276" s="337"/>
      <c r="I276" s="236">
        <f t="shared" si="2"/>
        <v>10195138</v>
      </c>
    </row>
    <row r="277" spans="1:9" ht="24.75" customHeight="1">
      <c r="A277" s="255" t="s">
        <v>858</v>
      </c>
      <c r="B277" s="234" t="s">
        <v>1118</v>
      </c>
      <c r="C277" s="234" t="s">
        <v>616</v>
      </c>
      <c r="D277" s="234" t="s">
        <v>541</v>
      </c>
      <c r="E277" s="263" t="s">
        <v>1125</v>
      </c>
      <c r="F277" s="245"/>
      <c r="G277" s="275">
        <f>G278+G280+G282</f>
        <v>10195138</v>
      </c>
      <c r="H277" s="337"/>
      <c r="I277" s="236">
        <f t="shared" si="2"/>
        <v>10195138</v>
      </c>
    </row>
    <row r="278" spans="1:9" ht="38.25">
      <c r="A278" s="354" t="s">
        <v>859</v>
      </c>
      <c r="B278" s="234" t="s">
        <v>1118</v>
      </c>
      <c r="C278" s="234" t="s">
        <v>616</v>
      </c>
      <c r="D278" s="234" t="s">
        <v>541</v>
      </c>
      <c r="E278" s="263" t="s">
        <v>860</v>
      </c>
      <c r="F278" s="245"/>
      <c r="G278" s="275">
        <f>G279</f>
        <v>9500000</v>
      </c>
      <c r="H278" s="337"/>
      <c r="I278" s="236">
        <f t="shared" si="2"/>
        <v>9500000</v>
      </c>
    </row>
    <row r="279" spans="1:9" ht="15">
      <c r="A279" s="292" t="s">
        <v>720</v>
      </c>
      <c r="B279" s="234" t="s">
        <v>1118</v>
      </c>
      <c r="C279" s="234" t="s">
        <v>616</v>
      </c>
      <c r="D279" s="234" t="s">
        <v>541</v>
      </c>
      <c r="E279" s="263" t="s">
        <v>860</v>
      </c>
      <c r="F279" s="245" t="s">
        <v>721</v>
      </c>
      <c r="G279" s="275">
        <f>13131613-3631613</f>
        <v>9500000</v>
      </c>
      <c r="H279" s="345"/>
      <c r="I279" s="236">
        <f t="shared" si="2"/>
        <v>9500000</v>
      </c>
    </row>
    <row r="280" spans="1:9" ht="38.25">
      <c r="A280" s="264" t="s">
        <v>861</v>
      </c>
      <c r="B280" s="234" t="s">
        <v>1118</v>
      </c>
      <c r="C280" s="234" t="s">
        <v>616</v>
      </c>
      <c r="D280" s="234" t="s">
        <v>541</v>
      </c>
      <c r="E280" s="263" t="s">
        <v>862</v>
      </c>
      <c r="F280" s="245"/>
      <c r="G280" s="275">
        <f>G281</f>
        <v>526138</v>
      </c>
      <c r="H280" s="337"/>
      <c r="I280" s="236">
        <f t="shared" si="2"/>
        <v>526138</v>
      </c>
    </row>
    <row r="281" spans="1:9" ht="15">
      <c r="A281" s="292" t="s">
        <v>720</v>
      </c>
      <c r="B281" s="234" t="s">
        <v>1118</v>
      </c>
      <c r="C281" s="234" t="s">
        <v>616</v>
      </c>
      <c r="D281" s="234" t="s">
        <v>541</v>
      </c>
      <c r="E281" s="263" t="s">
        <v>862</v>
      </c>
      <c r="F281" s="245" t="s">
        <v>721</v>
      </c>
      <c r="G281" s="275">
        <f>970000-278862-87000-78000</f>
        <v>526138</v>
      </c>
      <c r="H281" s="337"/>
      <c r="I281" s="236">
        <f>G281+H281</f>
        <v>526138</v>
      </c>
    </row>
    <row r="282" spans="1:9" ht="25.5">
      <c r="A282" s="264" t="s">
        <v>863</v>
      </c>
      <c r="B282" s="234" t="s">
        <v>1118</v>
      </c>
      <c r="C282" s="234" t="s">
        <v>616</v>
      </c>
      <c r="D282" s="234" t="s">
        <v>541</v>
      </c>
      <c r="E282" s="263" t="s">
        <v>864</v>
      </c>
      <c r="F282" s="245"/>
      <c r="G282" s="275">
        <f>G283</f>
        <v>169000</v>
      </c>
      <c r="H282" s="337"/>
      <c r="I282" s="236">
        <f>G282+H282</f>
        <v>169000</v>
      </c>
    </row>
    <row r="283" spans="1:9" ht="15">
      <c r="A283" s="292" t="s">
        <v>720</v>
      </c>
      <c r="B283" s="234" t="s">
        <v>1118</v>
      </c>
      <c r="C283" s="234" t="s">
        <v>616</v>
      </c>
      <c r="D283" s="234" t="s">
        <v>541</v>
      </c>
      <c r="E283" s="263" t="s">
        <v>864</v>
      </c>
      <c r="F283" s="245" t="s">
        <v>721</v>
      </c>
      <c r="G283" s="275">
        <f>82000+87000</f>
        <v>169000</v>
      </c>
      <c r="H283" s="337"/>
      <c r="I283" s="236">
        <f>G283+H283</f>
        <v>169000</v>
      </c>
    </row>
    <row r="284" spans="1:9" ht="52.5" customHeight="1">
      <c r="A284" s="353" t="s">
        <v>865</v>
      </c>
      <c r="B284" s="234" t="s">
        <v>1118</v>
      </c>
      <c r="C284" s="234" t="s">
        <v>616</v>
      </c>
      <c r="D284" s="234" t="s">
        <v>541</v>
      </c>
      <c r="E284" s="263" t="s">
        <v>818</v>
      </c>
      <c r="F284" s="245"/>
      <c r="G284" s="275">
        <f>G285</f>
        <v>2300384</v>
      </c>
      <c r="H284" s="337"/>
      <c r="I284" s="236">
        <f t="shared" si="2"/>
        <v>2300384</v>
      </c>
    </row>
    <row r="285" spans="1:9" ht="84" customHeight="1">
      <c r="A285" s="292" t="s">
        <v>866</v>
      </c>
      <c r="B285" s="234" t="s">
        <v>1118</v>
      </c>
      <c r="C285" s="246" t="s">
        <v>616</v>
      </c>
      <c r="D285" s="246" t="s">
        <v>541</v>
      </c>
      <c r="E285" s="271" t="s">
        <v>867</v>
      </c>
      <c r="F285" s="248"/>
      <c r="G285" s="338">
        <f>G291</f>
        <v>2300384</v>
      </c>
      <c r="H285" s="337"/>
      <c r="I285" s="236">
        <f t="shared" si="2"/>
        <v>2300384</v>
      </c>
    </row>
    <row r="286" spans="1:9" ht="38.25" hidden="1">
      <c r="A286" s="255" t="s">
        <v>899</v>
      </c>
      <c r="B286" s="234" t="s">
        <v>1118</v>
      </c>
      <c r="C286" s="234" t="s">
        <v>616</v>
      </c>
      <c r="D286" s="234" t="s">
        <v>541</v>
      </c>
      <c r="E286" s="259" t="s">
        <v>900</v>
      </c>
      <c r="F286" s="248"/>
      <c r="G286" s="338">
        <f>G287+G289</f>
        <v>0</v>
      </c>
      <c r="H286" s="337"/>
      <c r="I286" s="236">
        <f t="shared" si="2"/>
        <v>0</v>
      </c>
    </row>
    <row r="287" spans="1:9" ht="24" hidden="1">
      <c r="A287" s="295" t="s">
        <v>901</v>
      </c>
      <c r="B287" s="234" t="s">
        <v>1118</v>
      </c>
      <c r="C287" s="234" t="s">
        <v>616</v>
      </c>
      <c r="D287" s="234" t="s">
        <v>541</v>
      </c>
      <c r="E287" s="259" t="s">
        <v>902</v>
      </c>
      <c r="F287" s="245"/>
      <c r="G287" s="338">
        <f>G288</f>
        <v>0</v>
      </c>
      <c r="H287" s="337"/>
      <c r="I287" s="236">
        <f t="shared" si="2"/>
        <v>0</v>
      </c>
    </row>
    <row r="288" spans="1:9" ht="15" hidden="1">
      <c r="A288" s="292" t="s">
        <v>720</v>
      </c>
      <c r="B288" s="234" t="s">
        <v>1118</v>
      </c>
      <c r="C288" s="234" t="s">
        <v>616</v>
      </c>
      <c r="D288" s="234" t="s">
        <v>541</v>
      </c>
      <c r="E288" s="259" t="s">
        <v>902</v>
      </c>
      <c r="F288" s="245" t="s">
        <v>721</v>
      </c>
      <c r="G288" s="338"/>
      <c r="H288" s="337"/>
      <c r="I288" s="236">
        <f t="shared" si="2"/>
        <v>0</v>
      </c>
    </row>
    <row r="289" spans="1:9" ht="30" customHeight="1" hidden="1">
      <c r="A289" s="295" t="s">
        <v>903</v>
      </c>
      <c r="B289" s="234" t="s">
        <v>1118</v>
      </c>
      <c r="C289" s="234" t="s">
        <v>616</v>
      </c>
      <c r="D289" s="234" t="s">
        <v>541</v>
      </c>
      <c r="E289" s="259" t="s">
        <v>904</v>
      </c>
      <c r="F289" s="245"/>
      <c r="G289" s="338">
        <f>G290</f>
        <v>0</v>
      </c>
      <c r="H289" s="337"/>
      <c r="I289" s="236">
        <f t="shared" si="2"/>
        <v>0</v>
      </c>
    </row>
    <row r="290" spans="1:9" ht="15.75" customHeight="1" hidden="1">
      <c r="A290" s="292" t="s">
        <v>720</v>
      </c>
      <c r="B290" s="234" t="s">
        <v>1118</v>
      </c>
      <c r="C290" s="234" t="s">
        <v>616</v>
      </c>
      <c r="D290" s="234" t="s">
        <v>541</v>
      </c>
      <c r="E290" s="259" t="s">
        <v>904</v>
      </c>
      <c r="F290" s="245" t="s">
        <v>721</v>
      </c>
      <c r="G290" s="338"/>
      <c r="H290" s="337"/>
      <c r="I290" s="236">
        <f t="shared" si="2"/>
        <v>0</v>
      </c>
    </row>
    <row r="291" spans="1:9" ht="29.25" customHeight="1">
      <c r="A291" s="255" t="s">
        <v>868</v>
      </c>
      <c r="B291" s="234" t="s">
        <v>1118</v>
      </c>
      <c r="C291" s="234" t="s">
        <v>616</v>
      </c>
      <c r="D291" s="234" t="s">
        <v>541</v>
      </c>
      <c r="E291" s="259" t="s">
        <v>869</v>
      </c>
      <c r="F291" s="245"/>
      <c r="G291" s="275">
        <f>G292</f>
        <v>2300384</v>
      </c>
      <c r="H291" s="337"/>
      <c r="I291" s="236">
        <f t="shared" si="2"/>
        <v>2300384</v>
      </c>
    </row>
    <row r="292" spans="1:9" ht="39">
      <c r="A292" s="241" t="s">
        <v>870</v>
      </c>
      <c r="B292" s="234" t="s">
        <v>1118</v>
      </c>
      <c r="C292" s="234" t="s">
        <v>616</v>
      </c>
      <c r="D292" s="234" t="s">
        <v>541</v>
      </c>
      <c r="E292" s="259" t="s">
        <v>871</v>
      </c>
      <c r="F292" s="245"/>
      <c r="G292" s="275">
        <f>G293</f>
        <v>2300384</v>
      </c>
      <c r="H292" s="337"/>
      <c r="I292" s="236">
        <f t="shared" si="2"/>
        <v>2300384</v>
      </c>
    </row>
    <row r="293" spans="1:9" ht="15">
      <c r="A293" s="292" t="s">
        <v>720</v>
      </c>
      <c r="B293" s="234" t="s">
        <v>1118</v>
      </c>
      <c r="C293" s="234" t="s">
        <v>616</v>
      </c>
      <c r="D293" s="234" t="s">
        <v>541</v>
      </c>
      <c r="E293" s="259" t="s">
        <v>871</v>
      </c>
      <c r="F293" s="245" t="s">
        <v>721</v>
      </c>
      <c r="G293" s="275">
        <f>500000+500000+500000+500000+222384+78000</f>
        <v>2300384</v>
      </c>
      <c r="H293" s="345"/>
      <c r="I293" s="236">
        <f t="shared" si="2"/>
        <v>2300384</v>
      </c>
    </row>
    <row r="294" spans="1:9" ht="43.5" customHeight="1">
      <c r="A294" s="280" t="s">
        <v>790</v>
      </c>
      <c r="B294" s="234" t="s">
        <v>1118</v>
      </c>
      <c r="C294" s="234" t="s">
        <v>616</v>
      </c>
      <c r="D294" s="234" t="s">
        <v>541</v>
      </c>
      <c r="E294" s="263" t="s">
        <v>791</v>
      </c>
      <c r="F294" s="245"/>
      <c r="G294" s="275">
        <f>G295</f>
        <v>8041989.94</v>
      </c>
      <c r="H294" s="337"/>
      <c r="I294" s="236">
        <f t="shared" si="2"/>
        <v>8041989.94</v>
      </c>
    </row>
    <row r="295" spans="1:9" ht="60">
      <c r="A295" s="355" t="s">
        <v>872</v>
      </c>
      <c r="B295" s="234" t="s">
        <v>1118</v>
      </c>
      <c r="C295" s="246" t="s">
        <v>616</v>
      </c>
      <c r="D295" s="246" t="s">
        <v>541</v>
      </c>
      <c r="E295" s="271" t="s">
        <v>793</v>
      </c>
      <c r="F295" s="248"/>
      <c r="G295" s="338">
        <f>G296</f>
        <v>8041989.94</v>
      </c>
      <c r="H295" s="337"/>
      <c r="I295" s="236">
        <f t="shared" si="2"/>
        <v>8041989.94</v>
      </c>
    </row>
    <row r="296" spans="1:9" ht="15">
      <c r="A296" s="292" t="s">
        <v>873</v>
      </c>
      <c r="B296" s="234" t="s">
        <v>1118</v>
      </c>
      <c r="C296" s="234" t="s">
        <v>616</v>
      </c>
      <c r="D296" s="234" t="s">
        <v>541</v>
      </c>
      <c r="E296" s="263" t="s">
        <v>874</v>
      </c>
      <c r="F296" s="245"/>
      <c r="G296" s="275">
        <f>G297+G305+G299+G301+G303</f>
        <v>8041989.94</v>
      </c>
      <c r="H296" s="337"/>
      <c r="I296" s="236">
        <f t="shared" si="2"/>
        <v>8041989.94</v>
      </c>
    </row>
    <row r="297" spans="1:9" ht="21" customHeight="1">
      <c r="A297" s="264" t="s">
        <v>875</v>
      </c>
      <c r="B297" s="234" t="s">
        <v>1118</v>
      </c>
      <c r="C297" s="234" t="s">
        <v>616</v>
      </c>
      <c r="D297" s="234" t="s">
        <v>541</v>
      </c>
      <c r="E297" s="263" t="s">
        <v>876</v>
      </c>
      <c r="F297" s="245"/>
      <c r="G297" s="275">
        <f>G298</f>
        <v>5578897</v>
      </c>
      <c r="H297" s="337"/>
      <c r="I297" s="236">
        <f t="shared" si="2"/>
        <v>5578897</v>
      </c>
    </row>
    <row r="298" spans="1:9" ht="15">
      <c r="A298" s="292" t="s">
        <v>720</v>
      </c>
      <c r="B298" s="234" t="s">
        <v>1118</v>
      </c>
      <c r="C298" s="234" t="s">
        <v>616</v>
      </c>
      <c r="D298" s="234" t="s">
        <v>541</v>
      </c>
      <c r="E298" s="263" t="s">
        <v>876</v>
      </c>
      <c r="F298" s="245" t="s">
        <v>721</v>
      </c>
      <c r="G298" s="275">
        <f>1615000-615000-163165+4742062</f>
        <v>5578897</v>
      </c>
      <c r="H298" s="345"/>
      <c r="I298" s="236">
        <f t="shared" si="2"/>
        <v>5578897</v>
      </c>
    </row>
    <row r="299" spans="1:9" ht="15">
      <c r="A299" s="264" t="s">
        <v>875</v>
      </c>
      <c r="B299" s="234" t="s">
        <v>1118</v>
      </c>
      <c r="C299" s="234" t="s">
        <v>616</v>
      </c>
      <c r="D299" s="234" t="s">
        <v>541</v>
      </c>
      <c r="E299" s="263" t="s">
        <v>878</v>
      </c>
      <c r="F299" s="245"/>
      <c r="G299" s="275">
        <f>G300</f>
        <v>0</v>
      </c>
      <c r="H299" s="337"/>
      <c r="I299" s="236">
        <f t="shared" si="2"/>
        <v>0</v>
      </c>
    </row>
    <row r="300" spans="1:9" ht="15">
      <c r="A300" s="292" t="s">
        <v>720</v>
      </c>
      <c r="B300" s="234" t="s">
        <v>1118</v>
      </c>
      <c r="C300" s="234" t="s">
        <v>616</v>
      </c>
      <c r="D300" s="234" t="s">
        <v>541</v>
      </c>
      <c r="E300" s="263" t="s">
        <v>878</v>
      </c>
      <c r="F300" s="245" t="s">
        <v>721</v>
      </c>
      <c r="G300" s="275">
        <f>15000-15000</f>
        <v>0</v>
      </c>
      <c r="H300" s="345"/>
      <c r="I300" s="236">
        <f t="shared" si="2"/>
        <v>0</v>
      </c>
    </row>
    <row r="301" spans="1:9" ht="38.25">
      <c r="A301" s="286" t="s">
        <v>879</v>
      </c>
      <c r="B301" s="234" t="s">
        <v>1118</v>
      </c>
      <c r="C301" s="234" t="s">
        <v>616</v>
      </c>
      <c r="D301" s="234" t="s">
        <v>541</v>
      </c>
      <c r="E301" s="263" t="s">
        <v>880</v>
      </c>
      <c r="F301" s="245"/>
      <c r="G301" s="275">
        <f>G302</f>
        <v>230676.58</v>
      </c>
      <c r="H301" s="337"/>
      <c r="I301" s="236">
        <f t="shared" si="2"/>
        <v>230676.58</v>
      </c>
    </row>
    <row r="302" spans="1:9" ht="15">
      <c r="A302" s="292" t="s">
        <v>720</v>
      </c>
      <c r="B302" s="234" t="s">
        <v>1118</v>
      </c>
      <c r="C302" s="234" t="s">
        <v>616</v>
      </c>
      <c r="D302" s="234" t="s">
        <v>541</v>
      </c>
      <c r="E302" s="263" t="s">
        <v>880</v>
      </c>
      <c r="F302" s="245" t="s">
        <v>721</v>
      </c>
      <c r="G302" s="275">
        <f>229729.58+947</f>
        <v>230676.58</v>
      </c>
      <c r="H302" s="345"/>
      <c r="I302" s="236">
        <f t="shared" si="2"/>
        <v>230676.58</v>
      </c>
    </row>
    <row r="303" spans="1:9" ht="24">
      <c r="A303" s="295" t="s">
        <v>881</v>
      </c>
      <c r="B303" s="234" t="s">
        <v>1118</v>
      </c>
      <c r="C303" s="234" t="s">
        <v>616</v>
      </c>
      <c r="D303" s="234" t="s">
        <v>541</v>
      </c>
      <c r="E303" s="263" t="s">
        <v>882</v>
      </c>
      <c r="F303" s="245"/>
      <c r="G303" s="275">
        <f>G304</f>
        <v>1300852</v>
      </c>
      <c r="H303" s="337"/>
      <c r="I303" s="236">
        <f t="shared" si="2"/>
        <v>1300852</v>
      </c>
    </row>
    <row r="304" spans="1:9" ht="15">
      <c r="A304" s="292" t="s">
        <v>720</v>
      </c>
      <c r="B304" s="234" t="s">
        <v>1118</v>
      </c>
      <c r="C304" s="234" t="s">
        <v>616</v>
      </c>
      <c r="D304" s="234" t="s">
        <v>541</v>
      </c>
      <c r="E304" s="263" t="s">
        <v>882</v>
      </c>
      <c r="F304" s="245" t="s">
        <v>721</v>
      </c>
      <c r="G304" s="275">
        <f>1300852</f>
        <v>1300852</v>
      </c>
      <c r="H304" s="345"/>
      <c r="I304" s="236">
        <f t="shared" si="2"/>
        <v>1300852</v>
      </c>
    </row>
    <row r="305" spans="1:9" ht="39">
      <c r="A305" s="241" t="s">
        <v>870</v>
      </c>
      <c r="B305" s="234" t="s">
        <v>1118</v>
      </c>
      <c r="C305" s="234" t="s">
        <v>616</v>
      </c>
      <c r="D305" s="234" t="s">
        <v>541</v>
      </c>
      <c r="E305" s="263" t="s">
        <v>883</v>
      </c>
      <c r="F305" s="245"/>
      <c r="G305" s="275">
        <f>G306</f>
        <v>931564.36</v>
      </c>
      <c r="H305" s="345"/>
      <c r="I305" s="236">
        <f t="shared" si="2"/>
        <v>931564.36</v>
      </c>
    </row>
    <row r="306" spans="1:9" ht="15">
      <c r="A306" s="292" t="s">
        <v>720</v>
      </c>
      <c r="B306" s="234" t="s">
        <v>1118</v>
      </c>
      <c r="C306" s="234" t="s">
        <v>616</v>
      </c>
      <c r="D306" s="234" t="s">
        <v>541</v>
      </c>
      <c r="E306" s="263" t="s">
        <v>883</v>
      </c>
      <c r="F306" s="245" t="s">
        <v>721</v>
      </c>
      <c r="G306" s="356">
        <f>600000+15000+286364.36+30200</f>
        <v>931564.36</v>
      </c>
      <c r="H306" s="337"/>
      <c r="I306" s="236">
        <f t="shared" si="2"/>
        <v>931564.36</v>
      </c>
    </row>
    <row r="307" spans="1:9" ht="15">
      <c r="A307" s="292" t="s">
        <v>884</v>
      </c>
      <c r="B307" s="234" t="s">
        <v>1118</v>
      </c>
      <c r="C307" s="234" t="s">
        <v>620</v>
      </c>
      <c r="D307" s="234"/>
      <c r="E307" s="263"/>
      <c r="F307" s="245"/>
      <c r="G307" s="356">
        <f>G308</f>
        <v>300000</v>
      </c>
      <c r="H307" s="337"/>
      <c r="I307" s="236">
        <f t="shared" si="2"/>
        <v>300000</v>
      </c>
    </row>
    <row r="308" spans="1:9" ht="15">
      <c r="A308" s="276" t="s">
        <v>885</v>
      </c>
      <c r="B308" s="234" t="s">
        <v>1118</v>
      </c>
      <c r="C308" s="234" t="s">
        <v>620</v>
      </c>
      <c r="D308" s="234" t="s">
        <v>616</v>
      </c>
      <c r="E308" s="263"/>
      <c r="F308" s="245"/>
      <c r="G308" s="356">
        <f>G309</f>
        <v>300000</v>
      </c>
      <c r="H308" s="337"/>
      <c r="I308" s="236">
        <f t="shared" si="2"/>
        <v>300000</v>
      </c>
    </row>
    <row r="309" spans="1:9" ht="15">
      <c r="A309" s="276" t="s">
        <v>604</v>
      </c>
      <c r="B309" s="234" t="s">
        <v>1118</v>
      </c>
      <c r="C309" s="234" t="s">
        <v>620</v>
      </c>
      <c r="D309" s="234" t="s">
        <v>616</v>
      </c>
      <c r="E309" s="263" t="s">
        <v>605</v>
      </c>
      <c r="F309" s="245"/>
      <c r="G309" s="356">
        <f>G310</f>
        <v>300000</v>
      </c>
      <c r="H309" s="337"/>
      <c r="I309" s="236">
        <f t="shared" si="2"/>
        <v>300000</v>
      </c>
    </row>
    <row r="310" spans="1:9" ht="15">
      <c r="A310" s="240" t="s">
        <v>611</v>
      </c>
      <c r="B310" s="234" t="s">
        <v>1118</v>
      </c>
      <c r="C310" s="234" t="s">
        <v>620</v>
      </c>
      <c r="D310" s="234" t="s">
        <v>616</v>
      </c>
      <c r="E310" s="263" t="s">
        <v>612</v>
      </c>
      <c r="F310" s="245"/>
      <c r="G310" s="356">
        <f>G311</f>
        <v>300000</v>
      </c>
      <c r="H310" s="337"/>
      <c r="I310" s="236">
        <f>G310+H310</f>
        <v>300000</v>
      </c>
    </row>
    <row r="311" spans="1:9" ht="15">
      <c r="A311" s="240" t="s">
        <v>886</v>
      </c>
      <c r="B311" s="234" t="s">
        <v>1118</v>
      </c>
      <c r="C311" s="234" t="s">
        <v>620</v>
      </c>
      <c r="D311" s="234" t="s">
        <v>616</v>
      </c>
      <c r="E311" s="263" t="s">
        <v>887</v>
      </c>
      <c r="F311" s="245"/>
      <c r="G311" s="356">
        <f>G312</f>
        <v>300000</v>
      </c>
      <c r="H311" s="337"/>
      <c r="I311" s="236">
        <f>G311+H311</f>
        <v>300000</v>
      </c>
    </row>
    <row r="312" spans="1:9" ht="26.25">
      <c r="A312" s="243" t="s">
        <v>560</v>
      </c>
      <c r="B312" s="234" t="s">
        <v>1118</v>
      </c>
      <c r="C312" s="234" t="s">
        <v>620</v>
      </c>
      <c r="D312" s="234" t="s">
        <v>616</v>
      </c>
      <c r="E312" s="263" t="s">
        <v>887</v>
      </c>
      <c r="F312" s="245" t="s">
        <v>561</v>
      </c>
      <c r="G312" s="356">
        <v>300000</v>
      </c>
      <c r="H312" s="337"/>
      <c r="I312" s="236">
        <f>G312+H312</f>
        <v>300000</v>
      </c>
    </row>
    <row r="313" spans="1:9" ht="13.5" customHeight="1">
      <c r="A313" s="282" t="s">
        <v>888</v>
      </c>
      <c r="B313" s="234" t="s">
        <v>1118</v>
      </c>
      <c r="C313" s="234" t="s">
        <v>627</v>
      </c>
      <c r="D313" s="234"/>
      <c r="E313" s="263"/>
      <c r="F313" s="270"/>
      <c r="G313" s="275">
        <f>G314</f>
        <v>1080051</v>
      </c>
      <c r="H313" s="337"/>
      <c r="I313" s="236">
        <f>G313+H313</f>
        <v>1080051</v>
      </c>
    </row>
    <row r="314" spans="1:9" ht="15">
      <c r="A314" s="240" t="s">
        <v>1126</v>
      </c>
      <c r="B314" s="234" t="s">
        <v>1118</v>
      </c>
      <c r="C314" s="234" t="s">
        <v>627</v>
      </c>
      <c r="D314" s="234" t="s">
        <v>627</v>
      </c>
      <c r="E314" s="234"/>
      <c r="F314" s="235"/>
      <c r="G314" s="275">
        <f>G315</f>
        <v>1080051</v>
      </c>
      <c r="H314" s="337"/>
      <c r="I314" s="236">
        <f>G314+H314</f>
        <v>1080051</v>
      </c>
    </row>
    <row r="315" spans="1:9" ht="57" customHeight="1">
      <c r="A315" s="255" t="s">
        <v>952</v>
      </c>
      <c r="B315" s="234" t="s">
        <v>1118</v>
      </c>
      <c r="C315" s="234" t="s">
        <v>627</v>
      </c>
      <c r="D315" s="234" t="s">
        <v>627</v>
      </c>
      <c r="E315" s="263" t="s">
        <v>953</v>
      </c>
      <c r="F315" s="235"/>
      <c r="G315" s="275">
        <f>G316+G321</f>
        <v>1080051</v>
      </c>
      <c r="H315" s="337"/>
      <c r="I315" s="236">
        <f aca="true" t="shared" si="3" ref="I315:I386">G315+H315</f>
        <v>1080051</v>
      </c>
    </row>
    <row r="316" spans="1:9" ht="76.5" customHeight="1">
      <c r="A316" s="255" t="s">
        <v>954</v>
      </c>
      <c r="B316" s="234" t="s">
        <v>1118</v>
      </c>
      <c r="C316" s="246" t="s">
        <v>627</v>
      </c>
      <c r="D316" s="246" t="s">
        <v>627</v>
      </c>
      <c r="E316" s="271" t="s">
        <v>955</v>
      </c>
      <c r="F316" s="272"/>
      <c r="G316" s="338">
        <f>G317</f>
        <v>105000</v>
      </c>
      <c r="H316" s="337"/>
      <c r="I316" s="236">
        <f t="shared" si="3"/>
        <v>105000</v>
      </c>
    </row>
    <row r="317" spans="1:9" ht="39.75" customHeight="1">
      <c r="A317" s="255" t="s">
        <v>956</v>
      </c>
      <c r="B317" s="234" t="s">
        <v>1118</v>
      </c>
      <c r="C317" s="234" t="s">
        <v>627</v>
      </c>
      <c r="D317" s="234" t="s">
        <v>627</v>
      </c>
      <c r="E317" s="263" t="s">
        <v>957</v>
      </c>
      <c r="F317" s="270"/>
      <c r="G317" s="275">
        <f>G318</f>
        <v>105000</v>
      </c>
      <c r="H317" s="337"/>
      <c r="I317" s="236">
        <f t="shared" si="3"/>
        <v>105000</v>
      </c>
    </row>
    <row r="318" spans="1:9" ht="19.5" customHeight="1">
      <c r="A318" s="255" t="s">
        <v>958</v>
      </c>
      <c r="B318" s="234" t="s">
        <v>1118</v>
      </c>
      <c r="C318" s="234" t="s">
        <v>627</v>
      </c>
      <c r="D318" s="234" t="s">
        <v>627</v>
      </c>
      <c r="E318" s="263" t="s">
        <v>959</v>
      </c>
      <c r="F318" s="270"/>
      <c r="G318" s="275">
        <f>G319+G320</f>
        <v>105000</v>
      </c>
      <c r="H318" s="337"/>
      <c r="I318" s="236">
        <f t="shared" si="3"/>
        <v>105000</v>
      </c>
    </row>
    <row r="319" spans="1:9" ht="27.75" customHeight="1">
      <c r="A319" s="243" t="s">
        <v>560</v>
      </c>
      <c r="B319" s="234" t="s">
        <v>1118</v>
      </c>
      <c r="C319" s="234" t="s">
        <v>627</v>
      </c>
      <c r="D319" s="234" t="s">
        <v>627</v>
      </c>
      <c r="E319" s="263" t="s">
        <v>959</v>
      </c>
      <c r="F319" s="270" t="s">
        <v>561</v>
      </c>
      <c r="G319" s="275">
        <f>85000-20000+20000</f>
        <v>85000</v>
      </c>
      <c r="H319" s="345"/>
      <c r="I319" s="236">
        <f t="shared" si="3"/>
        <v>85000</v>
      </c>
    </row>
    <row r="320" spans="1:9" ht="19.5" customHeight="1">
      <c r="A320" s="240" t="s">
        <v>733</v>
      </c>
      <c r="B320" s="234" t="s">
        <v>1118</v>
      </c>
      <c r="C320" s="234" t="s">
        <v>627</v>
      </c>
      <c r="D320" s="234" t="s">
        <v>627</v>
      </c>
      <c r="E320" s="263" t="s">
        <v>959</v>
      </c>
      <c r="F320" s="270" t="s">
        <v>734</v>
      </c>
      <c r="G320" s="275">
        <f>20000</f>
        <v>20000</v>
      </c>
      <c r="H320" s="345"/>
      <c r="I320" s="236">
        <f t="shared" si="3"/>
        <v>20000</v>
      </c>
    </row>
    <row r="321" spans="1:9" ht="55.5" customHeight="1">
      <c r="A321" s="280" t="s">
        <v>960</v>
      </c>
      <c r="B321" s="234" t="s">
        <v>1118</v>
      </c>
      <c r="C321" s="234" t="s">
        <v>627</v>
      </c>
      <c r="D321" s="234" t="s">
        <v>627</v>
      </c>
      <c r="E321" s="263" t="s">
        <v>961</v>
      </c>
      <c r="F321" s="270"/>
      <c r="G321" s="275">
        <f>G322</f>
        <v>975051</v>
      </c>
      <c r="H321" s="337"/>
      <c r="I321" s="236">
        <f t="shared" si="3"/>
        <v>975051</v>
      </c>
    </row>
    <row r="322" spans="1:9" ht="24.75" customHeight="1">
      <c r="A322" s="255" t="s">
        <v>962</v>
      </c>
      <c r="B322" s="234" t="s">
        <v>1118</v>
      </c>
      <c r="C322" s="234" t="s">
        <v>627</v>
      </c>
      <c r="D322" s="234" t="s">
        <v>627</v>
      </c>
      <c r="E322" s="263" t="s">
        <v>963</v>
      </c>
      <c r="F322" s="270"/>
      <c r="G322" s="275">
        <f>G323+G325+G327</f>
        <v>975051</v>
      </c>
      <c r="H322" s="337"/>
      <c r="I322" s="236">
        <f t="shared" si="3"/>
        <v>975051</v>
      </c>
    </row>
    <row r="323" spans="1:9" ht="15">
      <c r="A323" s="240" t="s">
        <v>964</v>
      </c>
      <c r="B323" s="234" t="s">
        <v>1118</v>
      </c>
      <c r="C323" s="234" t="s">
        <v>627</v>
      </c>
      <c r="D323" s="234" t="s">
        <v>627</v>
      </c>
      <c r="E323" s="263" t="s">
        <v>965</v>
      </c>
      <c r="F323" s="235"/>
      <c r="G323" s="275">
        <f>G324</f>
        <v>378378</v>
      </c>
      <c r="H323" s="337"/>
      <c r="I323" s="236">
        <f t="shared" si="3"/>
        <v>378378</v>
      </c>
    </row>
    <row r="324" spans="1:9" ht="15">
      <c r="A324" s="240" t="s">
        <v>733</v>
      </c>
      <c r="B324" s="234" t="s">
        <v>1118</v>
      </c>
      <c r="C324" s="234" t="s">
        <v>627</v>
      </c>
      <c r="D324" s="234" t="s">
        <v>627</v>
      </c>
      <c r="E324" s="263" t="s">
        <v>965</v>
      </c>
      <c r="F324" s="270" t="s">
        <v>734</v>
      </c>
      <c r="G324" s="275">
        <f>378378</f>
        <v>378378</v>
      </c>
      <c r="H324" s="337"/>
      <c r="I324" s="236">
        <f t="shared" si="3"/>
        <v>378378</v>
      </c>
    </row>
    <row r="325" spans="1:9" ht="18.75" customHeight="1">
      <c r="A325" s="300" t="s">
        <v>966</v>
      </c>
      <c r="B325" s="234" t="s">
        <v>1118</v>
      </c>
      <c r="C325" s="234" t="s">
        <v>627</v>
      </c>
      <c r="D325" s="234" t="s">
        <v>627</v>
      </c>
      <c r="E325" s="263" t="s">
        <v>967</v>
      </c>
      <c r="F325" s="235"/>
      <c r="G325" s="275">
        <f>G326</f>
        <v>582120</v>
      </c>
      <c r="H325" s="337"/>
      <c r="I325" s="236">
        <f>G325+H325</f>
        <v>582120</v>
      </c>
    </row>
    <row r="326" spans="1:9" ht="15">
      <c r="A326" s="240" t="s">
        <v>733</v>
      </c>
      <c r="B326" s="234" t="s">
        <v>1118</v>
      </c>
      <c r="C326" s="234" t="s">
        <v>627</v>
      </c>
      <c r="D326" s="234" t="s">
        <v>627</v>
      </c>
      <c r="E326" s="263" t="s">
        <v>967</v>
      </c>
      <c r="F326" s="270" t="s">
        <v>734</v>
      </c>
      <c r="G326" s="275">
        <f>618000-20412-15468</f>
        <v>582120</v>
      </c>
      <c r="H326" s="345"/>
      <c r="I326" s="236">
        <f>G326+H326</f>
        <v>582120</v>
      </c>
    </row>
    <row r="327" spans="1:9" ht="18.75" customHeight="1">
      <c r="A327" s="300" t="s">
        <v>968</v>
      </c>
      <c r="B327" s="234" t="s">
        <v>1118</v>
      </c>
      <c r="C327" s="234" t="s">
        <v>627</v>
      </c>
      <c r="D327" s="234" t="s">
        <v>627</v>
      </c>
      <c r="E327" s="263" t="s">
        <v>969</v>
      </c>
      <c r="F327" s="235"/>
      <c r="G327" s="275">
        <f>G328</f>
        <v>14553</v>
      </c>
      <c r="H327" s="337"/>
      <c r="I327" s="236">
        <f>G327+H327</f>
        <v>14553</v>
      </c>
    </row>
    <row r="328" spans="1:9" ht="15">
      <c r="A328" s="240" t="s">
        <v>733</v>
      </c>
      <c r="B328" s="234" t="s">
        <v>1118</v>
      </c>
      <c r="C328" s="234" t="s">
        <v>627</v>
      </c>
      <c r="D328" s="234" t="s">
        <v>627</v>
      </c>
      <c r="E328" s="263" t="s">
        <v>969</v>
      </c>
      <c r="F328" s="270" t="s">
        <v>734</v>
      </c>
      <c r="G328" s="275">
        <f>14553</f>
        <v>14553</v>
      </c>
      <c r="H328" s="345"/>
      <c r="I328" s="236">
        <f>G328+H328</f>
        <v>14553</v>
      </c>
    </row>
    <row r="329" spans="1:9" ht="15">
      <c r="A329" s="240" t="s">
        <v>1024</v>
      </c>
      <c r="B329" s="234" t="s">
        <v>1118</v>
      </c>
      <c r="C329" s="234" t="s">
        <v>738</v>
      </c>
      <c r="D329" s="234"/>
      <c r="E329" s="263"/>
      <c r="F329" s="270"/>
      <c r="G329" s="275">
        <f>G330</f>
        <v>500197</v>
      </c>
      <c r="H329" s="337"/>
      <c r="I329" s="236">
        <f t="shared" si="3"/>
        <v>500197</v>
      </c>
    </row>
    <row r="330" spans="1:9" ht="15">
      <c r="A330" s="307" t="s">
        <v>1025</v>
      </c>
      <c r="B330" s="234" t="s">
        <v>1118</v>
      </c>
      <c r="C330" s="234" t="s">
        <v>738</v>
      </c>
      <c r="D330" s="234" t="s">
        <v>627</v>
      </c>
      <c r="E330" s="234"/>
      <c r="F330" s="235"/>
      <c r="G330" s="275">
        <f>G331</f>
        <v>500197</v>
      </c>
      <c r="H330" s="337"/>
      <c r="I330" s="236">
        <f t="shared" si="3"/>
        <v>500197</v>
      </c>
    </row>
    <row r="331" spans="1:9" ht="15">
      <c r="A331" s="240" t="s">
        <v>604</v>
      </c>
      <c r="B331" s="234" t="s">
        <v>1118</v>
      </c>
      <c r="C331" s="234" t="s">
        <v>738</v>
      </c>
      <c r="D331" s="234" t="s">
        <v>627</v>
      </c>
      <c r="E331" s="259" t="s">
        <v>605</v>
      </c>
      <c r="F331" s="245"/>
      <c r="G331" s="275">
        <f>G332</f>
        <v>500197</v>
      </c>
      <c r="H331" s="337"/>
      <c r="I331" s="236">
        <f t="shared" si="3"/>
        <v>500197</v>
      </c>
    </row>
    <row r="332" spans="1:9" ht="15">
      <c r="A332" s="240" t="s">
        <v>611</v>
      </c>
      <c r="B332" s="234" t="s">
        <v>1118</v>
      </c>
      <c r="C332" s="234" t="s">
        <v>738</v>
      </c>
      <c r="D332" s="234" t="s">
        <v>627</v>
      </c>
      <c r="E332" s="234" t="s">
        <v>612</v>
      </c>
      <c r="F332" s="235"/>
      <c r="G332" s="275">
        <f>G333+G335</f>
        <v>500197</v>
      </c>
      <c r="H332" s="337"/>
      <c r="I332" s="236">
        <f t="shared" si="3"/>
        <v>500197</v>
      </c>
    </row>
    <row r="333" spans="1:9" ht="25.5">
      <c r="A333" s="342" t="s">
        <v>1026</v>
      </c>
      <c r="B333" s="234" t="s">
        <v>1118</v>
      </c>
      <c r="C333" s="234" t="s">
        <v>738</v>
      </c>
      <c r="D333" s="234" t="s">
        <v>627</v>
      </c>
      <c r="E333" s="234" t="s">
        <v>1027</v>
      </c>
      <c r="F333" s="235"/>
      <c r="G333" s="275">
        <f>G334</f>
        <v>500197</v>
      </c>
      <c r="H333" s="337"/>
      <c r="I333" s="236">
        <f t="shared" si="3"/>
        <v>500197</v>
      </c>
    </row>
    <row r="334" spans="1:9" ht="26.25">
      <c r="A334" s="243" t="s">
        <v>560</v>
      </c>
      <c r="B334" s="234" t="s">
        <v>1118</v>
      </c>
      <c r="C334" s="234" t="s">
        <v>738</v>
      </c>
      <c r="D334" s="234" t="s">
        <v>627</v>
      </c>
      <c r="E334" s="234" t="s">
        <v>1027</v>
      </c>
      <c r="F334" s="245" t="s">
        <v>561</v>
      </c>
      <c r="G334" s="275">
        <f>5758+275126+219313</f>
        <v>500197</v>
      </c>
      <c r="H334" s="345"/>
      <c r="I334" s="236">
        <f t="shared" si="3"/>
        <v>500197</v>
      </c>
    </row>
    <row r="335" spans="1:9" ht="46.5" customHeight="1" hidden="1">
      <c r="A335" s="255" t="s">
        <v>1127</v>
      </c>
      <c r="B335" s="234" t="s">
        <v>1118</v>
      </c>
      <c r="C335" s="234" t="s">
        <v>738</v>
      </c>
      <c r="D335" s="234" t="s">
        <v>627</v>
      </c>
      <c r="E335" s="234" t="s">
        <v>614</v>
      </c>
      <c r="F335" s="235"/>
      <c r="G335" s="275">
        <f>G336</f>
        <v>0</v>
      </c>
      <c r="H335" s="337"/>
      <c r="I335" s="236">
        <f t="shared" si="3"/>
        <v>0</v>
      </c>
    </row>
    <row r="336" spans="1:9" ht="26.25" hidden="1">
      <c r="A336" s="243" t="s">
        <v>560</v>
      </c>
      <c r="B336" s="234" t="s">
        <v>1118</v>
      </c>
      <c r="C336" s="234" t="s">
        <v>738</v>
      </c>
      <c r="D336" s="234" t="s">
        <v>627</v>
      </c>
      <c r="E336" s="234" t="s">
        <v>614</v>
      </c>
      <c r="F336" s="245" t="s">
        <v>549</v>
      </c>
      <c r="G336" s="275"/>
      <c r="H336" s="337"/>
      <c r="I336" s="236">
        <f t="shared" si="3"/>
        <v>0</v>
      </c>
    </row>
    <row r="337" spans="1:9" ht="17.25" customHeight="1">
      <c r="A337" s="240" t="s">
        <v>1028</v>
      </c>
      <c r="B337" s="234" t="s">
        <v>1118</v>
      </c>
      <c r="C337" s="234" t="s">
        <v>1029</v>
      </c>
      <c r="D337" s="234"/>
      <c r="E337" s="263"/>
      <c r="F337" s="270"/>
      <c r="G337" s="275">
        <f>G338+G344+G360</f>
        <v>12340474</v>
      </c>
      <c r="H337" s="337"/>
      <c r="I337" s="236">
        <f t="shared" si="3"/>
        <v>12340474</v>
      </c>
    </row>
    <row r="338" spans="1:9" ht="15">
      <c r="A338" s="240" t="s">
        <v>1030</v>
      </c>
      <c r="B338" s="234" t="s">
        <v>1118</v>
      </c>
      <c r="C338" s="234" t="s">
        <v>1029</v>
      </c>
      <c r="D338" s="234" t="s">
        <v>539</v>
      </c>
      <c r="E338" s="234"/>
      <c r="F338" s="235"/>
      <c r="G338" s="275">
        <f>G339</f>
        <v>279600</v>
      </c>
      <c r="H338" s="337"/>
      <c r="I338" s="236">
        <f t="shared" si="3"/>
        <v>279600</v>
      </c>
    </row>
    <row r="339" spans="1:9" ht="34.5" customHeight="1">
      <c r="A339" s="240" t="s">
        <v>1031</v>
      </c>
      <c r="B339" s="234" t="s">
        <v>1118</v>
      </c>
      <c r="C339" s="234" t="s">
        <v>1029</v>
      </c>
      <c r="D339" s="234" t="s">
        <v>539</v>
      </c>
      <c r="E339" s="234" t="s">
        <v>566</v>
      </c>
      <c r="F339" s="235"/>
      <c r="G339" s="275">
        <f>G340</f>
        <v>279600</v>
      </c>
      <c r="H339" s="337"/>
      <c r="I339" s="236">
        <f t="shared" si="3"/>
        <v>279600</v>
      </c>
    </row>
    <row r="340" spans="1:9" ht="51.75" customHeight="1">
      <c r="A340" s="357" t="s">
        <v>1032</v>
      </c>
      <c r="B340" s="234" t="s">
        <v>1118</v>
      </c>
      <c r="C340" s="246" t="s">
        <v>1029</v>
      </c>
      <c r="D340" s="246" t="s">
        <v>539</v>
      </c>
      <c r="E340" s="246" t="s">
        <v>644</v>
      </c>
      <c r="F340" s="253"/>
      <c r="G340" s="338">
        <f>G342</f>
        <v>279600</v>
      </c>
      <c r="H340" s="337"/>
      <c r="I340" s="236">
        <f t="shared" si="3"/>
        <v>279600</v>
      </c>
    </row>
    <row r="341" spans="1:9" ht="30.75" customHeight="1">
      <c r="A341" s="269" t="s">
        <v>1033</v>
      </c>
      <c r="B341" s="234" t="s">
        <v>1118</v>
      </c>
      <c r="C341" s="234" t="s">
        <v>1029</v>
      </c>
      <c r="D341" s="234" t="s">
        <v>539</v>
      </c>
      <c r="E341" s="234" t="s">
        <v>1034</v>
      </c>
      <c r="F341" s="235"/>
      <c r="G341" s="275">
        <f>G342</f>
        <v>279600</v>
      </c>
      <c r="H341" s="337"/>
      <c r="I341" s="236">
        <f t="shared" si="3"/>
        <v>279600</v>
      </c>
    </row>
    <row r="342" spans="1:9" ht="21.75" customHeight="1">
      <c r="A342" s="357" t="s">
        <v>1035</v>
      </c>
      <c r="B342" s="234" t="s">
        <v>1118</v>
      </c>
      <c r="C342" s="234" t="s">
        <v>1036</v>
      </c>
      <c r="D342" s="234" t="s">
        <v>539</v>
      </c>
      <c r="E342" s="234" t="s">
        <v>1037</v>
      </c>
      <c r="F342" s="235"/>
      <c r="G342" s="275">
        <f>G343</f>
        <v>279600</v>
      </c>
      <c r="H342" s="337"/>
      <c r="I342" s="236">
        <f t="shared" si="3"/>
        <v>279600</v>
      </c>
    </row>
    <row r="343" spans="1:9" ht="15">
      <c r="A343" s="276" t="s">
        <v>733</v>
      </c>
      <c r="B343" s="234" t="s">
        <v>1118</v>
      </c>
      <c r="C343" s="234" t="s">
        <v>1036</v>
      </c>
      <c r="D343" s="234" t="s">
        <v>539</v>
      </c>
      <c r="E343" s="234" t="s">
        <v>1037</v>
      </c>
      <c r="F343" s="235" t="s">
        <v>734</v>
      </c>
      <c r="G343" s="275">
        <f>148731+120169+10700</f>
        <v>279600</v>
      </c>
      <c r="H343" s="345"/>
      <c r="I343" s="236">
        <f t="shared" si="3"/>
        <v>279600</v>
      </c>
    </row>
    <row r="344" spans="1:9" ht="17.25" customHeight="1">
      <c r="A344" s="240" t="s">
        <v>1038</v>
      </c>
      <c r="B344" s="234" t="s">
        <v>1118</v>
      </c>
      <c r="C344" s="234">
        <v>10</v>
      </c>
      <c r="D344" s="234" t="s">
        <v>551</v>
      </c>
      <c r="E344" s="234"/>
      <c r="F344" s="235"/>
      <c r="G344" s="275">
        <f>G345</f>
        <v>10656796</v>
      </c>
      <c r="H344" s="337"/>
      <c r="I344" s="236">
        <f t="shared" si="3"/>
        <v>10656796</v>
      </c>
    </row>
    <row r="345" spans="1:9" ht="44.25" customHeight="1">
      <c r="A345" s="240" t="s">
        <v>1031</v>
      </c>
      <c r="B345" s="234" t="s">
        <v>1118</v>
      </c>
      <c r="C345" s="234">
        <v>10</v>
      </c>
      <c r="D345" s="234" t="s">
        <v>551</v>
      </c>
      <c r="E345" s="234" t="s">
        <v>566</v>
      </c>
      <c r="F345" s="235"/>
      <c r="G345" s="275">
        <f>G346</f>
        <v>10656796</v>
      </c>
      <c r="H345" s="337"/>
      <c r="I345" s="236">
        <f t="shared" si="3"/>
        <v>10656796</v>
      </c>
    </row>
    <row r="346" spans="1:9" ht="59.25" customHeight="1">
      <c r="A346" s="262" t="s">
        <v>1044</v>
      </c>
      <c r="B346" s="234" t="s">
        <v>1118</v>
      </c>
      <c r="C346" s="246">
        <v>10</v>
      </c>
      <c r="D346" s="246" t="s">
        <v>551</v>
      </c>
      <c r="E346" s="246" t="s">
        <v>644</v>
      </c>
      <c r="F346" s="253"/>
      <c r="G346" s="338">
        <f>G347</f>
        <v>10656796</v>
      </c>
      <c r="H346" s="337"/>
      <c r="I346" s="236">
        <f t="shared" si="3"/>
        <v>10656796</v>
      </c>
    </row>
    <row r="347" spans="1:9" ht="35.25" customHeight="1">
      <c r="A347" s="262" t="s">
        <v>1045</v>
      </c>
      <c r="B347" s="234" t="s">
        <v>1118</v>
      </c>
      <c r="C347" s="234">
        <v>10</v>
      </c>
      <c r="D347" s="234" t="s">
        <v>551</v>
      </c>
      <c r="E347" s="234" t="s">
        <v>1046</v>
      </c>
      <c r="F347" s="235"/>
      <c r="G347" s="275">
        <f>G348+G351+G354+G357</f>
        <v>10656796</v>
      </c>
      <c r="H347" s="337"/>
      <c r="I347" s="236">
        <f t="shared" si="3"/>
        <v>10656796</v>
      </c>
    </row>
    <row r="348" spans="1:9" ht="26.25">
      <c r="A348" s="241" t="s">
        <v>1047</v>
      </c>
      <c r="B348" s="234" t="s">
        <v>1118</v>
      </c>
      <c r="C348" s="234">
        <v>10</v>
      </c>
      <c r="D348" s="234" t="s">
        <v>551</v>
      </c>
      <c r="E348" s="234" t="s">
        <v>1048</v>
      </c>
      <c r="F348" s="235"/>
      <c r="G348" s="275">
        <f>G350+G349</f>
        <v>63415</v>
      </c>
      <c r="H348" s="337"/>
      <c r="I348" s="236">
        <f t="shared" si="3"/>
        <v>63415</v>
      </c>
    </row>
    <row r="349" spans="1:9" ht="15" customHeight="1">
      <c r="A349" s="243" t="s">
        <v>560</v>
      </c>
      <c r="B349" s="234" t="s">
        <v>1118</v>
      </c>
      <c r="C349" s="234">
        <v>10</v>
      </c>
      <c r="D349" s="234" t="s">
        <v>551</v>
      </c>
      <c r="E349" s="234" t="s">
        <v>1048</v>
      </c>
      <c r="F349" s="235" t="s">
        <v>561</v>
      </c>
      <c r="G349" s="275">
        <v>980</v>
      </c>
      <c r="H349" s="345"/>
      <c r="I349" s="236">
        <f t="shared" si="3"/>
        <v>980</v>
      </c>
    </row>
    <row r="350" spans="1:9" ht="17.25" customHeight="1">
      <c r="A350" s="309" t="s">
        <v>733</v>
      </c>
      <c r="B350" s="234" t="s">
        <v>1118</v>
      </c>
      <c r="C350" s="234">
        <v>10</v>
      </c>
      <c r="D350" s="234" t="s">
        <v>551</v>
      </c>
      <c r="E350" s="234" t="s">
        <v>1048</v>
      </c>
      <c r="F350" s="235" t="s">
        <v>734</v>
      </c>
      <c r="G350" s="275">
        <v>62435</v>
      </c>
      <c r="H350" s="345"/>
      <c r="I350" s="236">
        <f t="shared" si="3"/>
        <v>62435</v>
      </c>
    </row>
    <row r="351" spans="1:9" ht="34.5" customHeight="1">
      <c r="A351" s="241" t="s">
        <v>1049</v>
      </c>
      <c r="B351" s="234" t="s">
        <v>1118</v>
      </c>
      <c r="C351" s="234">
        <v>10</v>
      </c>
      <c r="D351" s="234" t="s">
        <v>551</v>
      </c>
      <c r="E351" s="234" t="s">
        <v>1050</v>
      </c>
      <c r="F351" s="235"/>
      <c r="G351" s="275">
        <f>G353+G352</f>
        <v>261767</v>
      </c>
      <c r="H351" s="337"/>
      <c r="I351" s="236">
        <f t="shared" si="3"/>
        <v>261767</v>
      </c>
    </row>
    <row r="352" spans="1:9" ht="34.5" customHeight="1">
      <c r="A352" s="243" t="s">
        <v>560</v>
      </c>
      <c r="B352" s="234" t="s">
        <v>1118</v>
      </c>
      <c r="C352" s="234">
        <v>10</v>
      </c>
      <c r="D352" s="234" t="s">
        <v>551</v>
      </c>
      <c r="E352" s="234" t="s">
        <v>1050</v>
      </c>
      <c r="F352" s="235" t="s">
        <v>561</v>
      </c>
      <c r="G352" s="275">
        <f>5240-100</f>
        <v>5140</v>
      </c>
      <c r="H352" s="345"/>
      <c r="I352" s="236">
        <f t="shared" si="3"/>
        <v>5140</v>
      </c>
    </row>
    <row r="353" spans="1:9" ht="24.75" customHeight="1">
      <c r="A353" s="309" t="s">
        <v>733</v>
      </c>
      <c r="B353" s="234" t="s">
        <v>1118</v>
      </c>
      <c r="C353" s="234">
        <v>10</v>
      </c>
      <c r="D353" s="234" t="s">
        <v>551</v>
      </c>
      <c r="E353" s="234" t="s">
        <v>1050</v>
      </c>
      <c r="F353" s="235" t="s">
        <v>734</v>
      </c>
      <c r="G353" s="275">
        <f>290609-34082+100</f>
        <v>256627</v>
      </c>
      <c r="H353" s="345"/>
      <c r="I353" s="236">
        <f t="shared" si="3"/>
        <v>256627</v>
      </c>
    </row>
    <row r="354" spans="1:9" ht="18.75" customHeight="1">
      <c r="A354" s="240" t="s">
        <v>1051</v>
      </c>
      <c r="B354" s="234" t="s">
        <v>1118</v>
      </c>
      <c r="C354" s="234">
        <v>10</v>
      </c>
      <c r="D354" s="234" t="s">
        <v>551</v>
      </c>
      <c r="E354" s="234" t="s">
        <v>1052</v>
      </c>
      <c r="F354" s="235"/>
      <c r="G354" s="275">
        <f>G356+G355</f>
        <v>9216614</v>
      </c>
      <c r="H354" s="337"/>
      <c r="I354" s="236">
        <f t="shared" si="3"/>
        <v>9216614</v>
      </c>
    </row>
    <row r="355" spans="1:9" ht="39.75" customHeight="1">
      <c r="A355" s="243" t="s">
        <v>560</v>
      </c>
      <c r="B355" s="234" t="s">
        <v>1118</v>
      </c>
      <c r="C355" s="234">
        <v>10</v>
      </c>
      <c r="D355" s="234" t="s">
        <v>551</v>
      </c>
      <c r="E355" s="234" t="s">
        <v>1052</v>
      </c>
      <c r="F355" s="235" t="s">
        <v>561</v>
      </c>
      <c r="G355" s="275">
        <f>148440+2700</f>
        <v>151140</v>
      </c>
      <c r="H355" s="345"/>
      <c r="I355" s="236">
        <f t="shared" si="3"/>
        <v>151140</v>
      </c>
    </row>
    <row r="356" spans="1:9" ht="20.25" customHeight="1">
      <c r="A356" s="309" t="s">
        <v>733</v>
      </c>
      <c r="B356" s="234" t="s">
        <v>1118</v>
      </c>
      <c r="C356" s="234">
        <v>10</v>
      </c>
      <c r="D356" s="234" t="s">
        <v>551</v>
      </c>
      <c r="E356" s="234" t="s">
        <v>1052</v>
      </c>
      <c r="F356" s="235" t="s">
        <v>734</v>
      </c>
      <c r="G356" s="275">
        <f>8914137-257595+408932</f>
        <v>9065474</v>
      </c>
      <c r="H356" s="345"/>
      <c r="I356" s="236">
        <f t="shared" si="3"/>
        <v>9065474</v>
      </c>
    </row>
    <row r="357" spans="1:9" s="221" customFormat="1" ht="15">
      <c r="A357" s="240" t="s">
        <v>1053</v>
      </c>
      <c r="B357" s="234" t="s">
        <v>1118</v>
      </c>
      <c r="C357" s="234">
        <v>10</v>
      </c>
      <c r="D357" s="234" t="s">
        <v>551</v>
      </c>
      <c r="E357" s="234" t="s">
        <v>1054</v>
      </c>
      <c r="F357" s="235"/>
      <c r="G357" s="275">
        <f>G359+G358</f>
        <v>1115000</v>
      </c>
      <c r="H357" s="337"/>
      <c r="I357" s="236">
        <f t="shared" si="3"/>
        <v>1115000</v>
      </c>
    </row>
    <row r="358" spans="1:9" ht="26.25">
      <c r="A358" s="243" t="s">
        <v>560</v>
      </c>
      <c r="B358" s="234" t="s">
        <v>1118</v>
      </c>
      <c r="C358" s="234">
        <v>10</v>
      </c>
      <c r="D358" s="234" t="s">
        <v>551</v>
      </c>
      <c r="E358" s="234" t="s">
        <v>1054</v>
      </c>
      <c r="F358" s="235" t="s">
        <v>561</v>
      </c>
      <c r="G358" s="275">
        <f>24490-4290</f>
        <v>20200</v>
      </c>
      <c r="H358" s="345"/>
      <c r="I358" s="236">
        <f t="shared" si="3"/>
        <v>20200</v>
      </c>
    </row>
    <row r="359" spans="1:9" ht="15">
      <c r="A359" s="309" t="s">
        <v>733</v>
      </c>
      <c r="B359" s="234" t="s">
        <v>1118</v>
      </c>
      <c r="C359" s="234">
        <v>10</v>
      </c>
      <c r="D359" s="234" t="s">
        <v>551</v>
      </c>
      <c r="E359" s="234" t="s">
        <v>1054</v>
      </c>
      <c r="F359" s="235" t="s">
        <v>734</v>
      </c>
      <c r="G359" s="275">
        <f>1450810-331010-25000</f>
        <v>1094800</v>
      </c>
      <c r="H359" s="345"/>
      <c r="I359" s="236">
        <f t="shared" si="3"/>
        <v>1094800</v>
      </c>
    </row>
    <row r="360" spans="1:9" ht="24" customHeight="1">
      <c r="A360" s="240" t="s">
        <v>1063</v>
      </c>
      <c r="B360" s="234" t="s">
        <v>1118</v>
      </c>
      <c r="C360" s="234">
        <v>10</v>
      </c>
      <c r="D360" s="234" t="s">
        <v>564</v>
      </c>
      <c r="E360" s="234"/>
      <c r="F360" s="235"/>
      <c r="G360" s="275">
        <f>G361</f>
        <v>1404078</v>
      </c>
      <c r="H360" s="275">
        <f>H361</f>
        <v>0</v>
      </c>
      <c r="I360" s="236">
        <f t="shared" si="3"/>
        <v>1404078</v>
      </c>
    </row>
    <row r="361" spans="1:9" ht="44.25" customHeight="1">
      <c r="A361" s="240" t="s">
        <v>642</v>
      </c>
      <c r="B361" s="234" t="s">
        <v>1118</v>
      </c>
      <c r="C361" s="234">
        <v>10</v>
      </c>
      <c r="D361" s="234" t="s">
        <v>564</v>
      </c>
      <c r="E361" s="312" t="s">
        <v>566</v>
      </c>
      <c r="F361" s="235"/>
      <c r="G361" s="275">
        <f>G362</f>
        <v>1404078</v>
      </c>
      <c r="H361" s="275">
        <f>H362</f>
        <v>0</v>
      </c>
      <c r="I361" s="236">
        <f t="shared" si="3"/>
        <v>1404078</v>
      </c>
    </row>
    <row r="362" spans="1:9" ht="54.75" customHeight="1">
      <c r="A362" s="262" t="s">
        <v>1044</v>
      </c>
      <c r="B362" s="234" t="s">
        <v>1118</v>
      </c>
      <c r="C362" s="234">
        <v>10</v>
      </c>
      <c r="D362" s="234" t="s">
        <v>564</v>
      </c>
      <c r="E362" s="312" t="s">
        <v>644</v>
      </c>
      <c r="F362" s="235"/>
      <c r="G362" s="275">
        <f>G363</f>
        <v>1404078</v>
      </c>
      <c r="H362" s="275">
        <f>H364+H365</f>
        <v>0</v>
      </c>
      <c r="I362" s="236">
        <f t="shared" si="3"/>
        <v>1404078</v>
      </c>
    </row>
    <row r="363" spans="1:9" ht="30.75" customHeight="1">
      <c r="A363" s="262" t="s">
        <v>1045</v>
      </c>
      <c r="B363" s="234" t="s">
        <v>1118</v>
      </c>
      <c r="C363" s="234">
        <v>10</v>
      </c>
      <c r="D363" s="234" t="s">
        <v>551</v>
      </c>
      <c r="E363" s="234" t="s">
        <v>1046</v>
      </c>
      <c r="F363" s="235"/>
      <c r="G363" s="275">
        <f>G364+G365</f>
        <v>1404078</v>
      </c>
      <c r="H363" s="358"/>
      <c r="I363" s="236">
        <f t="shared" si="3"/>
        <v>1404078</v>
      </c>
    </row>
    <row r="364" spans="1:9" ht="24" customHeight="1">
      <c r="A364" s="240" t="s">
        <v>1064</v>
      </c>
      <c r="B364" s="234" t="s">
        <v>1118</v>
      </c>
      <c r="C364" s="234" t="s">
        <v>1029</v>
      </c>
      <c r="D364" s="234" t="s">
        <v>564</v>
      </c>
      <c r="E364" s="234" t="s">
        <v>1065</v>
      </c>
      <c r="F364" s="235" t="s">
        <v>561</v>
      </c>
      <c r="G364" s="275">
        <v>280</v>
      </c>
      <c r="H364" s="345"/>
      <c r="I364" s="236">
        <f t="shared" si="3"/>
        <v>280</v>
      </c>
    </row>
    <row r="365" spans="1:9" ht="26.25">
      <c r="A365" s="243" t="s">
        <v>560</v>
      </c>
      <c r="B365" s="234" t="s">
        <v>1118</v>
      </c>
      <c r="C365" s="234" t="s">
        <v>1029</v>
      </c>
      <c r="D365" s="234" t="s">
        <v>564</v>
      </c>
      <c r="E365" s="234" t="s">
        <v>1065</v>
      </c>
      <c r="F365" s="235" t="s">
        <v>734</v>
      </c>
      <c r="G365" s="275">
        <f>1556604-152806</f>
        <v>1403798</v>
      </c>
      <c r="H365" s="345"/>
      <c r="I365" s="236">
        <f t="shared" si="3"/>
        <v>1403798</v>
      </c>
    </row>
    <row r="366" spans="1:9" ht="15">
      <c r="A366" s="240" t="s">
        <v>1074</v>
      </c>
      <c r="B366" s="234" t="s">
        <v>1118</v>
      </c>
      <c r="C366" s="234" t="s">
        <v>633</v>
      </c>
      <c r="D366" s="234"/>
      <c r="E366" s="234"/>
      <c r="F366" s="235"/>
      <c r="G366" s="275">
        <f>G367</f>
        <v>461440</v>
      </c>
      <c r="H366" s="337"/>
      <c r="I366" s="236">
        <f t="shared" si="3"/>
        <v>461440</v>
      </c>
    </row>
    <row r="367" spans="1:9" ht="15">
      <c r="A367" s="240" t="s">
        <v>1075</v>
      </c>
      <c r="B367" s="234" t="s">
        <v>1118</v>
      </c>
      <c r="C367" s="234" t="s">
        <v>633</v>
      </c>
      <c r="D367" s="234" t="s">
        <v>539</v>
      </c>
      <c r="E367" s="234"/>
      <c r="F367" s="235"/>
      <c r="G367" s="275">
        <f>G368</f>
        <v>461440</v>
      </c>
      <c r="H367" s="337"/>
      <c r="I367" s="236">
        <f t="shared" si="3"/>
        <v>461440</v>
      </c>
    </row>
    <row r="368" spans="1:9" ht="54.75" customHeight="1">
      <c r="A368" s="255" t="s">
        <v>952</v>
      </c>
      <c r="B368" s="234" t="s">
        <v>1118</v>
      </c>
      <c r="C368" s="234" t="s">
        <v>633</v>
      </c>
      <c r="D368" s="234" t="s">
        <v>539</v>
      </c>
      <c r="E368" s="263" t="s">
        <v>953</v>
      </c>
      <c r="F368" s="235"/>
      <c r="G368" s="275">
        <f>G369</f>
        <v>461440</v>
      </c>
      <c r="H368" s="337"/>
      <c r="I368" s="236">
        <f t="shared" si="3"/>
        <v>461440</v>
      </c>
    </row>
    <row r="369" spans="1:9" ht="75" customHeight="1">
      <c r="A369" s="280" t="s">
        <v>1076</v>
      </c>
      <c r="B369" s="234" t="s">
        <v>1118</v>
      </c>
      <c r="C369" s="246" t="s">
        <v>633</v>
      </c>
      <c r="D369" s="246" t="s">
        <v>539</v>
      </c>
      <c r="E369" s="271" t="s">
        <v>1077</v>
      </c>
      <c r="F369" s="253"/>
      <c r="G369" s="338">
        <f>G370+G374</f>
        <v>461440</v>
      </c>
      <c r="H369" s="337"/>
      <c r="I369" s="236">
        <f t="shared" si="3"/>
        <v>461440</v>
      </c>
    </row>
    <row r="370" spans="1:9" ht="44.25" customHeight="1">
      <c r="A370" s="280" t="s">
        <v>1078</v>
      </c>
      <c r="B370" s="234" t="s">
        <v>1118</v>
      </c>
      <c r="C370" s="234" t="s">
        <v>633</v>
      </c>
      <c r="D370" s="234" t="s">
        <v>539</v>
      </c>
      <c r="E370" s="263" t="s">
        <v>1079</v>
      </c>
      <c r="F370" s="235"/>
      <c r="G370" s="275">
        <f>G371</f>
        <v>150000</v>
      </c>
      <c r="H370" s="337"/>
      <c r="I370" s="236">
        <f t="shared" si="3"/>
        <v>150000</v>
      </c>
    </row>
    <row r="371" spans="1:9" ht="39.75" customHeight="1">
      <c r="A371" s="240" t="s">
        <v>1080</v>
      </c>
      <c r="B371" s="234" t="s">
        <v>1118</v>
      </c>
      <c r="C371" s="234" t="s">
        <v>633</v>
      </c>
      <c r="D371" s="234" t="s">
        <v>539</v>
      </c>
      <c r="E371" s="263" t="s">
        <v>1081</v>
      </c>
      <c r="F371" s="235"/>
      <c r="G371" s="275">
        <f>G373+G372</f>
        <v>150000</v>
      </c>
      <c r="H371" s="337"/>
      <c r="I371" s="236">
        <f t="shared" si="3"/>
        <v>150000</v>
      </c>
    </row>
    <row r="372" spans="1:9" ht="43.5" customHeight="1" hidden="1">
      <c r="A372" s="243" t="s">
        <v>548</v>
      </c>
      <c r="B372" s="234" t="s">
        <v>1118</v>
      </c>
      <c r="C372" s="234" t="s">
        <v>633</v>
      </c>
      <c r="D372" s="234" t="s">
        <v>539</v>
      </c>
      <c r="E372" s="263" t="s">
        <v>1081</v>
      </c>
      <c r="F372" s="235" t="s">
        <v>549</v>
      </c>
      <c r="G372" s="275">
        <f>3195-3195</f>
        <v>0</v>
      </c>
      <c r="H372" s="345"/>
      <c r="I372" s="236">
        <f t="shared" si="3"/>
        <v>0</v>
      </c>
    </row>
    <row r="373" spans="1:9" ht="26.25">
      <c r="A373" s="243" t="s">
        <v>560</v>
      </c>
      <c r="B373" s="234" t="s">
        <v>1118</v>
      </c>
      <c r="C373" s="234" t="s">
        <v>633</v>
      </c>
      <c r="D373" s="234" t="s">
        <v>539</v>
      </c>
      <c r="E373" s="263" t="s">
        <v>1081</v>
      </c>
      <c r="F373" s="235" t="s">
        <v>561</v>
      </c>
      <c r="G373" s="275">
        <f>100000+50000</f>
        <v>150000</v>
      </c>
      <c r="H373" s="345"/>
      <c r="I373" s="236">
        <f t="shared" si="3"/>
        <v>150000</v>
      </c>
    </row>
    <row r="374" spans="1:9" ht="25.5">
      <c r="A374" s="266" t="s">
        <v>1082</v>
      </c>
      <c r="B374" s="234" t="s">
        <v>1118</v>
      </c>
      <c r="C374" s="234" t="s">
        <v>633</v>
      </c>
      <c r="D374" s="234" t="s">
        <v>539</v>
      </c>
      <c r="E374" s="263" t="s">
        <v>1083</v>
      </c>
      <c r="F374" s="235"/>
      <c r="G374" s="275">
        <f>G375</f>
        <v>311440</v>
      </c>
      <c r="H374" s="337"/>
      <c r="I374" s="236">
        <f t="shared" si="3"/>
        <v>311440</v>
      </c>
    </row>
    <row r="375" spans="1:9" ht="26.25">
      <c r="A375" s="240" t="s">
        <v>722</v>
      </c>
      <c r="B375" s="246" t="s">
        <v>1118</v>
      </c>
      <c r="C375" s="234" t="s">
        <v>633</v>
      </c>
      <c r="D375" s="234" t="s">
        <v>539</v>
      </c>
      <c r="E375" s="263" t="s">
        <v>1084</v>
      </c>
      <c r="F375" s="235"/>
      <c r="G375" s="275">
        <f>G377+G376+G378</f>
        <v>311440</v>
      </c>
      <c r="H375" s="337"/>
      <c r="I375" s="236">
        <f t="shared" si="3"/>
        <v>311440</v>
      </c>
    </row>
    <row r="376" spans="1:9" ht="39">
      <c r="A376" s="243" t="s">
        <v>548</v>
      </c>
      <c r="B376" s="234" t="s">
        <v>1118</v>
      </c>
      <c r="C376" s="234" t="s">
        <v>633</v>
      </c>
      <c r="D376" s="234" t="s">
        <v>539</v>
      </c>
      <c r="E376" s="263" t="s">
        <v>1084</v>
      </c>
      <c r="F376" s="235" t="s">
        <v>549</v>
      </c>
      <c r="G376" s="236">
        <f>92350+27890+19000</f>
        <v>139240</v>
      </c>
      <c r="H376" s="337"/>
      <c r="I376" s="236">
        <f t="shared" si="3"/>
        <v>139240</v>
      </c>
    </row>
    <row r="377" spans="1:9" ht="25.5" customHeight="1">
      <c r="A377" s="243" t="s">
        <v>560</v>
      </c>
      <c r="B377" s="234" t="s">
        <v>1118</v>
      </c>
      <c r="C377" s="234" t="s">
        <v>633</v>
      </c>
      <c r="D377" s="234" t="s">
        <v>539</v>
      </c>
      <c r="E377" s="263" t="s">
        <v>1084</v>
      </c>
      <c r="F377" s="235" t="s">
        <v>561</v>
      </c>
      <c r="G377" s="236">
        <f>115000+160200-103000</f>
        <v>172200</v>
      </c>
      <c r="H377" s="337"/>
      <c r="I377" s="236">
        <f t="shared" si="3"/>
        <v>172200</v>
      </c>
    </row>
    <row r="378" spans="1:9" ht="0.75" customHeight="1" hidden="1">
      <c r="A378" s="276" t="s">
        <v>602</v>
      </c>
      <c r="B378" s="234" t="s">
        <v>1118</v>
      </c>
      <c r="C378" s="234" t="s">
        <v>633</v>
      </c>
      <c r="D378" s="234" t="s">
        <v>539</v>
      </c>
      <c r="E378" s="263" t="s">
        <v>1128</v>
      </c>
      <c r="F378" s="235" t="s">
        <v>603</v>
      </c>
      <c r="G378" s="275"/>
      <c r="H378" s="337"/>
      <c r="I378" s="236">
        <f t="shared" si="3"/>
        <v>0</v>
      </c>
    </row>
    <row r="379" spans="1:9" ht="20.25" customHeight="1">
      <c r="A379" s="240" t="s">
        <v>1085</v>
      </c>
      <c r="B379" s="234" t="s">
        <v>1118</v>
      </c>
      <c r="C379" s="234" t="s">
        <v>641</v>
      </c>
      <c r="D379" s="234"/>
      <c r="E379" s="234"/>
      <c r="F379" s="235"/>
      <c r="G379" s="275">
        <f>G380</f>
        <v>9602.76</v>
      </c>
      <c r="H379" s="337"/>
      <c r="I379" s="236">
        <f t="shared" si="3"/>
        <v>9602.76</v>
      </c>
    </row>
    <row r="380" spans="1:9" ht="24" customHeight="1">
      <c r="A380" s="240" t="s">
        <v>1086</v>
      </c>
      <c r="B380" s="234" t="s">
        <v>1118</v>
      </c>
      <c r="C380" s="234" t="s">
        <v>641</v>
      </c>
      <c r="D380" s="234" t="s">
        <v>539</v>
      </c>
      <c r="E380" s="234"/>
      <c r="F380" s="235"/>
      <c r="G380" s="275">
        <f>G381</f>
        <v>9602.76</v>
      </c>
      <c r="H380" s="337"/>
      <c r="I380" s="236">
        <f t="shared" si="3"/>
        <v>9602.76</v>
      </c>
    </row>
    <row r="381" spans="1:9" s="250" customFormat="1" ht="42" customHeight="1">
      <c r="A381" s="254" t="s">
        <v>1100</v>
      </c>
      <c r="B381" s="234" t="s">
        <v>1118</v>
      </c>
      <c r="C381" s="234" t="s">
        <v>641</v>
      </c>
      <c r="D381" s="234" t="s">
        <v>539</v>
      </c>
      <c r="E381" s="259" t="s">
        <v>1088</v>
      </c>
      <c r="F381" s="235"/>
      <c r="G381" s="275">
        <f>G382</f>
        <v>9602.76</v>
      </c>
      <c r="H381" s="340"/>
      <c r="I381" s="236">
        <f t="shared" si="3"/>
        <v>9602.76</v>
      </c>
    </row>
    <row r="382" spans="1:9" s="250" customFormat="1" ht="62.25" customHeight="1">
      <c r="A382" s="233" t="s">
        <v>1089</v>
      </c>
      <c r="B382" s="234" t="s">
        <v>1118</v>
      </c>
      <c r="C382" s="246" t="s">
        <v>641</v>
      </c>
      <c r="D382" s="246" t="s">
        <v>539</v>
      </c>
      <c r="E382" s="259" t="s">
        <v>1090</v>
      </c>
      <c r="F382" s="253"/>
      <c r="G382" s="338">
        <f>G384</f>
        <v>9602.76</v>
      </c>
      <c r="H382" s="340"/>
      <c r="I382" s="236">
        <f t="shared" si="3"/>
        <v>9602.76</v>
      </c>
    </row>
    <row r="383" spans="1:9" ht="48" customHeight="1">
      <c r="A383" s="233" t="s">
        <v>1091</v>
      </c>
      <c r="B383" s="234" t="s">
        <v>1118</v>
      </c>
      <c r="C383" s="234" t="s">
        <v>641</v>
      </c>
      <c r="D383" s="234" t="s">
        <v>539</v>
      </c>
      <c r="E383" s="259" t="s">
        <v>1092</v>
      </c>
      <c r="F383" s="253"/>
      <c r="G383" s="338">
        <f>G384</f>
        <v>9602.76</v>
      </c>
      <c r="H383" s="337"/>
      <c r="I383" s="236">
        <f t="shared" si="3"/>
        <v>9602.76</v>
      </c>
    </row>
    <row r="384" spans="1:9" ht="20.25" customHeight="1">
      <c r="A384" s="240" t="s">
        <v>1093</v>
      </c>
      <c r="B384" s="234" t="s">
        <v>1118</v>
      </c>
      <c r="C384" s="234" t="s">
        <v>641</v>
      </c>
      <c r="D384" s="234" t="s">
        <v>539</v>
      </c>
      <c r="E384" s="259" t="s">
        <v>1094</v>
      </c>
      <c r="F384" s="235"/>
      <c r="G384" s="275">
        <f>G385</f>
        <v>9602.76</v>
      </c>
      <c r="H384" s="337"/>
      <c r="I384" s="236">
        <f t="shared" si="3"/>
        <v>9602.76</v>
      </c>
    </row>
    <row r="385" spans="1:9" ht="26.25" customHeight="1">
      <c r="A385" s="233" t="s">
        <v>1095</v>
      </c>
      <c r="B385" s="234" t="s">
        <v>1118</v>
      </c>
      <c r="C385" s="234" t="s">
        <v>641</v>
      </c>
      <c r="D385" s="234" t="s">
        <v>539</v>
      </c>
      <c r="E385" s="259" t="s">
        <v>1094</v>
      </c>
      <c r="F385" s="235" t="s">
        <v>1096</v>
      </c>
      <c r="G385" s="275">
        <v>9602.76</v>
      </c>
      <c r="H385" s="337"/>
      <c r="I385" s="236">
        <f t="shared" si="3"/>
        <v>9602.76</v>
      </c>
    </row>
    <row r="386" spans="1:9" ht="32.25" customHeight="1">
      <c r="A386" s="240" t="s">
        <v>1097</v>
      </c>
      <c r="B386" s="246" t="s">
        <v>1118</v>
      </c>
      <c r="C386" s="234" t="s">
        <v>1098</v>
      </c>
      <c r="D386" s="234"/>
      <c r="E386" s="234"/>
      <c r="F386" s="235"/>
      <c r="G386" s="275">
        <f aca="true" t="shared" si="4" ref="G386:G391">G387</f>
        <v>7768331</v>
      </c>
      <c r="H386" s="337"/>
      <c r="I386" s="236">
        <f t="shared" si="3"/>
        <v>7768331</v>
      </c>
    </row>
    <row r="387" spans="1:9" ht="41.25" customHeight="1">
      <c r="A387" s="240" t="s">
        <v>1099</v>
      </c>
      <c r="B387" s="234" t="s">
        <v>1118</v>
      </c>
      <c r="C387" s="234" t="s">
        <v>1098</v>
      </c>
      <c r="D387" s="234" t="s">
        <v>539</v>
      </c>
      <c r="E387" s="234"/>
      <c r="F387" s="235"/>
      <c r="G387" s="275">
        <f t="shared" si="4"/>
        <v>7768331</v>
      </c>
      <c r="H387" s="337"/>
      <c r="I387" s="236">
        <f aca="true" t="shared" si="5" ref="I387:I461">G387+H387</f>
        <v>7768331</v>
      </c>
    </row>
    <row r="388" spans="1:9" ht="48.75" customHeight="1">
      <c r="A388" s="254" t="s">
        <v>1100</v>
      </c>
      <c r="B388" s="234" t="s">
        <v>1118</v>
      </c>
      <c r="C388" s="234" t="s">
        <v>1098</v>
      </c>
      <c r="D388" s="234" t="s">
        <v>539</v>
      </c>
      <c r="E388" s="234" t="s">
        <v>1088</v>
      </c>
      <c r="F388" s="235"/>
      <c r="G388" s="275">
        <f t="shared" si="4"/>
        <v>7768331</v>
      </c>
      <c r="H388" s="337"/>
      <c r="I388" s="236">
        <f t="shared" si="5"/>
        <v>7768331</v>
      </c>
    </row>
    <row r="389" spans="1:9" ht="65.25" customHeight="1">
      <c r="A389" s="233" t="s">
        <v>1101</v>
      </c>
      <c r="B389" s="234" t="s">
        <v>1118</v>
      </c>
      <c r="C389" s="246" t="s">
        <v>1098</v>
      </c>
      <c r="D389" s="246" t="s">
        <v>539</v>
      </c>
      <c r="E389" s="246" t="s">
        <v>1102</v>
      </c>
      <c r="F389" s="253"/>
      <c r="G389" s="338">
        <f t="shared" si="4"/>
        <v>7768331</v>
      </c>
      <c r="H389" s="337"/>
      <c r="I389" s="236">
        <f t="shared" si="5"/>
        <v>7768331</v>
      </c>
    </row>
    <row r="390" spans="1:9" ht="33.75" customHeight="1">
      <c r="A390" s="254" t="s">
        <v>1103</v>
      </c>
      <c r="B390" s="234" t="s">
        <v>1118</v>
      </c>
      <c r="C390" s="234" t="s">
        <v>1098</v>
      </c>
      <c r="D390" s="234" t="s">
        <v>539</v>
      </c>
      <c r="E390" s="234" t="s">
        <v>1104</v>
      </c>
      <c r="F390" s="235"/>
      <c r="G390" s="275">
        <f t="shared" si="4"/>
        <v>7768331</v>
      </c>
      <c r="H390" s="337"/>
      <c r="I390" s="236">
        <f t="shared" si="5"/>
        <v>7768331</v>
      </c>
    </row>
    <row r="391" spans="1:9" ht="39">
      <c r="A391" s="339" t="s">
        <v>1105</v>
      </c>
      <c r="B391" s="234" t="s">
        <v>1118</v>
      </c>
      <c r="C391" s="234" t="s">
        <v>1098</v>
      </c>
      <c r="D391" s="234" t="s">
        <v>539</v>
      </c>
      <c r="E391" s="234" t="s">
        <v>1106</v>
      </c>
      <c r="F391" s="235"/>
      <c r="G391" s="275">
        <f t="shared" si="4"/>
        <v>7768331</v>
      </c>
      <c r="H391" s="337"/>
      <c r="I391" s="236">
        <f t="shared" si="5"/>
        <v>7768331</v>
      </c>
    </row>
    <row r="392" spans="1:9" ht="15">
      <c r="A392" s="292" t="s">
        <v>720</v>
      </c>
      <c r="B392" s="234" t="s">
        <v>1118</v>
      </c>
      <c r="C392" s="234" t="s">
        <v>1098</v>
      </c>
      <c r="D392" s="234" t="s">
        <v>539</v>
      </c>
      <c r="E392" s="234" t="s">
        <v>1106</v>
      </c>
      <c r="F392" s="245" t="s">
        <v>721</v>
      </c>
      <c r="G392" s="275">
        <v>7768331</v>
      </c>
      <c r="H392" s="345"/>
      <c r="I392" s="236">
        <f t="shared" si="5"/>
        <v>7768331</v>
      </c>
    </row>
    <row r="393" spans="1:9" ht="31.5" customHeight="1">
      <c r="A393" s="336" t="s">
        <v>1129</v>
      </c>
      <c r="B393" s="234" t="s">
        <v>1130</v>
      </c>
      <c r="C393" s="234"/>
      <c r="D393" s="234"/>
      <c r="E393" s="263"/>
      <c r="F393" s="270"/>
      <c r="G393" s="359">
        <f>G394+G401+G529</f>
        <v>441756450.77</v>
      </c>
      <c r="H393" s="345">
        <f>H394+H401+H529</f>
        <v>15615340.14</v>
      </c>
      <c r="I393" s="236">
        <f t="shared" si="5"/>
        <v>457371790.90999997</v>
      </c>
    </row>
    <row r="394" spans="1:9" ht="15" hidden="1">
      <c r="A394" s="240" t="s">
        <v>756</v>
      </c>
      <c r="B394" s="234" t="s">
        <v>1130</v>
      </c>
      <c r="C394" s="234" t="s">
        <v>564</v>
      </c>
      <c r="D394" s="234"/>
      <c r="E394" s="234"/>
      <c r="F394" s="235"/>
      <c r="G394" s="275">
        <f>G395</f>
        <v>0</v>
      </c>
      <c r="H394" s="337">
        <f>H395</f>
        <v>0</v>
      </c>
      <c r="I394" s="236">
        <f t="shared" si="5"/>
        <v>0</v>
      </c>
    </row>
    <row r="395" spans="1:9" ht="15" hidden="1">
      <c r="A395" s="240" t="s">
        <v>797</v>
      </c>
      <c r="B395" s="234" t="s">
        <v>1130</v>
      </c>
      <c r="C395" s="234" t="s">
        <v>564</v>
      </c>
      <c r="D395" s="234" t="s">
        <v>798</v>
      </c>
      <c r="E395" s="234"/>
      <c r="F395" s="235"/>
      <c r="G395" s="275">
        <f>G396</f>
        <v>0</v>
      </c>
      <c r="H395" s="337">
        <f>H396</f>
        <v>0</v>
      </c>
      <c r="I395" s="236">
        <f t="shared" si="5"/>
        <v>0</v>
      </c>
    </row>
    <row r="396" spans="1:9" ht="39" hidden="1">
      <c r="A396" s="352" t="s">
        <v>1131</v>
      </c>
      <c r="B396" s="234" t="s">
        <v>1130</v>
      </c>
      <c r="C396" s="234" t="s">
        <v>564</v>
      </c>
      <c r="D396" s="234" t="s">
        <v>798</v>
      </c>
      <c r="E396" s="290" t="s">
        <v>810</v>
      </c>
      <c r="F396" s="235"/>
      <c r="G396" s="275">
        <f>G397</f>
        <v>0</v>
      </c>
      <c r="H396" s="337"/>
      <c r="I396" s="236">
        <f t="shared" si="5"/>
        <v>0</v>
      </c>
    </row>
    <row r="397" spans="1:9" ht="72" customHeight="1" hidden="1">
      <c r="A397" s="280" t="s">
        <v>1132</v>
      </c>
      <c r="B397" s="234" t="s">
        <v>1130</v>
      </c>
      <c r="C397" s="234" t="s">
        <v>564</v>
      </c>
      <c r="D397" s="234" t="s">
        <v>798</v>
      </c>
      <c r="E397" s="290" t="s">
        <v>812</v>
      </c>
      <c r="F397" s="235"/>
      <c r="G397" s="275">
        <f>G398</f>
        <v>0</v>
      </c>
      <c r="H397" s="337"/>
      <c r="I397" s="236">
        <f t="shared" si="5"/>
        <v>0</v>
      </c>
    </row>
    <row r="398" spans="1:9" ht="30.75" customHeight="1" hidden="1">
      <c r="A398" s="255" t="s">
        <v>813</v>
      </c>
      <c r="B398" s="234" t="s">
        <v>1130</v>
      </c>
      <c r="C398" s="234" t="s">
        <v>564</v>
      </c>
      <c r="D398" s="234" t="s">
        <v>798</v>
      </c>
      <c r="E398" s="290" t="s">
        <v>814</v>
      </c>
      <c r="F398" s="235"/>
      <c r="G398" s="275">
        <f>G399</f>
        <v>0</v>
      </c>
      <c r="H398" s="337"/>
      <c r="I398" s="236">
        <f>I399</f>
        <v>0</v>
      </c>
    </row>
    <row r="399" spans="1:9" ht="19.5" customHeight="1" hidden="1">
      <c r="A399" s="233" t="s">
        <v>815</v>
      </c>
      <c r="B399" s="234" t="s">
        <v>1130</v>
      </c>
      <c r="C399" s="234" t="s">
        <v>564</v>
      </c>
      <c r="D399" s="234" t="s">
        <v>798</v>
      </c>
      <c r="E399" s="290" t="s">
        <v>816</v>
      </c>
      <c r="F399" s="235"/>
      <c r="G399" s="275">
        <f>G400</f>
        <v>0</v>
      </c>
      <c r="H399" s="337"/>
      <c r="I399" s="236">
        <f t="shared" si="5"/>
        <v>0</v>
      </c>
    </row>
    <row r="400" spans="1:9" ht="24.75" hidden="1">
      <c r="A400" s="304" t="s">
        <v>560</v>
      </c>
      <c r="B400" s="234" t="s">
        <v>1130</v>
      </c>
      <c r="C400" s="234" t="s">
        <v>564</v>
      </c>
      <c r="D400" s="234" t="s">
        <v>798</v>
      </c>
      <c r="E400" s="290" t="s">
        <v>816</v>
      </c>
      <c r="F400" s="235" t="s">
        <v>561</v>
      </c>
      <c r="G400" s="275"/>
      <c r="H400" s="337"/>
      <c r="I400" s="236">
        <f t="shared" si="5"/>
        <v>0</v>
      </c>
    </row>
    <row r="401" spans="1:9" ht="16.5" customHeight="1">
      <c r="A401" s="240" t="s">
        <v>888</v>
      </c>
      <c r="B401" s="234" t="s">
        <v>1130</v>
      </c>
      <c r="C401" s="234" t="s">
        <v>627</v>
      </c>
      <c r="D401" s="234"/>
      <c r="E401" s="263"/>
      <c r="F401" s="270"/>
      <c r="G401" s="275">
        <f>G402+G427+G487+G496+G512</f>
        <v>409941593.4</v>
      </c>
      <c r="H401" s="275">
        <f>H402+H427+H487+H496+H512</f>
        <v>15615340.14</v>
      </c>
      <c r="I401" s="236">
        <f t="shared" si="5"/>
        <v>425556933.53999996</v>
      </c>
    </row>
    <row r="402" spans="1:9" ht="18" customHeight="1">
      <c r="A402" s="240" t="s">
        <v>889</v>
      </c>
      <c r="B402" s="234" t="s">
        <v>1130</v>
      </c>
      <c r="C402" s="234" t="s">
        <v>627</v>
      </c>
      <c r="D402" s="234" t="s">
        <v>539</v>
      </c>
      <c r="E402" s="263"/>
      <c r="F402" s="270"/>
      <c r="G402" s="275">
        <f>G403+G420</f>
        <v>94357132</v>
      </c>
      <c r="H402" s="275">
        <f>H403+H420</f>
        <v>6841615.81</v>
      </c>
      <c r="I402" s="236">
        <f t="shared" si="5"/>
        <v>101198747.81</v>
      </c>
    </row>
    <row r="403" spans="1:9" ht="29.25" customHeight="1">
      <c r="A403" s="240" t="s">
        <v>890</v>
      </c>
      <c r="B403" s="234" t="s">
        <v>1130</v>
      </c>
      <c r="C403" s="234" t="s">
        <v>627</v>
      </c>
      <c r="D403" s="234" t="s">
        <v>539</v>
      </c>
      <c r="E403" s="234" t="s">
        <v>891</v>
      </c>
      <c r="F403" s="235"/>
      <c r="G403" s="275">
        <f>G404</f>
        <v>92171332</v>
      </c>
      <c r="H403" s="337">
        <f>H404</f>
        <v>6841615.81</v>
      </c>
      <c r="I403" s="236">
        <f t="shared" si="5"/>
        <v>99012947.81</v>
      </c>
    </row>
    <row r="404" spans="1:9" ht="41.25" customHeight="1">
      <c r="A404" s="299" t="s">
        <v>892</v>
      </c>
      <c r="B404" s="234" t="s">
        <v>1130</v>
      </c>
      <c r="C404" s="246" t="s">
        <v>627</v>
      </c>
      <c r="D404" s="246" t="s">
        <v>539</v>
      </c>
      <c r="E404" s="246" t="s">
        <v>893</v>
      </c>
      <c r="F404" s="253"/>
      <c r="G404" s="338">
        <f>G405</f>
        <v>92171332</v>
      </c>
      <c r="H404" s="338">
        <f>H405</f>
        <v>6841615.81</v>
      </c>
      <c r="I404" s="236">
        <f t="shared" si="5"/>
        <v>99012947.81</v>
      </c>
    </row>
    <row r="405" spans="1:9" ht="27.75" customHeight="1">
      <c r="A405" s="255" t="s">
        <v>894</v>
      </c>
      <c r="B405" s="234" t="s">
        <v>1130</v>
      </c>
      <c r="C405" s="234" t="s">
        <v>627</v>
      </c>
      <c r="D405" s="234" t="s">
        <v>539</v>
      </c>
      <c r="E405" s="234" t="s">
        <v>895</v>
      </c>
      <c r="F405" s="235"/>
      <c r="G405" s="275">
        <f>G406+G413+G415+G411+G409</f>
        <v>92171332</v>
      </c>
      <c r="H405" s="337">
        <f>H406+H415</f>
        <v>6841615.81</v>
      </c>
      <c r="I405" s="236">
        <f t="shared" si="5"/>
        <v>99012947.81</v>
      </c>
    </row>
    <row r="406" spans="1:9" ht="67.5" customHeight="1">
      <c r="A406" s="339" t="s">
        <v>896</v>
      </c>
      <c r="B406" s="234" t="s">
        <v>1130</v>
      </c>
      <c r="C406" s="234" t="s">
        <v>627</v>
      </c>
      <c r="D406" s="234" t="s">
        <v>539</v>
      </c>
      <c r="E406" s="234" t="s">
        <v>897</v>
      </c>
      <c r="F406" s="235"/>
      <c r="G406" s="275">
        <f>G407+G408</f>
        <v>49846444</v>
      </c>
      <c r="H406" s="337"/>
      <c r="I406" s="236">
        <f t="shared" si="5"/>
        <v>49846444</v>
      </c>
    </row>
    <row r="407" spans="1:9" ht="45" customHeight="1">
      <c r="A407" s="297" t="s">
        <v>548</v>
      </c>
      <c r="B407" s="234" t="s">
        <v>1130</v>
      </c>
      <c r="C407" s="234" t="s">
        <v>627</v>
      </c>
      <c r="D407" s="234" t="s">
        <v>539</v>
      </c>
      <c r="E407" s="234" t="s">
        <v>897</v>
      </c>
      <c r="F407" s="235" t="s">
        <v>549</v>
      </c>
      <c r="G407" s="275">
        <f>45470627+2735549+1130766</f>
        <v>49336942</v>
      </c>
      <c r="H407" s="345"/>
      <c r="I407" s="236">
        <f t="shared" si="5"/>
        <v>49336942</v>
      </c>
    </row>
    <row r="408" spans="1:9" ht="24" customHeight="1">
      <c r="A408" s="243" t="s">
        <v>560</v>
      </c>
      <c r="B408" s="234" t="s">
        <v>1130</v>
      </c>
      <c r="C408" s="234" t="s">
        <v>627</v>
      </c>
      <c r="D408" s="234" t="s">
        <v>539</v>
      </c>
      <c r="E408" s="234" t="s">
        <v>897</v>
      </c>
      <c r="F408" s="235" t="s">
        <v>561</v>
      </c>
      <c r="G408" s="275">
        <v>509502</v>
      </c>
      <c r="H408" s="345"/>
      <c r="I408" s="236">
        <f t="shared" si="5"/>
        <v>509502</v>
      </c>
    </row>
    <row r="409" spans="1:9" ht="0.75" customHeight="1" hidden="1">
      <c r="A409" s="339" t="s">
        <v>914</v>
      </c>
      <c r="B409" s="234" t="s">
        <v>1130</v>
      </c>
      <c r="C409" s="234" t="s">
        <v>627</v>
      </c>
      <c r="D409" s="234" t="s">
        <v>539</v>
      </c>
      <c r="E409" s="234" t="s">
        <v>1133</v>
      </c>
      <c r="F409" s="235"/>
      <c r="G409" s="275">
        <f>G410</f>
        <v>0</v>
      </c>
      <c r="H409" s="337"/>
      <c r="I409" s="236">
        <f>G409+H409</f>
        <v>0</v>
      </c>
    </row>
    <row r="410" spans="1:9" ht="26.25" hidden="1">
      <c r="A410" s="243" t="s">
        <v>560</v>
      </c>
      <c r="B410" s="234" t="s">
        <v>1130</v>
      </c>
      <c r="C410" s="234" t="s">
        <v>627</v>
      </c>
      <c r="D410" s="234" t="s">
        <v>539</v>
      </c>
      <c r="E410" s="234" t="s">
        <v>1133</v>
      </c>
      <c r="F410" s="235" t="s">
        <v>561</v>
      </c>
      <c r="G410" s="275"/>
      <c r="H410" s="337"/>
      <c r="I410" s="236">
        <f>G410+H410</f>
        <v>0</v>
      </c>
    </row>
    <row r="411" spans="1:9" ht="0.75" customHeight="1" hidden="1">
      <c r="A411" s="339" t="s">
        <v>916</v>
      </c>
      <c r="B411" s="234" t="s">
        <v>1130</v>
      </c>
      <c r="C411" s="234" t="s">
        <v>627</v>
      </c>
      <c r="D411" s="234" t="s">
        <v>539</v>
      </c>
      <c r="E411" s="234" t="s">
        <v>1134</v>
      </c>
      <c r="F411" s="235"/>
      <c r="G411" s="275">
        <f>G412</f>
        <v>0</v>
      </c>
      <c r="H411" s="337"/>
      <c r="I411" s="236">
        <f t="shared" si="5"/>
        <v>0</v>
      </c>
    </row>
    <row r="412" spans="1:9" ht="26.25" hidden="1">
      <c r="A412" s="243" t="s">
        <v>560</v>
      </c>
      <c r="B412" s="234" t="s">
        <v>1130</v>
      </c>
      <c r="C412" s="234" t="s">
        <v>627</v>
      </c>
      <c r="D412" s="234" t="s">
        <v>539</v>
      </c>
      <c r="E412" s="234" t="s">
        <v>1134</v>
      </c>
      <c r="F412" s="235" t="s">
        <v>561</v>
      </c>
      <c r="G412" s="275">
        <f>175343-175343</f>
        <v>0</v>
      </c>
      <c r="H412" s="337"/>
      <c r="I412" s="236">
        <f t="shared" si="5"/>
        <v>0</v>
      </c>
    </row>
    <row r="413" spans="1:9" ht="26.25" hidden="1">
      <c r="A413" s="339" t="s">
        <v>1135</v>
      </c>
      <c r="B413" s="234" t="s">
        <v>1130</v>
      </c>
      <c r="C413" s="234" t="s">
        <v>627</v>
      </c>
      <c r="D413" s="234" t="s">
        <v>539</v>
      </c>
      <c r="E413" s="234" t="s">
        <v>1136</v>
      </c>
      <c r="F413" s="235"/>
      <c r="G413" s="275">
        <f>G414</f>
        <v>0</v>
      </c>
      <c r="H413" s="345"/>
      <c r="I413" s="236">
        <f t="shared" si="5"/>
        <v>0</v>
      </c>
    </row>
    <row r="414" spans="1:9" ht="26.25" hidden="1">
      <c r="A414" s="243" t="s">
        <v>560</v>
      </c>
      <c r="B414" s="234" t="s">
        <v>1130</v>
      </c>
      <c r="C414" s="234" t="s">
        <v>627</v>
      </c>
      <c r="D414" s="234" t="s">
        <v>539</v>
      </c>
      <c r="E414" s="234" t="s">
        <v>1136</v>
      </c>
      <c r="F414" s="235" t="s">
        <v>561</v>
      </c>
      <c r="G414" s="275"/>
      <c r="H414" s="345"/>
      <c r="I414" s="236">
        <f t="shared" si="5"/>
        <v>0</v>
      </c>
    </row>
    <row r="415" spans="1:9" ht="25.5" customHeight="1">
      <c r="A415" s="255" t="s">
        <v>722</v>
      </c>
      <c r="B415" s="234" t="s">
        <v>1130</v>
      </c>
      <c r="C415" s="234" t="s">
        <v>627</v>
      </c>
      <c r="D415" s="234" t="s">
        <v>539</v>
      </c>
      <c r="E415" s="234" t="s">
        <v>898</v>
      </c>
      <c r="F415" s="235"/>
      <c r="G415" s="275">
        <f>G416+G417+G419+G418</f>
        <v>42324888</v>
      </c>
      <c r="H415" s="275">
        <f>H416+H417+H419+H418</f>
        <v>6841615.81</v>
      </c>
      <c r="I415" s="236">
        <f t="shared" si="5"/>
        <v>49166503.81</v>
      </c>
    </row>
    <row r="416" spans="1:9" ht="45" customHeight="1">
      <c r="A416" s="243" t="s">
        <v>548</v>
      </c>
      <c r="B416" s="234" t="s">
        <v>1130</v>
      </c>
      <c r="C416" s="234" t="s">
        <v>627</v>
      </c>
      <c r="D416" s="234" t="s">
        <v>539</v>
      </c>
      <c r="E416" s="234" t="s">
        <v>898</v>
      </c>
      <c r="F416" s="235" t="s">
        <v>549</v>
      </c>
      <c r="G416" s="275">
        <f>22202400+72259+555000+177500</f>
        <v>23007159</v>
      </c>
      <c r="H416" s="337"/>
      <c r="I416" s="236">
        <f t="shared" si="5"/>
        <v>23007159</v>
      </c>
    </row>
    <row r="417" spans="1:9" ht="28.5" customHeight="1">
      <c r="A417" s="243" t="s">
        <v>560</v>
      </c>
      <c r="B417" s="234" t="s">
        <v>1130</v>
      </c>
      <c r="C417" s="234" t="s">
        <v>627</v>
      </c>
      <c r="D417" s="234" t="s">
        <v>539</v>
      </c>
      <c r="E417" s="234" t="s">
        <v>898</v>
      </c>
      <c r="F417" s="235" t="s">
        <v>561</v>
      </c>
      <c r="G417" s="275">
        <f>8276200+91350+910203+1530537+167564+622840+63778+377788+2660079+130253-195350+1674845+611850-13855+387350</f>
        <v>17295432</v>
      </c>
      <c r="H417" s="337">
        <f>6390555+158331+342729.81+10000-25000-35000</f>
        <v>6841615.81</v>
      </c>
      <c r="I417" s="236">
        <f t="shared" si="5"/>
        <v>24137047.81</v>
      </c>
    </row>
    <row r="418" spans="1:9" ht="28.5" customHeight="1">
      <c r="A418" s="281" t="s">
        <v>776</v>
      </c>
      <c r="B418" s="234" t="s">
        <v>1130</v>
      </c>
      <c r="C418" s="234" t="s">
        <v>627</v>
      </c>
      <c r="D418" s="234" t="s">
        <v>539</v>
      </c>
      <c r="E418" s="234" t="s">
        <v>898</v>
      </c>
      <c r="F418" s="235" t="s">
        <v>777</v>
      </c>
      <c r="G418" s="275">
        <f>25872</f>
        <v>25872</v>
      </c>
      <c r="H418" s="337"/>
      <c r="I418" s="236">
        <f t="shared" si="5"/>
        <v>25872</v>
      </c>
    </row>
    <row r="419" spans="1:9" ht="15">
      <c r="A419" s="255" t="s">
        <v>602</v>
      </c>
      <c r="B419" s="234" t="s">
        <v>1130</v>
      </c>
      <c r="C419" s="234" t="s">
        <v>627</v>
      </c>
      <c r="D419" s="234" t="s">
        <v>539</v>
      </c>
      <c r="E419" s="234" t="s">
        <v>898</v>
      </c>
      <c r="F419" s="235" t="s">
        <v>603</v>
      </c>
      <c r="G419" s="275">
        <f>1924385+16368+2500+2000-2000+4034+51918-2780</f>
        <v>1996425</v>
      </c>
      <c r="H419" s="337"/>
      <c r="I419" s="236">
        <f t="shared" si="5"/>
        <v>1996425</v>
      </c>
    </row>
    <row r="420" spans="1:9" ht="38.25">
      <c r="A420" s="298" t="s">
        <v>817</v>
      </c>
      <c r="B420" s="234" t="s">
        <v>1130</v>
      </c>
      <c r="C420" s="234" t="s">
        <v>627</v>
      </c>
      <c r="D420" s="234" t="s">
        <v>539</v>
      </c>
      <c r="E420" s="234" t="s">
        <v>818</v>
      </c>
      <c r="F420" s="235"/>
      <c r="G420" s="275">
        <f>G421</f>
        <v>2185800</v>
      </c>
      <c r="H420" s="337"/>
      <c r="I420" s="236">
        <f t="shared" si="5"/>
        <v>2185800</v>
      </c>
    </row>
    <row r="421" spans="1:9" ht="63.75">
      <c r="A421" s="280" t="s">
        <v>819</v>
      </c>
      <c r="B421" s="234" t="s">
        <v>1130</v>
      </c>
      <c r="C421" s="234" t="s">
        <v>627</v>
      </c>
      <c r="D421" s="234" t="s">
        <v>539</v>
      </c>
      <c r="E421" s="246" t="s">
        <v>820</v>
      </c>
      <c r="F421" s="235"/>
      <c r="G421" s="275">
        <f>G422</f>
        <v>2185800</v>
      </c>
      <c r="H421" s="337"/>
      <c r="I421" s="236">
        <f t="shared" si="5"/>
        <v>2185800</v>
      </c>
    </row>
    <row r="422" spans="1:9" ht="38.25">
      <c r="A422" s="255" t="s">
        <v>899</v>
      </c>
      <c r="B422" s="234" t="s">
        <v>1130</v>
      </c>
      <c r="C422" s="234" t="s">
        <v>627</v>
      </c>
      <c r="D422" s="234" t="s">
        <v>539</v>
      </c>
      <c r="E422" s="234" t="s">
        <v>900</v>
      </c>
      <c r="F422" s="235"/>
      <c r="G422" s="275">
        <f>G425+G423</f>
        <v>2185800</v>
      </c>
      <c r="H422" s="337"/>
      <c r="I422" s="236">
        <f t="shared" si="5"/>
        <v>2185800</v>
      </c>
    </row>
    <row r="423" spans="1:9" ht="24">
      <c r="A423" s="360" t="s">
        <v>901</v>
      </c>
      <c r="B423" s="234" t="s">
        <v>1130</v>
      </c>
      <c r="C423" s="234" t="s">
        <v>627</v>
      </c>
      <c r="D423" s="234" t="s">
        <v>539</v>
      </c>
      <c r="E423" s="234" t="s">
        <v>902</v>
      </c>
      <c r="F423" s="235"/>
      <c r="G423" s="275">
        <f>G424</f>
        <v>1748640</v>
      </c>
      <c r="H423" s="337"/>
      <c r="I423" s="236">
        <f>G423+H423</f>
        <v>1748640</v>
      </c>
    </row>
    <row r="424" spans="1:9" ht="26.25">
      <c r="A424" s="281" t="s">
        <v>776</v>
      </c>
      <c r="B424" s="234" t="s">
        <v>1130</v>
      </c>
      <c r="C424" s="234" t="s">
        <v>627</v>
      </c>
      <c r="D424" s="234" t="s">
        <v>539</v>
      </c>
      <c r="E424" s="234" t="s">
        <v>902</v>
      </c>
      <c r="F424" s="235" t="s">
        <v>777</v>
      </c>
      <c r="G424" s="275">
        <f>1748640</f>
        <v>1748640</v>
      </c>
      <c r="H424" s="337"/>
      <c r="I424" s="236">
        <f>G424+H424</f>
        <v>1748640</v>
      </c>
    </row>
    <row r="425" spans="1:9" ht="25.5">
      <c r="A425" s="255" t="s">
        <v>903</v>
      </c>
      <c r="B425" s="234" t="s">
        <v>1130</v>
      </c>
      <c r="C425" s="234" t="s">
        <v>627</v>
      </c>
      <c r="D425" s="234" t="s">
        <v>539</v>
      </c>
      <c r="E425" s="234" t="s">
        <v>904</v>
      </c>
      <c r="F425" s="235"/>
      <c r="G425" s="275">
        <f>G426</f>
        <v>437160</v>
      </c>
      <c r="H425" s="337"/>
      <c r="I425" s="236">
        <f t="shared" si="5"/>
        <v>437160</v>
      </c>
    </row>
    <row r="426" spans="1:9" ht="26.25">
      <c r="A426" s="281" t="s">
        <v>776</v>
      </c>
      <c r="B426" s="234" t="s">
        <v>1130</v>
      </c>
      <c r="C426" s="234" t="s">
        <v>627</v>
      </c>
      <c r="D426" s="234" t="s">
        <v>539</v>
      </c>
      <c r="E426" s="234" t="s">
        <v>904</v>
      </c>
      <c r="F426" s="235" t="s">
        <v>777</v>
      </c>
      <c r="G426" s="275">
        <f>460000-22840</f>
        <v>437160</v>
      </c>
      <c r="H426" s="337"/>
      <c r="I426" s="236">
        <f t="shared" si="5"/>
        <v>437160</v>
      </c>
    </row>
    <row r="427" spans="1:9" ht="15">
      <c r="A427" s="240" t="s">
        <v>905</v>
      </c>
      <c r="B427" s="234" t="s">
        <v>1130</v>
      </c>
      <c r="C427" s="234" t="s">
        <v>627</v>
      </c>
      <c r="D427" s="234" t="s">
        <v>541</v>
      </c>
      <c r="E427" s="234"/>
      <c r="F427" s="235"/>
      <c r="G427" s="275">
        <f>G428+G474+G482+G467</f>
        <v>281264231.4</v>
      </c>
      <c r="H427" s="275">
        <f>H428+H474+H482+H467</f>
        <v>7532921.9399999995</v>
      </c>
      <c r="I427" s="275">
        <f>I428+I474+I482+I467</f>
        <v>288797153.34</v>
      </c>
    </row>
    <row r="428" spans="1:9" ht="26.25">
      <c r="A428" s="240" t="s">
        <v>890</v>
      </c>
      <c r="B428" s="234" t="s">
        <v>1130</v>
      </c>
      <c r="C428" s="234" t="s">
        <v>627</v>
      </c>
      <c r="D428" s="234" t="s">
        <v>541</v>
      </c>
      <c r="E428" s="234" t="s">
        <v>891</v>
      </c>
      <c r="F428" s="235"/>
      <c r="G428" s="275">
        <f>G429</f>
        <v>281088431.4</v>
      </c>
      <c r="H428" s="358">
        <f>H429</f>
        <v>7532921.9399999995</v>
      </c>
      <c r="I428" s="236">
        <f t="shared" si="5"/>
        <v>288621353.34</v>
      </c>
    </row>
    <row r="429" spans="1:9" ht="39">
      <c r="A429" s="299" t="s">
        <v>892</v>
      </c>
      <c r="B429" s="234" t="s">
        <v>1130</v>
      </c>
      <c r="C429" s="234" t="s">
        <v>627</v>
      </c>
      <c r="D429" s="234" t="s">
        <v>541</v>
      </c>
      <c r="E429" s="234" t="s">
        <v>893</v>
      </c>
      <c r="F429" s="235"/>
      <c r="G429" s="275">
        <f>G433+G462+G430</f>
        <v>281088431.4</v>
      </c>
      <c r="H429" s="275">
        <f>H433+H462+H430</f>
        <v>7532921.9399999995</v>
      </c>
      <c r="I429" s="236">
        <f t="shared" si="5"/>
        <v>288621353.34</v>
      </c>
    </row>
    <row r="430" spans="1:9" ht="15">
      <c r="A430" s="299" t="s">
        <v>906</v>
      </c>
      <c r="B430" s="234" t="s">
        <v>1130</v>
      </c>
      <c r="C430" s="234" t="s">
        <v>627</v>
      </c>
      <c r="D430" s="234" t="s">
        <v>541</v>
      </c>
      <c r="E430" s="234" t="s">
        <v>907</v>
      </c>
      <c r="F430" s="253"/>
      <c r="G430" s="275">
        <f>G431</f>
        <v>2000000</v>
      </c>
      <c r="H430" s="361"/>
      <c r="I430" s="236">
        <f t="shared" si="5"/>
        <v>2000000</v>
      </c>
    </row>
    <row r="431" spans="1:9" ht="26.25">
      <c r="A431" s="299" t="s">
        <v>908</v>
      </c>
      <c r="B431" s="234" t="s">
        <v>1130</v>
      </c>
      <c r="C431" s="234" t="s">
        <v>627</v>
      </c>
      <c r="D431" s="234" t="s">
        <v>541</v>
      </c>
      <c r="E431" s="234" t="s">
        <v>909</v>
      </c>
      <c r="F431" s="253"/>
      <c r="G431" s="275">
        <f>G432</f>
        <v>2000000</v>
      </c>
      <c r="H431" s="361"/>
      <c r="I431" s="236">
        <f t="shared" si="5"/>
        <v>2000000</v>
      </c>
    </row>
    <row r="432" spans="1:9" ht="26.25">
      <c r="A432" s="243" t="s">
        <v>560</v>
      </c>
      <c r="B432" s="234" t="s">
        <v>1130</v>
      </c>
      <c r="C432" s="234" t="s">
        <v>627</v>
      </c>
      <c r="D432" s="234" t="s">
        <v>541</v>
      </c>
      <c r="E432" s="234" t="s">
        <v>909</v>
      </c>
      <c r="F432" s="235" t="s">
        <v>561</v>
      </c>
      <c r="G432" s="275">
        <f>786836.4+1300000-86836.4</f>
        <v>2000000</v>
      </c>
      <c r="H432" s="361"/>
      <c r="I432" s="236">
        <f t="shared" si="5"/>
        <v>2000000</v>
      </c>
    </row>
    <row r="433" spans="1:9" ht="33.75" customHeight="1">
      <c r="A433" s="255" t="s">
        <v>910</v>
      </c>
      <c r="B433" s="234" t="s">
        <v>1130</v>
      </c>
      <c r="C433" s="234" t="s">
        <v>627</v>
      </c>
      <c r="D433" s="234" t="s">
        <v>541</v>
      </c>
      <c r="E433" s="234" t="s">
        <v>911</v>
      </c>
      <c r="F433" s="235"/>
      <c r="G433" s="275">
        <f>G438+G446+G448+G450+G452+G454+G456+G460+G441+G443+G434+G436</f>
        <v>279088431.4</v>
      </c>
      <c r="H433" s="275">
        <f>H438+H446+H448+H450+H452+H454+H456+H460+H441+H443+H434+H436</f>
        <v>7532921.9399999995</v>
      </c>
      <c r="I433" s="236">
        <f t="shared" si="5"/>
        <v>286621353.34</v>
      </c>
    </row>
    <row r="434" spans="1:9" ht="38.25" customHeight="1" hidden="1">
      <c r="A434" s="255" t="s">
        <v>1137</v>
      </c>
      <c r="B434" s="234" t="s">
        <v>1130</v>
      </c>
      <c r="C434" s="234" t="s">
        <v>627</v>
      </c>
      <c r="D434" s="234" t="s">
        <v>541</v>
      </c>
      <c r="E434" s="234" t="s">
        <v>1138</v>
      </c>
      <c r="F434" s="235"/>
      <c r="G434" s="275">
        <f>G435</f>
        <v>0</v>
      </c>
      <c r="H434" s="358"/>
      <c r="I434" s="236">
        <f t="shared" si="5"/>
        <v>0</v>
      </c>
    </row>
    <row r="435" spans="1:9" ht="26.25" hidden="1">
      <c r="A435" s="243" t="s">
        <v>560</v>
      </c>
      <c r="B435" s="234" t="s">
        <v>1130</v>
      </c>
      <c r="C435" s="234" t="s">
        <v>627</v>
      </c>
      <c r="D435" s="234" t="s">
        <v>541</v>
      </c>
      <c r="E435" s="234" t="s">
        <v>1138</v>
      </c>
      <c r="F435" s="235" t="s">
        <v>561</v>
      </c>
      <c r="G435" s="275"/>
      <c r="H435" s="358"/>
      <c r="I435" s="236">
        <f t="shared" si="5"/>
        <v>0</v>
      </c>
    </row>
    <row r="436" spans="1:9" ht="33" customHeight="1" hidden="1">
      <c r="A436" s="286" t="s">
        <v>908</v>
      </c>
      <c r="B436" s="234" t="s">
        <v>1130</v>
      </c>
      <c r="C436" s="234" t="s">
        <v>627</v>
      </c>
      <c r="D436" s="234" t="s">
        <v>541</v>
      </c>
      <c r="E436" s="234" t="s">
        <v>1139</v>
      </c>
      <c r="F436" s="235"/>
      <c r="G436" s="275">
        <f>G437</f>
        <v>0</v>
      </c>
      <c r="H436" s="275"/>
      <c r="I436" s="236">
        <f t="shared" si="5"/>
        <v>0</v>
      </c>
    </row>
    <row r="437" spans="1:9" ht="30" customHeight="1" hidden="1">
      <c r="A437" s="243" t="s">
        <v>560</v>
      </c>
      <c r="B437" s="234" t="s">
        <v>1130</v>
      </c>
      <c r="C437" s="234" t="s">
        <v>627</v>
      </c>
      <c r="D437" s="234" t="s">
        <v>541</v>
      </c>
      <c r="E437" s="234" t="s">
        <v>1139</v>
      </c>
      <c r="F437" s="235" t="s">
        <v>561</v>
      </c>
      <c r="G437" s="275"/>
      <c r="H437" s="275"/>
      <c r="I437" s="236">
        <f t="shared" si="5"/>
        <v>0</v>
      </c>
    </row>
    <row r="438" spans="1:9" ht="81" customHeight="1">
      <c r="A438" s="339" t="s">
        <v>912</v>
      </c>
      <c r="B438" s="234" t="s">
        <v>1130</v>
      </c>
      <c r="C438" s="234" t="s">
        <v>627</v>
      </c>
      <c r="D438" s="234" t="s">
        <v>541</v>
      </c>
      <c r="E438" s="234" t="s">
        <v>913</v>
      </c>
      <c r="F438" s="235"/>
      <c r="G438" s="275">
        <f>G439+G440</f>
        <v>232837438</v>
      </c>
      <c r="H438" s="337"/>
      <c r="I438" s="236">
        <f t="shared" si="5"/>
        <v>232837438</v>
      </c>
    </row>
    <row r="439" spans="1:9" ht="47.25" customHeight="1">
      <c r="A439" s="243" t="s">
        <v>548</v>
      </c>
      <c r="B439" s="234" t="s">
        <v>1130</v>
      </c>
      <c r="C439" s="234" t="s">
        <v>627</v>
      </c>
      <c r="D439" s="234" t="s">
        <v>541</v>
      </c>
      <c r="E439" s="234" t="s">
        <v>913</v>
      </c>
      <c r="F439" s="235" t="s">
        <v>549</v>
      </c>
      <c r="G439" s="275">
        <f>186909233+22376668+14237711+2394009+91.1</f>
        <v>225917712.1</v>
      </c>
      <c r="H439" s="337"/>
      <c r="I439" s="236">
        <f t="shared" si="5"/>
        <v>225917712.1</v>
      </c>
    </row>
    <row r="440" spans="1:9" ht="25.5" customHeight="1">
      <c r="A440" s="243" t="s">
        <v>560</v>
      </c>
      <c r="B440" s="234" t="s">
        <v>1130</v>
      </c>
      <c r="C440" s="234" t="s">
        <v>627</v>
      </c>
      <c r="D440" s="234" t="s">
        <v>541</v>
      </c>
      <c r="E440" s="234" t="s">
        <v>913</v>
      </c>
      <c r="F440" s="235" t="s">
        <v>561</v>
      </c>
      <c r="G440" s="275">
        <f>6919817-91.1</f>
        <v>6919725.9</v>
      </c>
      <c r="H440" s="337"/>
      <c r="I440" s="236">
        <f t="shared" si="5"/>
        <v>6919725.9</v>
      </c>
    </row>
    <row r="441" spans="1:9" ht="26.25">
      <c r="A441" s="339" t="s">
        <v>914</v>
      </c>
      <c r="B441" s="234" t="s">
        <v>1130</v>
      </c>
      <c r="C441" s="234" t="s">
        <v>627</v>
      </c>
      <c r="D441" s="234" t="s">
        <v>541</v>
      </c>
      <c r="E441" s="234" t="s">
        <v>915</v>
      </c>
      <c r="F441" s="235"/>
      <c r="G441" s="275">
        <f>G442</f>
        <v>1607171</v>
      </c>
      <c r="H441" s="337"/>
      <c r="I441" s="236">
        <f t="shared" si="5"/>
        <v>1607171</v>
      </c>
    </row>
    <row r="442" spans="1:9" ht="26.25">
      <c r="A442" s="243" t="s">
        <v>560</v>
      </c>
      <c r="B442" s="234" t="s">
        <v>1130</v>
      </c>
      <c r="C442" s="234" t="s">
        <v>627</v>
      </c>
      <c r="D442" s="234" t="s">
        <v>541</v>
      </c>
      <c r="E442" s="234" t="s">
        <v>915</v>
      </c>
      <c r="F442" s="235" t="s">
        <v>561</v>
      </c>
      <c r="G442" s="275">
        <f>1607171</f>
        <v>1607171</v>
      </c>
      <c r="H442" s="337"/>
      <c r="I442" s="236">
        <f t="shared" si="5"/>
        <v>1607171</v>
      </c>
    </row>
    <row r="443" spans="1:9" ht="26.25">
      <c r="A443" s="339" t="s">
        <v>916</v>
      </c>
      <c r="B443" s="234" t="s">
        <v>1130</v>
      </c>
      <c r="C443" s="234" t="s">
        <v>627</v>
      </c>
      <c r="D443" s="234" t="s">
        <v>541</v>
      </c>
      <c r="E443" s="234" t="s">
        <v>917</v>
      </c>
      <c r="F443" s="235"/>
      <c r="G443" s="275">
        <f>G444</f>
        <v>865399</v>
      </c>
      <c r="H443" s="337"/>
      <c r="I443" s="236">
        <f t="shared" si="5"/>
        <v>865399</v>
      </c>
    </row>
    <row r="444" spans="1:9" ht="25.5" customHeight="1">
      <c r="A444" s="243" t="s">
        <v>560</v>
      </c>
      <c r="B444" s="234" t="s">
        <v>1130</v>
      </c>
      <c r="C444" s="234" t="s">
        <v>627</v>
      </c>
      <c r="D444" s="234" t="s">
        <v>541</v>
      </c>
      <c r="E444" s="234" t="s">
        <v>917</v>
      </c>
      <c r="F444" s="235" t="s">
        <v>561</v>
      </c>
      <c r="G444" s="275">
        <f>826214.9+39184.1</f>
        <v>865399</v>
      </c>
      <c r="H444" s="337"/>
      <c r="I444" s="236">
        <f t="shared" si="5"/>
        <v>865399</v>
      </c>
    </row>
    <row r="445" spans="1:9" ht="26.25" hidden="1">
      <c r="A445" s="243" t="s">
        <v>560</v>
      </c>
      <c r="B445" s="234" t="s">
        <v>1130</v>
      </c>
      <c r="C445" s="234" t="s">
        <v>627</v>
      </c>
      <c r="D445" s="234" t="s">
        <v>541</v>
      </c>
      <c r="E445" s="234" t="s">
        <v>1140</v>
      </c>
      <c r="F445" s="235" t="s">
        <v>561</v>
      </c>
      <c r="G445" s="275"/>
      <c r="H445" s="337"/>
      <c r="I445" s="236">
        <f t="shared" si="5"/>
        <v>0</v>
      </c>
    </row>
    <row r="446" spans="1:9" ht="38.25">
      <c r="A446" s="286" t="s">
        <v>1141</v>
      </c>
      <c r="B446" s="234" t="s">
        <v>1130</v>
      </c>
      <c r="C446" s="234" t="s">
        <v>627</v>
      </c>
      <c r="D446" s="234" t="s">
        <v>541</v>
      </c>
      <c r="E446" s="234" t="s">
        <v>919</v>
      </c>
      <c r="F446" s="235"/>
      <c r="G446" s="275">
        <f>G447</f>
        <v>889886</v>
      </c>
      <c r="H446" s="337"/>
      <c r="I446" s="236">
        <f t="shared" si="5"/>
        <v>889886</v>
      </c>
    </row>
    <row r="447" spans="1:9" ht="26.25">
      <c r="A447" s="243" t="s">
        <v>560</v>
      </c>
      <c r="B447" s="234" t="s">
        <v>1130</v>
      </c>
      <c r="C447" s="234" t="s">
        <v>627</v>
      </c>
      <c r="D447" s="234" t="s">
        <v>541</v>
      </c>
      <c r="E447" s="234" t="s">
        <v>919</v>
      </c>
      <c r="F447" s="235" t="s">
        <v>561</v>
      </c>
      <c r="G447" s="275">
        <f>889886</f>
        <v>889886</v>
      </c>
      <c r="H447" s="337"/>
      <c r="I447" s="236">
        <f t="shared" si="5"/>
        <v>889886</v>
      </c>
    </row>
    <row r="448" spans="1:9" ht="38.25">
      <c r="A448" s="286" t="s">
        <v>920</v>
      </c>
      <c r="B448" s="234" t="s">
        <v>1130</v>
      </c>
      <c r="C448" s="234" t="s">
        <v>627</v>
      </c>
      <c r="D448" s="234" t="s">
        <v>541</v>
      </c>
      <c r="E448" s="234" t="s">
        <v>921</v>
      </c>
      <c r="F448" s="235"/>
      <c r="G448" s="275">
        <f>G449</f>
        <v>1369687</v>
      </c>
      <c r="H448" s="337"/>
      <c r="I448" s="236">
        <f t="shared" si="5"/>
        <v>1369687</v>
      </c>
    </row>
    <row r="449" spans="1:9" ht="25.5" customHeight="1">
      <c r="A449" s="243" t="s">
        <v>560</v>
      </c>
      <c r="B449" s="234" t="s">
        <v>1130</v>
      </c>
      <c r="C449" s="234" t="s">
        <v>627</v>
      </c>
      <c r="D449" s="234" t="s">
        <v>541</v>
      </c>
      <c r="E449" s="234" t="s">
        <v>921</v>
      </c>
      <c r="F449" s="235" t="s">
        <v>561</v>
      </c>
      <c r="G449" s="275">
        <f>1468800-99113</f>
        <v>1369687</v>
      </c>
      <c r="H449" s="337"/>
      <c r="I449" s="236">
        <f t="shared" si="5"/>
        <v>1369687</v>
      </c>
    </row>
    <row r="450" spans="1:9" ht="51.75">
      <c r="A450" s="339" t="s">
        <v>922</v>
      </c>
      <c r="B450" s="234" t="s">
        <v>1130</v>
      </c>
      <c r="C450" s="234" t="s">
        <v>627</v>
      </c>
      <c r="D450" s="234" t="s">
        <v>541</v>
      </c>
      <c r="E450" s="234" t="s">
        <v>923</v>
      </c>
      <c r="F450" s="235"/>
      <c r="G450" s="275">
        <f>G451</f>
        <v>48449</v>
      </c>
      <c r="H450" s="337"/>
      <c r="I450" s="236">
        <f t="shared" si="5"/>
        <v>48449</v>
      </c>
    </row>
    <row r="451" spans="1:9" ht="26.25">
      <c r="A451" s="243" t="s">
        <v>560</v>
      </c>
      <c r="B451" s="234" t="s">
        <v>1130</v>
      </c>
      <c r="C451" s="234" t="s">
        <v>627</v>
      </c>
      <c r="D451" s="234" t="s">
        <v>541</v>
      </c>
      <c r="E451" s="234" t="s">
        <v>923</v>
      </c>
      <c r="F451" s="235" t="s">
        <v>561</v>
      </c>
      <c r="G451" s="275">
        <f>48449</f>
        <v>48449</v>
      </c>
      <c r="H451" s="337"/>
      <c r="I451" s="236">
        <f t="shared" si="5"/>
        <v>48449</v>
      </c>
    </row>
    <row r="452" spans="1:9" ht="39">
      <c r="A452" s="339" t="s">
        <v>924</v>
      </c>
      <c r="B452" s="234" t="s">
        <v>1130</v>
      </c>
      <c r="C452" s="234" t="s">
        <v>627</v>
      </c>
      <c r="D452" s="234" t="s">
        <v>541</v>
      </c>
      <c r="E452" s="234" t="s">
        <v>925</v>
      </c>
      <c r="F452" s="235"/>
      <c r="G452" s="275">
        <f>G453</f>
        <v>500000</v>
      </c>
      <c r="H452" s="337"/>
      <c r="I452" s="236">
        <f t="shared" si="5"/>
        <v>500000</v>
      </c>
    </row>
    <row r="453" spans="1:9" ht="25.5" customHeight="1">
      <c r="A453" s="243" t="s">
        <v>560</v>
      </c>
      <c r="B453" s="234" t="s">
        <v>1130</v>
      </c>
      <c r="C453" s="234" t="s">
        <v>627</v>
      </c>
      <c r="D453" s="234" t="s">
        <v>541</v>
      </c>
      <c r="E453" s="234" t="s">
        <v>925</v>
      </c>
      <c r="F453" s="235" t="s">
        <v>561</v>
      </c>
      <c r="G453" s="275">
        <f>500000</f>
        <v>500000</v>
      </c>
      <c r="H453" s="337"/>
      <c r="I453" s="236">
        <f t="shared" si="5"/>
        <v>500000</v>
      </c>
    </row>
    <row r="454" spans="1:9" ht="15" hidden="1">
      <c r="A454" s="292" t="s">
        <v>926</v>
      </c>
      <c r="B454" s="234" t="s">
        <v>1130</v>
      </c>
      <c r="C454" s="234" t="s">
        <v>627</v>
      </c>
      <c r="D454" s="234" t="s">
        <v>541</v>
      </c>
      <c r="E454" s="234" t="s">
        <v>927</v>
      </c>
      <c r="F454" s="235"/>
      <c r="G454" s="275">
        <f>G455</f>
        <v>0</v>
      </c>
      <c r="H454" s="337"/>
      <c r="I454" s="236">
        <f t="shared" si="5"/>
        <v>0</v>
      </c>
    </row>
    <row r="455" spans="1:9" ht="39" hidden="1">
      <c r="A455" s="243" t="s">
        <v>548</v>
      </c>
      <c r="B455" s="234" t="s">
        <v>1130</v>
      </c>
      <c r="C455" s="234" t="s">
        <v>627</v>
      </c>
      <c r="D455" s="234" t="s">
        <v>541</v>
      </c>
      <c r="E455" s="234" t="s">
        <v>927</v>
      </c>
      <c r="F455" s="235" t="s">
        <v>549</v>
      </c>
      <c r="G455" s="275"/>
      <c r="H455" s="345"/>
      <c r="I455" s="236">
        <f t="shared" si="5"/>
        <v>0</v>
      </c>
    </row>
    <row r="456" spans="1:9" ht="27" customHeight="1">
      <c r="A456" s="255" t="s">
        <v>722</v>
      </c>
      <c r="B456" s="234" t="s">
        <v>1130</v>
      </c>
      <c r="C456" s="234" t="s">
        <v>627</v>
      </c>
      <c r="D456" s="234" t="s">
        <v>541</v>
      </c>
      <c r="E456" s="234" t="s">
        <v>928</v>
      </c>
      <c r="F456" s="235"/>
      <c r="G456" s="275">
        <f>G457+G459+G458</f>
        <v>40792801.4</v>
      </c>
      <c r="H456" s="275">
        <f>H457+H459+H458</f>
        <v>7532921.9399999995</v>
      </c>
      <c r="I456" s="236">
        <f t="shared" si="5"/>
        <v>48325723.339999996</v>
      </c>
    </row>
    <row r="457" spans="1:9" ht="26.25">
      <c r="A457" s="243" t="s">
        <v>560</v>
      </c>
      <c r="B457" s="234" t="s">
        <v>1130</v>
      </c>
      <c r="C457" s="234" t="s">
        <v>627</v>
      </c>
      <c r="D457" s="234" t="s">
        <v>541</v>
      </c>
      <c r="E457" s="234" t="s">
        <v>928</v>
      </c>
      <c r="F457" s="235" t="s">
        <v>561</v>
      </c>
      <c r="G457" s="275">
        <f>19425845+89480+1288450+248104.4+5038916+1989489+2579000+99113+1841000-2054000+9812+514523+38350+3560683+204000+85550+1433835+36000+147700-4820+404900</f>
        <v>36975930.4</v>
      </c>
      <c r="H457" s="349">
        <f>6327341+930000+172569.38+43011.56+60000</f>
        <v>7532921.9399999995</v>
      </c>
      <c r="I457" s="236">
        <f t="shared" si="5"/>
        <v>44508852.339999996</v>
      </c>
    </row>
    <row r="458" spans="1:9" ht="26.25">
      <c r="A458" s="281" t="s">
        <v>776</v>
      </c>
      <c r="B458" s="234" t="s">
        <v>1130</v>
      </c>
      <c r="C458" s="234" t="s">
        <v>627</v>
      </c>
      <c r="D458" s="234" t="s">
        <v>541</v>
      </c>
      <c r="E458" s="234" t="s">
        <v>928</v>
      </c>
      <c r="F458" s="235" t="s">
        <v>777</v>
      </c>
      <c r="G458" s="275">
        <f>600000-400000+194802</f>
        <v>394802</v>
      </c>
      <c r="H458" s="349"/>
      <c r="I458" s="236">
        <f t="shared" si="5"/>
        <v>394802</v>
      </c>
    </row>
    <row r="459" spans="1:9" ht="15">
      <c r="A459" s="255" t="s">
        <v>602</v>
      </c>
      <c r="B459" s="234" t="s">
        <v>1130</v>
      </c>
      <c r="C459" s="234" t="s">
        <v>627</v>
      </c>
      <c r="D459" s="234" t="s">
        <v>541</v>
      </c>
      <c r="E459" s="234" t="s">
        <v>928</v>
      </c>
      <c r="F459" s="235" t="s">
        <v>603</v>
      </c>
      <c r="G459" s="275">
        <f>2072738+4000+53000+4000+1135029+54100+2166+52582+2780+32990+8684</f>
        <v>3422069</v>
      </c>
      <c r="H459" s="337"/>
      <c r="I459" s="236">
        <f t="shared" si="5"/>
        <v>3422069</v>
      </c>
    </row>
    <row r="460" spans="1:9" ht="15">
      <c r="A460" s="243" t="s">
        <v>929</v>
      </c>
      <c r="B460" s="234" t="s">
        <v>1130</v>
      </c>
      <c r="C460" s="234" t="s">
        <v>627</v>
      </c>
      <c r="D460" s="234" t="s">
        <v>541</v>
      </c>
      <c r="E460" s="234" t="s">
        <v>930</v>
      </c>
      <c r="F460" s="235"/>
      <c r="G460" s="275">
        <f>G461</f>
        <v>177600</v>
      </c>
      <c r="H460" s="337"/>
      <c r="I460" s="236">
        <f t="shared" si="5"/>
        <v>177600</v>
      </c>
    </row>
    <row r="461" spans="1:9" ht="25.5" customHeight="1">
      <c r="A461" s="243" t="s">
        <v>560</v>
      </c>
      <c r="B461" s="234" t="s">
        <v>1130</v>
      </c>
      <c r="C461" s="234" t="s">
        <v>627</v>
      </c>
      <c r="D461" s="234" t="s">
        <v>541</v>
      </c>
      <c r="E461" s="234" t="s">
        <v>930</v>
      </c>
      <c r="F461" s="235" t="s">
        <v>561</v>
      </c>
      <c r="G461" s="275">
        <f>177600</f>
        <v>177600</v>
      </c>
      <c r="H461" s="345"/>
      <c r="I461" s="236">
        <f t="shared" si="5"/>
        <v>177600</v>
      </c>
    </row>
    <row r="462" spans="1:9" ht="25.5" hidden="1">
      <c r="A462" s="255" t="s">
        <v>1055</v>
      </c>
      <c r="B462" s="234" t="s">
        <v>1130</v>
      </c>
      <c r="C462" s="234" t="s">
        <v>627</v>
      </c>
      <c r="D462" s="234" t="s">
        <v>541</v>
      </c>
      <c r="E462" s="234" t="s">
        <v>1056</v>
      </c>
      <c r="F462" s="235"/>
      <c r="G462" s="275">
        <f>G463+G465</f>
        <v>0</v>
      </c>
      <c r="H462" s="337"/>
      <c r="I462" s="236">
        <f>G462+H462</f>
        <v>0</v>
      </c>
    </row>
    <row r="463" spans="1:9" ht="26.25" hidden="1">
      <c r="A463" s="339" t="s">
        <v>1142</v>
      </c>
      <c r="B463" s="234" t="s">
        <v>1130</v>
      </c>
      <c r="C463" s="234" t="s">
        <v>627</v>
      </c>
      <c r="D463" s="234" t="s">
        <v>541</v>
      </c>
      <c r="E463" s="234" t="s">
        <v>1143</v>
      </c>
      <c r="F463" s="235"/>
      <c r="G463" s="275">
        <f>G464</f>
        <v>0</v>
      </c>
      <c r="H463" s="337"/>
      <c r="I463" s="236">
        <f>G463+H463</f>
        <v>0</v>
      </c>
    </row>
    <row r="464" spans="1:9" ht="39" hidden="1">
      <c r="A464" s="243" t="s">
        <v>548</v>
      </c>
      <c r="B464" s="234" t="s">
        <v>1130</v>
      </c>
      <c r="C464" s="234" t="s">
        <v>627</v>
      </c>
      <c r="D464" s="234" t="s">
        <v>541</v>
      </c>
      <c r="E464" s="234" t="s">
        <v>1143</v>
      </c>
      <c r="F464" s="235" t="s">
        <v>549</v>
      </c>
      <c r="G464" s="275"/>
      <c r="H464" s="337"/>
      <c r="I464" s="236">
        <f>G464+H464</f>
        <v>0</v>
      </c>
    </row>
    <row r="465" spans="1:9" ht="26.25" hidden="1">
      <c r="A465" s="339" t="s">
        <v>1144</v>
      </c>
      <c r="B465" s="234" t="s">
        <v>1130</v>
      </c>
      <c r="C465" s="234" t="s">
        <v>627</v>
      </c>
      <c r="D465" s="234" t="s">
        <v>541</v>
      </c>
      <c r="E465" s="234" t="s">
        <v>1145</v>
      </c>
      <c r="F465" s="235"/>
      <c r="G465" s="275">
        <f>G466</f>
        <v>0</v>
      </c>
      <c r="H465" s="337"/>
      <c r="I465" s="236">
        <f aca="true" t="shared" si="6" ref="I465:I533">G465+H465</f>
        <v>0</v>
      </c>
    </row>
    <row r="466" spans="1:9" ht="39" hidden="1">
      <c r="A466" s="243" t="s">
        <v>548</v>
      </c>
      <c r="B466" s="234" t="s">
        <v>1130</v>
      </c>
      <c r="C466" s="234" t="s">
        <v>627</v>
      </c>
      <c r="D466" s="234" t="s">
        <v>541</v>
      </c>
      <c r="E466" s="234" t="s">
        <v>1145</v>
      </c>
      <c r="F466" s="235" t="s">
        <v>549</v>
      </c>
      <c r="G466" s="275">
        <f>100000-100000</f>
        <v>0</v>
      </c>
      <c r="H466" s="337"/>
      <c r="I466" s="236">
        <f>G466+H466</f>
        <v>0</v>
      </c>
    </row>
    <row r="467" spans="1:9" ht="39" hidden="1">
      <c r="A467" s="353" t="s">
        <v>1146</v>
      </c>
      <c r="B467" s="234" t="s">
        <v>1130</v>
      </c>
      <c r="C467" s="234" t="s">
        <v>627</v>
      </c>
      <c r="D467" s="234" t="s">
        <v>541</v>
      </c>
      <c r="E467" s="263" t="s">
        <v>818</v>
      </c>
      <c r="F467" s="235"/>
      <c r="G467" s="275">
        <f>G468</f>
        <v>0</v>
      </c>
      <c r="H467" s="337"/>
      <c r="I467" s="236">
        <f aca="true" t="shared" si="7" ref="I467:I473">G467+H467</f>
        <v>0</v>
      </c>
    </row>
    <row r="468" spans="1:9" ht="18" customHeight="1" hidden="1">
      <c r="A468" s="362" t="s">
        <v>1147</v>
      </c>
      <c r="B468" s="234" t="s">
        <v>1130</v>
      </c>
      <c r="C468" s="234" t="s">
        <v>627</v>
      </c>
      <c r="D468" s="234" t="s">
        <v>541</v>
      </c>
      <c r="E468" s="271" t="s">
        <v>867</v>
      </c>
      <c r="F468" s="235"/>
      <c r="G468" s="275">
        <f>G469</f>
        <v>0</v>
      </c>
      <c r="H468" s="337"/>
      <c r="I468" s="236">
        <f t="shared" si="7"/>
        <v>0</v>
      </c>
    </row>
    <row r="469" spans="1:9" ht="38.25" hidden="1">
      <c r="A469" s="255" t="s">
        <v>899</v>
      </c>
      <c r="B469" s="234" t="s">
        <v>1130</v>
      </c>
      <c r="C469" s="234" t="s">
        <v>627</v>
      </c>
      <c r="D469" s="234" t="s">
        <v>541</v>
      </c>
      <c r="E469" s="259" t="s">
        <v>900</v>
      </c>
      <c r="F469" s="235"/>
      <c r="G469" s="275">
        <f>G472+G470</f>
        <v>0</v>
      </c>
      <c r="H469" s="337"/>
      <c r="I469" s="236">
        <f t="shared" si="7"/>
        <v>0</v>
      </c>
    </row>
    <row r="470" spans="1:9" ht="24" hidden="1">
      <c r="A470" s="295" t="s">
        <v>901</v>
      </c>
      <c r="B470" s="234" t="s">
        <v>1130</v>
      </c>
      <c r="C470" s="234" t="s">
        <v>627</v>
      </c>
      <c r="D470" s="234" t="s">
        <v>541</v>
      </c>
      <c r="E470" s="259" t="s">
        <v>902</v>
      </c>
      <c r="F470" s="235"/>
      <c r="G470" s="275">
        <f>G471</f>
        <v>0</v>
      </c>
      <c r="H470" s="337"/>
      <c r="I470" s="236">
        <f>G470+H470</f>
        <v>0</v>
      </c>
    </row>
    <row r="471" spans="1:9" ht="26.25" hidden="1">
      <c r="A471" s="243" t="s">
        <v>776</v>
      </c>
      <c r="B471" s="234" t="s">
        <v>1130</v>
      </c>
      <c r="C471" s="234" t="s">
        <v>627</v>
      </c>
      <c r="D471" s="234" t="s">
        <v>541</v>
      </c>
      <c r="E471" s="259" t="s">
        <v>902</v>
      </c>
      <c r="F471" s="235" t="s">
        <v>777</v>
      </c>
      <c r="G471" s="275"/>
      <c r="H471" s="337"/>
      <c r="I471" s="236">
        <f>G471+H471</f>
        <v>0</v>
      </c>
    </row>
    <row r="472" spans="1:9" ht="24" hidden="1">
      <c r="A472" s="295" t="s">
        <v>903</v>
      </c>
      <c r="B472" s="234" t="s">
        <v>1130</v>
      </c>
      <c r="C472" s="234" t="s">
        <v>627</v>
      </c>
      <c r="D472" s="234" t="s">
        <v>541</v>
      </c>
      <c r="E472" s="259" t="s">
        <v>904</v>
      </c>
      <c r="F472" s="235"/>
      <c r="G472" s="275">
        <f>G473</f>
        <v>0</v>
      </c>
      <c r="H472" s="337"/>
      <c r="I472" s="236">
        <f t="shared" si="7"/>
        <v>0</v>
      </c>
    </row>
    <row r="473" spans="1:9" ht="26.25" hidden="1">
      <c r="A473" s="243" t="s">
        <v>776</v>
      </c>
      <c r="B473" s="234" t="s">
        <v>1130</v>
      </c>
      <c r="C473" s="234" t="s">
        <v>627</v>
      </c>
      <c r="D473" s="234" t="s">
        <v>541</v>
      </c>
      <c r="E473" s="259" t="s">
        <v>904</v>
      </c>
      <c r="F473" s="235" t="s">
        <v>777</v>
      </c>
      <c r="G473" s="275"/>
      <c r="H473" s="337"/>
      <c r="I473" s="236">
        <f t="shared" si="7"/>
        <v>0</v>
      </c>
    </row>
    <row r="474" spans="1:9" ht="54.75" customHeight="1">
      <c r="A474" s="279" t="s">
        <v>676</v>
      </c>
      <c r="B474" s="234" t="s">
        <v>1130</v>
      </c>
      <c r="C474" s="234" t="s">
        <v>627</v>
      </c>
      <c r="D474" s="234" t="s">
        <v>541</v>
      </c>
      <c r="E474" s="263" t="s">
        <v>677</v>
      </c>
      <c r="F474" s="235"/>
      <c r="G474" s="275">
        <f>G475</f>
        <v>165800</v>
      </c>
      <c r="H474" s="337"/>
      <c r="I474" s="236">
        <f t="shared" si="6"/>
        <v>165800</v>
      </c>
    </row>
    <row r="475" spans="1:9" ht="75.75" customHeight="1">
      <c r="A475" s="284" t="s">
        <v>678</v>
      </c>
      <c r="B475" s="234" t="s">
        <v>1130</v>
      </c>
      <c r="C475" s="246" t="s">
        <v>627</v>
      </c>
      <c r="D475" s="246" t="s">
        <v>541</v>
      </c>
      <c r="E475" s="271" t="s">
        <v>679</v>
      </c>
      <c r="F475" s="253"/>
      <c r="G475" s="338">
        <f>G476+G479</f>
        <v>165800</v>
      </c>
      <c r="H475" s="337"/>
      <c r="I475" s="236">
        <f t="shared" si="6"/>
        <v>165800</v>
      </c>
    </row>
    <row r="476" spans="1:9" ht="25.5" hidden="1">
      <c r="A476" s="351" t="s">
        <v>680</v>
      </c>
      <c r="B476" s="234" t="s">
        <v>1130</v>
      </c>
      <c r="C476" s="234" t="s">
        <v>627</v>
      </c>
      <c r="D476" s="234" t="s">
        <v>541</v>
      </c>
      <c r="E476" s="263" t="s">
        <v>681</v>
      </c>
      <c r="F476" s="235"/>
      <c r="G476" s="275">
        <f>G477</f>
        <v>0</v>
      </c>
      <c r="H476" s="337"/>
      <c r="I476" s="236">
        <f t="shared" si="6"/>
        <v>0</v>
      </c>
    </row>
    <row r="477" spans="1:9" ht="25.5" hidden="1">
      <c r="A477" s="255" t="s">
        <v>682</v>
      </c>
      <c r="B477" s="234" t="s">
        <v>1130</v>
      </c>
      <c r="C477" s="234" t="s">
        <v>627</v>
      </c>
      <c r="D477" s="234" t="s">
        <v>541</v>
      </c>
      <c r="E477" s="263" t="s">
        <v>683</v>
      </c>
      <c r="F477" s="235"/>
      <c r="G477" s="275">
        <f>G478</f>
        <v>0</v>
      </c>
      <c r="H477" s="337"/>
      <c r="I477" s="236">
        <f t="shared" si="6"/>
        <v>0</v>
      </c>
    </row>
    <row r="478" spans="1:9" ht="26.25" hidden="1">
      <c r="A478" s="243" t="s">
        <v>560</v>
      </c>
      <c r="B478" s="234" t="s">
        <v>1130</v>
      </c>
      <c r="C478" s="234" t="s">
        <v>627</v>
      </c>
      <c r="D478" s="234" t="s">
        <v>541</v>
      </c>
      <c r="E478" s="263" t="s">
        <v>683</v>
      </c>
      <c r="F478" s="235" t="s">
        <v>561</v>
      </c>
      <c r="G478" s="275"/>
      <c r="H478" s="345"/>
      <c r="I478" s="236">
        <f t="shared" si="6"/>
        <v>0</v>
      </c>
    </row>
    <row r="479" spans="1:9" ht="63.75" customHeight="1">
      <c r="A479" s="351" t="s">
        <v>931</v>
      </c>
      <c r="B479" s="234" t="s">
        <v>1130</v>
      </c>
      <c r="C479" s="234" t="s">
        <v>627</v>
      </c>
      <c r="D479" s="234" t="s">
        <v>541</v>
      </c>
      <c r="E479" s="263" t="s">
        <v>932</v>
      </c>
      <c r="F479" s="235"/>
      <c r="G479" s="275">
        <f>G480</f>
        <v>165800</v>
      </c>
      <c r="H479" s="337"/>
      <c r="I479" s="236">
        <f t="shared" si="6"/>
        <v>165800</v>
      </c>
    </row>
    <row r="480" spans="1:9" ht="30.75" customHeight="1">
      <c r="A480" s="255" t="s">
        <v>682</v>
      </c>
      <c r="B480" s="234" t="s">
        <v>1130</v>
      </c>
      <c r="C480" s="234" t="s">
        <v>627</v>
      </c>
      <c r="D480" s="234" t="s">
        <v>541</v>
      </c>
      <c r="E480" s="263" t="s">
        <v>933</v>
      </c>
      <c r="F480" s="235"/>
      <c r="G480" s="275">
        <f>G481</f>
        <v>165800</v>
      </c>
      <c r="H480" s="337"/>
      <c r="I480" s="236">
        <f t="shared" si="6"/>
        <v>165800</v>
      </c>
    </row>
    <row r="481" spans="1:9" ht="34.5" customHeight="1">
      <c r="A481" s="243" t="s">
        <v>560</v>
      </c>
      <c r="B481" s="234" t="s">
        <v>1130</v>
      </c>
      <c r="C481" s="234" t="s">
        <v>627</v>
      </c>
      <c r="D481" s="234" t="s">
        <v>541</v>
      </c>
      <c r="E481" s="263" t="s">
        <v>933</v>
      </c>
      <c r="F481" s="235" t="s">
        <v>561</v>
      </c>
      <c r="G481" s="275">
        <f>167800-2000</f>
        <v>165800</v>
      </c>
      <c r="H481" s="345"/>
      <c r="I481" s="236">
        <f t="shared" si="6"/>
        <v>165800</v>
      </c>
    </row>
    <row r="482" spans="1:9" ht="42" customHeight="1">
      <c r="A482" s="298" t="s">
        <v>934</v>
      </c>
      <c r="B482" s="234" t="s">
        <v>1130</v>
      </c>
      <c r="C482" s="234" t="s">
        <v>627</v>
      </c>
      <c r="D482" s="234" t="s">
        <v>541</v>
      </c>
      <c r="E482" s="234" t="s">
        <v>935</v>
      </c>
      <c r="F482" s="245"/>
      <c r="G482" s="275">
        <f>G483</f>
        <v>10000</v>
      </c>
      <c r="H482" s="337"/>
      <c r="I482" s="236">
        <f t="shared" si="6"/>
        <v>10000</v>
      </c>
    </row>
    <row r="483" spans="1:9" s="250" customFormat="1" ht="60" customHeight="1">
      <c r="A483" s="254" t="s">
        <v>936</v>
      </c>
      <c r="B483" s="234" t="s">
        <v>1130</v>
      </c>
      <c r="C483" s="246" t="s">
        <v>627</v>
      </c>
      <c r="D483" s="246" t="s">
        <v>541</v>
      </c>
      <c r="E483" s="246" t="s">
        <v>937</v>
      </c>
      <c r="F483" s="248"/>
      <c r="G483" s="338">
        <f>G484</f>
        <v>10000</v>
      </c>
      <c r="H483" s="340"/>
      <c r="I483" s="249">
        <f t="shared" si="6"/>
        <v>10000</v>
      </c>
    </row>
    <row r="484" spans="1:9" ht="25.5">
      <c r="A484" s="286" t="s">
        <v>938</v>
      </c>
      <c r="B484" s="234" t="s">
        <v>1130</v>
      </c>
      <c r="C484" s="234" t="s">
        <v>627</v>
      </c>
      <c r="D484" s="234" t="s">
        <v>541</v>
      </c>
      <c r="E484" s="234" t="s">
        <v>939</v>
      </c>
      <c r="F484" s="245"/>
      <c r="G484" s="275">
        <f>G485</f>
        <v>10000</v>
      </c>
      <c r="H484" s="337"/>
      <c r="I484" s="236">
        <f t="shared" si="6"/>
        <v>10000</v>
      </c>
    </row>
    <row r="485" spans="1:9" ht="15">
      <c r="A485" s="286" t="s">
        <v>940</v>
      </c>
      <c r="B485" s="234" t="s">
        <v>1130</v>
      </c>
      <c r="C485" s="234" t="s">
        <v>627</v>
      </c>
      <c r="D485" s="234" t="s">
        <v>541</v>
      </c>
      <c r="E485" s="234" t="s">
        <v>941</v>
      </c>
      <c r="F485" s="245"/>
      <c r="G485" s="275">
        <f>G486</f>
        <v>10000</v>
      </c>
      <c r="H485" s="337"/>
      <c r="I485" s="236">
        <f t="shared" si="6"/>
        <v>10000</v>
      </c>
    </row>
    <row r="486" spans="1:9" ht="33.75" customHeight="1">
      <c r="A486" s="304" t="s">
        <v>560</v>
      </c>
      <c r="B486" s="234" t="s">
        <v>1130</v>
      </c>
      <c r="C486" s="234" t="s">
        <v>627</v>
      </c>
      <c r="D486" s="234" t="s">
        <v>541</v>
      </c>
      <c r="E486" s="234" t="s">
        <v>941</v>
      </c>
      <c r="F486" s="235" t="s">
        <v>561</v>
      </c>
      <c r="G486" s="275">
        <f>10000</f>
        <v>10000</v>
      </c>
      <c r="H486" s="345"/>
      <c r="I486" s="236">
        <f t="shared" si="6"/>
        <v>10000</v>
      </c>
    </row>
    <row r="487" spans="1:9" ht="21" customHeight="1">
      <c r="A487" s="283" t="s">
        <v>942</v>
      </c>
      <c r="B487" s="234" t="s">
        <v>1130</v>
      </c>
      <c r="C487" s="234" t="s">
        <v>627</v>
      </c>
      <c r="D487" s="234" t="s">
        <v>551</v>
      </c>
      <c r="E487" s="234"/>
      <c r="F487" s="235"/>
      <c r="G487" s="275">
        <f>G488</f>
        <v>22898170</v>
      </c>
      <c r="H487" s="337"/>
      <c r="I487" s="236">
        <f t="shared" si="6"/>
        <v>22898170</v>
      </c>
    </row>
    <row r="488" spans="1:9" ht="39" customHeight="1">
      <c r="A488" s="240" t="s">
        <v>890</v>
      </c>
      <c r="B488" s="246" t="s">
        <v>1130</v>
      </c>
      <c r="C488" s="234" t="s">
        <v>627</v>
      </c>
      <c r="D488" s="234" t="s">
        <v>551</v>
      </c>
      <c r="E488" s="234" t="s">
        <v>891</v>
      </c>
      <c r="F488" s="235"/>
      <c r="G488" s="275">
        <f>G489</f>
        <v>22898170</v>
      </c>
      <c r="H488" s="337"/>
      <c r="I488" s="236">
        <f t="shared" si="6"/>
        <v>22898170</v>
      </c>
    </row>
    <row r="489" spans="1:9" s="250" customFormat="1" ht="51.75">
      <c r="A489" s="243" t="s">
        <v>943</v>
      </c>
      <c r="B489" s="234" t="s">
        <v>1130</v>
      </c>
      <c r="C489" s="246" t="s">
        <v>627</v>
      </c>
      <c r="D489" s="246" t="s">
        <v>551</v>
      </c>
      <c r="E489" s="246" t="s">
        <v>944</v>
      </c>
      <c r="F489" s="253"/>
      <c r="G489" s="338">
        <f>G490</f>
        <v>22898170</v>
      </c>
      <c r="H489" s="340"/>
      <c r="I489" s="249">
        <f t="shared" si="6"/>
        <v>22898170</v>
      </c>
    </row>
    <row r="490" spans="1:9" ht="25.5">
      <c r="A490" s="255" t="s">
        <v>945</v>
      </c>
      <c r="B490" s="234" t="s">
        <v>1130</v>
      </c>
      <c r="C490" s="234" t="s">
        <v>627</v>
      </c>
      <c r="D490" s="234" t="s">
        <v>551</v>
      </c>
      <c r="E490" s="234" t="s">
        <v>946</v>
      </c>
      <c r="F490" s="235"/>
      <c r="G490" s="275">
        <f>G491</f>
        <v>22898170</v>
      </c>
      <c r="H490" s="337"/>
      <c r="I490" s="236">
        <f t="shared" si="6"/>
        <v>22898170</v>
      </c>
    </row>
    <row r="491" spans="1:9" ht="25.5">
      <c r="A491" s="255" t="s">
        <v>722</v>
      </c>
      <c r="B491" s="234" t="s">
        <v>1130</v>
      </c>
      <c r="C491" s="234" t="s">
        <v>627</v>
      </c>
      <c r="D491" s="234" t="s">
        <v>551</v>
      </c>
      <c r="E491" s="234" t="s">
        <v>947</v>
      </c>
      <c r="F491" s="235"/>
      <c r="G491" s="275">
        <f>G492+G493+G495+G494</f>
        <v>22898170</v>
      </c>
      <c r="H491" s="337"/>
      <c r="I491" s="236">
        <f t="shared" si="6"/>
        <v>22898170</v>
      </c>
    </row>
    <row r="492" spans="1:9" ht="43.5" customHeight="1">
      <c r="A492" s="243" t="s">
        <v>548</v>
      </c>
      <c r="B492" s="234" t="s">
        <v>1130</v>
      </c>
      <c r="C492" s="234" t="s">
        <v>627</v>
      </c>
      <c r="D492" s="234" t="s">
        <v>551</v>
      </c>
      <c r="E492" s="234" t="s">
        <v>947</v>
      </c>
      <c r="F492" s="235" t="s">
        <v>549</v>
      </c>
      <c r="G492" s="275">
        <f>14400300+1054655-671000-212600-34630</f>
        <v>14536725</v>
      </c>
      <c r="H492" s="337"/>
      <c r="I492" s="236">
        <f t="shared" si="6"/>
        <v>14536725</v>
      </c>
    </row>
    <row r="493" spans="1:9" ht="26.25" customHeight="1">
      <c r="A493" s="243" t="s">
        <v>560</v>
      </c>
      <c r="B493" s="234" t="s">
        <v>1130</v>
      </c>
      <c r="C493" s="234" t="s">
        <v>627</v>
      </c>
      <c r="D493" s="234" t="s">
        <v>551</v>
      </c>
      <c r="E493" s="234" t="s">
        <v>947</v>
      </c>
      <c r="F493" s="235" t="s">
        <v>561</v>
      </c>
      <c r="G493" s="275">
        <f>644300+5760+3675000+798279+367800+80000+73970-73970+10681+100000-78751-322402+1418622+109800+39000+160788-3400</f>
        <v>7005477</v>
      </c>
      <c r="H493" s="337"/>
      <c r="I493" s="236">
        <f t="shared" si="6"/>
        <v>7005477</v>
      </c>
    </row>
    <row r="494" spans="1:9" ht="29.25" customHeight="1">
      <c r="A494" s="281" t="s">
        <v>776</v>
      </c>
      <c r="B494" s="246" t="s">
        <v>1130</v>
      </c>
      <c r="C494" s="234" t="s">
        <v>627</v>
      </c>
      <c r="D494" s="234" t="s">
        <v>551</v>
      </c>
      <c r="E494" s="234" t="s">
        <v>947</v>
      </c>
      <c r="F494" s="235" t="s">
        <v>777</v>
      </c>
      <c r="G494" s="275">
        <f>1510000+1640000-3000000+2197730-1096220</f>
        <v>1251510</v>
      </c>
      <c r="H494" s="337"/>
      <c r="I494" s="236">
        <f>G494+H494</f>
        <v>1251510</v>
      </c>
    </row>
    <row r="495" spans="1:9" ht="22.5" customHeight="1">
      <c r="A495" s="255" t="s">
        <v>602</v>
      </c>
      <c r="B495" s="246" t="s">
        <v>1130</v>
      </c>
      <c r="C495" s="234" t="s">
        <v>627</v>
      </c>
      <c r="D495" s="234" t="s">
        <v>551</v>
      </c>
      <c r="E495" s="234" t="s">
        <v>947</v>
      </c>
      <c r="F495" s="235" t="s">
        <v>603</v>
      </c>
      <c r="G495" s="275">
        <f>115463-13005+2000</f>
        <v>104458</v>
      </c>
      <c r="H495" s="337"/>
      <c r="I495" s="236">
        <f t="shared" si="6"/>
        <v>104458</v>
      </c>
    </row>
    <row r="496" spans="1:9" ht="15">
      <c r="A496" s="240" t="s">
        <v>1126</v>
      </c>
      <c r="B496" s="234" t="s">
        <v>1130</v>
      </c>
      <c r="C496" s="234" t="s">
        <v>627</v>
      </c>
      <c r="D496" s="234" t="s">
        <v>627</v>
      </c>
      <c r="E496" s="234"/>
      <c r="F496" s="235"/>
      <c r="G496" s="275">
        <f>G497</f>
        <v>2160370</v>
      </c>
      <c r="H496" s="337">
        <f>H497</f>
        <v>1240802.39</v>
      </c>
      <c r="I496" s="236">
        <f t="shared" si="6"/>
        <v>3401172.3899999997</v>
      </c>
    </row>
    <row r="497" spans="1:9" ht="53.25" customHeight="1">
      <c r="A497" s="255" t="s">
        <v>952</v>
      </c>
      <c r="B497" s="234" t="s">
        <v>1130</v>
      </c>
      <c r="C497" s="234" t="s">
        <v>627</v>
      </c>
      <c r="D497" s="234" t="s">
        <v>627</v>
      </c>
      <c r="E497" s="263" t="s">
        <v>953</v>
      </c>
      <c r="F497" s="235"/>
      <c r="G497" s="275">
        <f>G498</f>
        <v>2160370</v>
      </c>
      <c r="H497" s="337">
        <f>H498</f>
        <v>1240802.39</v>
      </c>
      <c r="I497" s="236">
        <f t="shared" si="6"/>
        <v>3401172.3899999997</v>
      </c>
    </row>
    <row r="498" spans="1:9" ht="60" customHeight="1">
      <c r="A498" s="280" t="s">
        <v>960</v>
      </c>
      <c r="B498" s="234" t="s">
        <v>1130</v>
      </c>
      <c r="C498" s="234" t="s">
        <v>627</v>
      </c>
      <c r="D498" s="234" t="s">
        <v>627</v>
      </c>
      <c r="E498" s="263" t="s">
        <v>961</v>
      </c>
      <c r="F498" s="270"/>
      <c r="G498" s="275">
        <f>G499+G507+G504</f>
        <v>2160370</v>
      </c>
      <c r="H498" s="337">
        <f>H500+H508</f>
        <v>1240802.39</v>
      </c>
      <c r="I498" s="236">
        <f t="shared" si="6"/>
        <v>3401172.3899999997</v>
      </c>
    </row>
    <row r="499" spans="1:9" ht="31.5" customHeight="1">
      <c r="A499" s="255" t="s">
        <v>962</v>
      </c>
      <c r="B499" s="234" t="s">
        <v>1130</v>
      </c>
      <c r="C499" s="234" t="s">
        <v>627</v>
      </c>
      <c r="D499" s="234" t="s">
        <v>627</v>
      </c>
      <c r="E499" s="263" t="s">
        <v>963</v>
      </c>
      <c r="F499" s="270"/>
      <c r="G499" s="275">
        <f>G500+G502</f>
        <v>758160</v>
      </c>
      <c r="H499" s="337"/>
      <c r="I499" s="236">
        <f t="shared" si="6"/>
        <v>758160</v>
      </c>
    </row>
    <row r="500" spans="1:9" ht="15">
      <c r="A500" s="240" t="s">
        <v>964</v>
      </c>
      <c r="B500" s="234" t="s">
        <v>1130</v>
      </c>
      <c r="C500" s="234" t="s">
        <v>627</v>
      </c>
      <c r="D500" s="234" t="s">
        <v>627</v>
      </c>
      <c r="E500" s="263" t="s">
        <v>965</v>
      </c>
      <c r="F500" s="235"/>
      <c r="G500" s="275">
        <f>G501</f>
        <v>237417</v>
      </c>
      <c r="H500" s="337"/>
      <c r="I500" s="236">
        <f t="shared" si="6"/>
        <v>237417</v>
      </c>
    </row>
    <row r="501" spans="1:9" ht="24.75">
      <c r="A501" s="304" t="s">
        <v>560</v>
      </c>
      <c r="B501" s="234" t="s">
        <v>1130</v>
      </c>
      <c r="C501" s="234" t="s">
        <v>627</v>
      </c>
      <c r="D501" s="234" t="s">
        <v>627</v>
      </c>
      <c r="E501" s="263" t="s">
        <v>965</v>
      </c>
      <c r="F501" s="270" t="s">
        <v>561</v>
      </c>
      <c r="G501" s="356">
        <f>237417</f>
        <v>237417</v>
      </c>
      <c r="H501" s="337"/>
      <c r="I501" s="236">
        <f t="shared" si="6"/>
        <v>237417</v>
      </c>
    </row>
    <row r="502" spans="1:9" ht="15">
      <c r="A502" s="300" t="s">
        <v>966</v>
      </c>
      <c r="B502" s="234" t="s">
        <v>1130</v>
      </c>
      <c r="C502" s="234" t="s">
        <v>627</v>
      </c>
      <c r="D502" s="234" t="s">
        <v>627</v>
      </c>
      <c r="E502" s="263" t="s">
        <v>967</v>
      </c>
      <c r="F502" s="235"/>
      <c r="G502" s="356">
        <f>G503</f>
        <v>520743</v>
      </c>
      <c r="H502" s="337"/>
      <c r="I502" s="236">
        <f t="shared" si="6"/>
        <v>520743</v>
      </c>
    </row>
    <row r="503" spans="1:9" ht="24.75">
      <c r="A503" s="304" t="s">
        <v>560</v>
      </c>
      <c r="B503" s="234" t="s">
        <v>1130</v>
      </c>
      <c r="C503" s="234" t="s">
        <v>627</v>
      </c>
      <c r="D503" s="234" t="s">
        <v>627</v>
      </c>
      <c r="E503" s="263" t="s">
        <v>967</v>
      </c>
      <c r="F503" s="270" t="s">
        <v>561</v>
      </c>
      <c r="G503" s="275">
        <f>500331+20412</f>
        <v>520743</v>
      </c>
      <c r="H503" s="345"/>
      <c r="I503" s="236">
        <f t="shared" si="6"/>
        <v>520743</v>
      </c>
    </row>
    <row r="504" spans="1:9" ht="22.5" customHeight="1">
      <c r="A504" s="255" t="s">
        <v>970</v>
      </c>
      <c r="B504" s="234" t="s">
        <v>1130</v>
      </c>
      <c r="C504" s="234" t="s">
        <v>627</v>
      </c>
      <c r="D504" s="234" t="s">
        <v>627</v>
      </c>
      <c r="E504" s="263" t="s">
        <v>971</v>
      </c>
      <c r="F504" s="270"/>
      <c r="G504" s="356">
        <f>G505</f>
        <v>36000</v>
      </c>
      <c r="H504" s="337"/>
      <c r="I504" s="236">
        <f t="shared" si="6"/>
        <v>36000</v>
      </c>
    </row>
    <row r="505" spans="1:9" ht="15" customHeight="1">
      <c r="A505" s="304" t="s">
        <v>968</v>
      </c>
      <c r="B505" s="234" t="s">
        <v>1130</v>
      </c>
      <c r="C505" s="234" t="s">
        <v>627</v>
      </c>
      <c r="D505" s="234" t="s">
        <v>627</v>
      </c>
      <c r="E505" s="263" t="s">
        <v>972</v>
      </c>
      <c r="F505" s="270"/>
      <c r="G505" s="356">
        <f>G506</f>
        <v>36000</v>
      </c>
      <c r="H505" s="337"/>
      <c r="I505" s="236">
        <f t="shared" si="6"/>
        <v>36000</v>
      </c>
    </row>
    <row r="506" spans="1:9" ht="24.75">
      <c r="A506" s="304" t="s">
        <v>560</v>
      </c>
      <c r="B506" s="234" t="s">
        <v>1130</v>
      </c>
      <c r="C506" s="234" t="s">
        <v>627</v>
      </c>
      <c r="D506" s="234" t="s">
        <v>627</v>
      </c>
      <c r="E506" s="263" t="s">
        <v>972</v>
      </c>
      <c r="F506" s="270" t="s">
        <v>561</v>
      </c>
      <c r="G506" s="275">
        <f>36000</f>
        <v>36000</v>
      </c>
      <c r="H506" s="345"/>
      <c r="I506" s="236">
        <f t="shared" si="6"/>
        <v>36000</v>
      </c>
    </row>
    <row r="507" spans="1:9" ht="39.75" customHeight="1">
      <c r="A507" s="255" t="s">
        <v>973</v>
      </c>
      <c r="B507" s="234" t="s">
        <v>1130</v>
      </c>
      <c r="C507" s="234" t="s">
        <v>627</v>
      </c>
      <c r="D507" s="234" t="s">
        <v>627</v>
      </c>
      <c r="E507" s="263" t="s">
        <v>974</v>
      </c>
      <c r="F507" s="270"/>
      <c r="G507" s="275">
        <f>G508</f>
        <v>1366210</v>
      </c>
      <c r="H507" s="337">
        <f>H508</f>
        <v>1240802.39</v>
      </c>
      <c r="I507" s="236">
        <f t="shared" si="6"/>
        <v>2607012.3899999997</v>
      </c>
    </row>
    <row r="508" spans="1:9" ht="29.25" customHeight="1">
      <c r="A508" s="363" t="s">
        <v>722</v>
      </c>
      <c r="B508" s="234" t="s">
        <v>1130</v>
      </c>
      <c r="C508" s="234" t="s">
        <v>627</v>
      </c>
      <c r="D508" s="234" t="s">
        <v>627</v>
      </c>
      <c r="E508" s="263" t="s">
        <v>975</v>
      </c>
      <c r="F508" s="270"/>
      <c r="G508" s="275">
        <f>G509+G510+G511</f>
        <v>1366210</v>
      </c>
      <c r="H508" s="345">
        <f>H509+H510+H511</f>
        <v>1240802.39</v>
      </c>
      <c r="I508" s="236">
        <f t="shared" si="6"/>
        <v>2607012.3899999997</v>
      </c>
    </row>
    <row r="509" spans="1:9" ht="27.75" customHeight="1">
      <c r="A509" s="240" t="s">
        <v>976</v>
      </c>
      <c r="B509" s="234" t="s">
        <v>1130</v>
      </c>
      <c r="C509" s="234" t="s">
        <v>627</v>
      </c>
      <c r="D509" s="234" t="s">
        <v>627</v>
      </c>
      <c r="E509" s="263" t="s">
        <v>975</v>
      </c>
      <c r="F509" s="235" t="s">
        <v>549</v>
      </c>
      <c r="G509" s="275">
        <v>616000</v>
      </c>
      <c r="H509" s="345"/>
      <c r="I509" s="236">
        <f t="shared" si="6"/>
        <v>616000</v>
      </c>
    </row>
    <row r="510" spans="1:9" ht="29.25" customHeight="1">
      <c r="A510" s="243" t="s">
        <v>560</v>
      </c>
      <c r="B510" s="234" t="s">
        <v>1130</v>
      </c>
      <c r="C510" s="234" t="s">
        <v>627</v>
      </c>
      <c r="D510" s="234" t="s">
        <v>627</v>
      </c>
      <c r="E510" s="263" t="s">
        <v>975</v>
      </c>
      <c r="F510" s="270" t="s">
        <v>561</v>
      </c>
      <c r="G510" s="275">
        <f>123200+40000+200000+350000</f>
        <v>713200</v>
      </c>
      <c r="H510" s="345">
        <f>1231440+9362.39</f>
        <v>1240802.39</v>
      </c>
      <c r="I510" s="236">
        <f t="shared" si="6"/>
        <v>1954002.39</v>
      </c>
    </row>
    <row r="511" spans="1:9" ht="15">
      <c r="A511" s="255" t="s">
        <v>602</v>
      </c>
      <c r="B511" s="234" t="s">
        <v>1130</v>
      </c>
      <c r="C511" s="234" t="s">
        <v>627</v>
      </c>
      <c r="D511" s="234" t="s">
        <v>627</v>
      </c>
      <c r="E511" s="263" t="s">
        <v>975</v>
      </c>
      <c r="F511" s="270" t="s">
        <v>603</v>
      </c>
      <c r="G511" s="275">
        <f>70000-32990</f>
        <v>37010</v>
      </c>
      <c r="H511" s="345"/>
      <c r="I511" s="236">
        <f t="shared" si="6"/>
        <v>37010</v>
      </c>
    </row>
    <row r="512" spans="1:9" ht="15">
      <c r="A512" s="240" t="s">
        <v>977</v>
      </c>
      <c r="B512" s="234" t="s">
        <v>1130</v>
      </c>
      <c r="C512" s="234" t="s">
        <v>627</v>
      </c>
      <c r="D512" s="234" t="s">
        <v>738</v>
      </c>
      <c r="E512" s="234"/>
      <c r="F512" s="235"/>
      <c r="G512" s="275">
        <f>G513+G525</f>
        <v>9261690</v>
      </c>
      <c r="H512" s="275">
        <f>H513+H525</f>
        <v>0</v>
      </c>
      <c r="I512" s="236">
        <f t="shared" si="6"/>
        <v>9261690</v>
      </c>
    </row>
    <row r="513" spans="1:9" ht="36" customHeight="1">
      <c r="A513" s="240" t="s">
        <v>890</v>
      </c>
      <c r="B513" s="234" t="s">
        <v>1130</v>
      </c>
      <c r="C513" s="234" t="s">
        <v>627</v>
      </c>
      <c r="D513" s="234" t="s">
        <v>738</v>
      </c>
      <c r="E513" s="234" t="s">
        <v>891</v>
      </c>
      <c r="F513" s="235"/>
      <c r="G513" s="275">
        <f>G514</f>
        <v>9261690</v>
      </c>
      <c r="H513" s="275">
        <f>H514</f>
        <v>0</v>
      </c>
      <c r="I513" s="236">
        <f t="shared" si="6"/>
        <v>9261690</v>
      </c>
    </row>
    <row r="514" spans="1:9" ht="58.5" customHeight="1">
      <c r="A514" s="298" t="s">
        <v>978</v>
      </c>
      <c r="B514" s="234" t="s">
        <v>1130</v>
      </c>
      <c r="C514" s="246" t="s">
        <v>627</v>
      </c>
      <c r="D514" s="246" t="s">
        <v>738</v>
      </c>
      <c r="E514" s="246" t="s">
        <v>979</v>
      </c>
      <c r="F514" s="253"/>
      <c r="G514" s="338">
        <f>G515+G520</f>
        <v>9261690</v>
      </c>
      <c r="H514" s="338">
        <f>H515+H520</f>
        <v>0</v>
      </c>
      <c r="I514" s="236">
        <f t="shared" si="6"/>
        <v>9261690</v>
      </c>
    </row>
    <row r="515" spans="1:9" ht="32.25" customHeight="1">
      <c r="A515" s="255" t="s">
        <v>980</v>
      </c>
      <c r="B515" s="234" t="s">
        <v>1130</v>
      </c>
      <c r="C515" s="234" t="s">
        <v>627</v>
      </c>
      <c r="D515" s="234" t="s">
        <v>738</v>
      </c>
      <c r="E515" s="234" t="s">
        <v>981</v>
      </c>
      <c r="F515" s="235"/>
      <c r="G515" s="275">
        <f>G516</f>
        <v>9038638</v>
      </c>
      <c r="H515" s="275">
        <f>H516</f>
        <v>0</v>
      </c>
      <c r="I515" s="236">
        <f t="shared" si="6"/>
        <v>9038638</v>
      </c>
    </row>
    <row r="516" spans="1:9" ht="28.5" customHeight="1">
      <c r="A516" s="255" t="s">
        <v>722</v>
      </c>
      <c r="B516" s="234" t="s">
        <v>1130</v>
      </c>
      <c r="C516" s="234" t="s">
        <v>627</v>
      </c>
      <c r="D516" s="234" t="s">
        <v>738</v>
      </c>
      <c r="E516" s="234" t="s">
        <v>982</v>
      </c>
      <c r="F516" s="235"/>
      <c r="G516" s="275">
        <f>G517+G518+G519</f>
        <v>9038638</v>
      </c>
      <c r="H516" s="275">
        <f>H517+H518+H519</f>
        <v>0</v>
      </c>
      <c r="I516" s="236">
        <f t="shared" si="6"/>
        <v>9038638</v>
      </c>
    </row>
    <row r="517" spans="1:9" ht="42.75" customHeight="1">
      <c r="A517" s="243" t="s">
        <v>548</v>
      </c>
      <c r="B517" s="234" t="s">
        <v>1130</v>
      </c>
      <c r="C517" s="234" t="s">
        <v>627</v>
      </c>
      <c r="D517" s="234" t="s">
        <v>738</v>
      </c>
      <c r="E517" s="234" t="s">
        <v>982</v>
      </c>
      <c r="F517" s="235" t="s">
        <v>549</v>
      </c>
      <c r="G517" s="275">
        <f>7573300+116000+35100</f>
        <v>7724400</v>
      </c>
      <c r="H517" s="337"/>
      <c r="I517" s="236">
        <f t="shared" si="6"/>
        <v>7724400</v>
      </c>
    </row>
    <row r="518" spans="1:9" ht="26.25">
      <c r="A518" s="243" t="s">
        <v>560</v>
      </c>
      <c r="B518" s="234" t="s">
        <v>1130</v>
      </c>
      <c r="C518" s="234" t="s">
        <v>627</v>
      </c>
      <c r="D518" s="234" t="s">
        <v>738</v>
      </c>
      <c r="E518" s="234" t="s">
        <v>982</v>
      </c>
      <c r="F518" s="235" t="s">
        <v>561</v>
      </c>
      <c r="G518" s="275">
        <f>517200+35500+100000+467547+60000+7770+27875+30120+24075</f>
        <v>1270087</v>
      </c>
      <c r="H518" s="337">
        <f>25000-25000</f>
        <v>0</v>
      </c>
      <c r="I518" s="236">
        <f t="shared" si="6"/>
        <v>1270087</v>
      </c>
    </row>
    <row r="519" spans="1:9" ht="15.75" customHeight="1">
      <c r="A519" s="255" t="s">
        <v>602</v>
      </c>
      <c r="B519" s="234" t="s">
        <v>1130</v>
      </c>
      <c r="C519" s="234" t="s">
        <v>627</v>
      </c>
      <c r="D519" s="234" t="s">
        <v>738</v>
      </c>
      <c r="E519" s="234" t="s">
        <v>982</v>
      </c>
      <c r="F519" s="235" t="s">
        <v>603</v>
      </c>
      <c r="G519" s="275">
        <f>35314-1063+9900</f>
        <v>44151</v>
      </c>
      <c r="H519" s="337"/>
      <c r="I519" s="236">
        <f t="shared" si="6"/>
        <v>44151</v>
      </c>
    </row>
    <row r="520" spans="1:9" ht="29.25" customHeight="1">
      <c r="A520" s="255" t="s">
        <v>983</v>
      </c>
      <c r="B520" s="234" t="s">
        <v>1130</v>
      </c>
      <c r="C520" s="234" t="s">
        <v>627</v>
      </c>
      <c r="D520" s="234" t="s">
        <v>738</v>
      </c>
      <c r="E520" s="234" t="s">
        <v>984</v>
      </c>
      <c r="F520" s="235"/>
      <c r="G520" s="275">
        <f>G521+G523</f>
        <v>223052</v>
      </c>
      <c r="H520" s="337"/>
      <c r="I520" s="236">
        <f t="shared" si="6"/>
        <v>223052</v>
      </c>
    </row>
    <row r="521" spans="1:9" ht="34.5" customHeight="1">
      <c r="A521" s="301" t="s">
        <v>985</v>
      </c>
      <c r="B521" s="234" t="s">
        <v>1130</v>
      </c>
      <c r="C521" s="234" t="s">
        <v>627</v>
      </c>
      <c r="D521" s="234" t="s">
        <v>738</v>
      </c>
      <c r="E521" s="234" t="s">
        <v>986</v>
      </c>
      <c r="F521" s="235"/>
      <c r="G521" s="275">
        <f>G522</f>
        <v>223052</v>
      </c>
      <c r="H521" s="337"/>
      <c r="I521" s="236">
        <f t="shared" si="6"/>
        <v>223052</v>
      </c>
    </row>
    <row r="522" spans="1:9" ht="44.25" customHeight="1">
      <c r="A522" s="243" t="s">
        <v>548</v>
      </c>
      <c r="B522" s="234" t="s">
        <v>1130</v>
      </c>
      <c r="C522" s="234" t="s">
        <v>627</v>
      </c>
      <c r="D522" s="234" t="s">
        <v>738</v>
      </c>
      <c r="E522" s="234" t="s">
        <v>986</v>
      </c>
      <c r="F522" s="235" t="s">
        <v>549</v>
      </c>
      <c r="G522" s="275">
        <v>223052</v>
      </c>
      <c r="H522" s="337"/>
      <c r="I522" s="236">
        <f t="shared" si="6"/>
        <v>223052</v>
      </c>
    </row>
    <row r="523" spans="1:9" ht="15" hidden="1">
      <c r="A523" s="243" t="s">
        <v>929</v>
      </c>
      <c r="B523" s="234" t="s">
        <v>1130</v>
      </c>
      <c r="C523" s="234" t="s">
        <v>627</v>
      </c>
      <c r="D523" s="234" t="s">
        <v>738</v>
      </c>
      <c r="E523" s="234" t="s">
        <v>987</v>
      </c>
      <c r="F523" s="235"/>
      <c r="G523" s="275">
        <f>G524</f>
        <v>0</v>
      </c>
      <c r="H523" s="345"/>
      <c r="I523" s="236">
        <f t="shared" si="6"/>
        <v>0</v>
      </c>
    </row>
    <row r="524" spans="1:9" ht="26.25" hidden="1">
      <c r="A524" s="243" t="s">
        <v>560</v>
      </c>
      <c r="B524" s="234" t="s">
        <v>1130</v>
      </c>
      <c r="C524" s="234" t="s">
        <v>627</v>
      </c>
      <c r="D524" s="234" t="s">
        <v>738</v>
      </c>
      <c r="E524" s="234" t="s">
        <v>987</v>
      </c>
      <c r="F524" s="235" t="s">
        <v>561</v>
      </c>
      <c r="G524" s="275"/>
      <c r="H524" s="345"/>
      <c r="I524" s="236">
        <f t="shared" si="6"/>
        <v>0</v>
      </c>
    </row>
    <row r="525" spans="1:9" ht="25.5" hidden="1">
      <c r="A525" s="255" t="s">
        <v>988</v>
      </c>
      <c r="B525" s="234" t="s">
        <v>1130</v>
      </c>
      <c r="C525" s="234" t="s">
        <v>627</v>
      </c>
      <c r="D525" s="234" t="s">
        <v>738</v>
      </c>
      <c r="E525" s="244" t="s">
        <v>989</v>
      </c>
      <c r="F525" s="235"/>
      <c r="G525" s="275">
        <f>G526</f>
        <v>0</v>
      </c>
      <c r="H525" s="345"/>
      <c r="I525" s="236">
        <f t="shared" si="6"/>
        <v>0</v>
      </c>
    </row>
    <row r="526" spans="1:9" ht="26.25" customHeight="1" hidden="1">
      <c r="A526" s="255" t="s">
        <v>990</v>
      </c>
      <c r="B526" s="234" t="s">
        <v>1130</v>
      </c>
      <c r="C526" s="234" t="s">
        <v>627</v>
      </c>
      <c r="D526" s="234" t="s">
        <v>738</v>
      </c>
      <c r="E526" s="244" t="s">
        <v>991</v>
      </c>
      <c r="F526" s="235"/>
      <c r="G526" s="275">
        <f>G527</f>
        <v>0</v>
      </c>
      <c r="H526" s="345"/>
      <c r="I526" s="236">
        <f t="shared" si="6"/>
        <v>0</v>
      </c>
    </row>
    <row r="527" spans="1:9" ht="17.25" customHeight="1" hidden="1">
      <c r="A527" s="255" t="s">
        <v>992</v>
      </c>
      <c r="B527" s="234" t="s">
        <v>1130</v>
      </c>
      <c r="C527" s="234" t="s">
        <v>627</v>
      </c>
      <c r="D527" s="234" t="s">
        <v>738</v>
      </c>
      <c r="E527" s="302" t="s">
        <v>993</v>
      </c>
      <c r="F527" s="235"/>
      <c r="G527" s="275">
        <f>G528</f>
        <v>0</v>
      </c>
      <c r="H527" s="345"/>
      <c r="I527" s="236">
        <f t="shared" si="6"/>
        <v>0</v>
      </c>
    </row>
    <row r="528" spans="1:9" ht="26.25" hidden="1">
      <c r="A528" s="243" t="s">
        <v>560</v>
      </c>
      <c r="B528" s="234" t="s">
        <v>1130</v>
      </c>
      <c r="C528" s="234" t="s">
        <v>627</v>
      </c>
      <c r="D528" s="234" t="s">
        <v>738</v>
      </c>
      <c r="E528" s="244" t="s">
        <v>993</v>
      </c>
      <c r="F528" s="235" t="s">
        <v>561</v>
      </c>
      <c r="G528" s="275"/>
      <c r="H528" s="345"/>
      <c r="I528" s="236">
        <f t="shared" si="6"/>
        <v>0</v>
      </c>
    </row>
    <row r="529" spans="1:9" ht="17.25" customHeight="1">
      <c r="A529" s="240" t="s">
        <v>1028</v>
      </c>
      <c r="B529" s="234" t="s">
        <v>1130</v>
      </c>
      <c r="C529" s="234">
        <v>10</v>
      </c>
      <c r="D529" s="234"/>
      <c r="E529" s="234"/>
      <c r="F529" s="235"/>
      <c r="G529" s="275">
        <f>G530+G542</f>
        <v>31814857.37</v>
      </c>
      <c r="H529" s="345"/>
      <c r="I529" s="236">
        <f t="shared" si="6"/>
        <v>31814857.37</v>
      </c>
    </row>
    <row r="530" spans="1:9" ht="16.5" customHeight="1">
      <c r="A530" s="240" t="s">
        <v>1038</v>
      </c>
      <c r="B530" s="234" t="s">
        <v>1130</v>
      </c>
      <c r="C530" s="234">
        <v>10</v>
      </c>
      <c r="D530" s="234" t="s">
        <v>551</v>
      </c>
      <c r="E530" s="234"/>
      <c r="F530" s="235"/>
      <c r="G530" s="275">
        <f>G531</f>
        <v>19498140.37</v>
      </c>
      <c r="H530" s="345"/>
      <c r="I530" s="236">
        <f t="shared" si="6"/>
        <v>19498140.37</v>
      </c>
    </row>
    <row r="531" spans="1:9" ht="27.75" customHeight="1">
      <c r="A531" s="240" t="s">
        <v>890</v>
      </c>
      <c r="B531" s="234" t="s">
        <v>1130</v>
      </c>
      <c r="C531" s="234">
        <v>10</v>
      </c>
      <c r="D531" s="234" t="s">
        <v>551</v>
      </c>
      <c r="E531" s="234" t="s">
        <v>891</v>
      </c>
      <c r="F531" s="235"/>
      <c r="G531" s="275">
        <f>G532+G537</f>
        <v>19498140.37</v>
      </c>
      <c r="H531" s="345"/>
      <c r="I531" s="236">
        <f t="shared" si="6"/>
        <v>19498140.37</v>
      </c>
    </row>
    <row r="532" spans="1:9" ht="45" customHeight="1">
      <c r="A532" s="299" t="s">
        <v>892</v>
      </c>
      <c r="B532" s="234" t="s">
        <v>1130</v>
      </c>
      <c r="C532" s="246">
        <v>10</v>
      </c>
      <c r="D532" s="246" t="s">
        <v>551</v>
      </c>
      <c r="E532" s="246" t="s">
        <v>893</v>
      </c>
      <c r="F532" s="253"/>
      <c r="G532" s="338">
        <f>G533</f>
        <v>19098140.37</v>
      </c>
      <c r="H532" s="345"/>
      <c r="I532" s="236">
        <f t="shared" si="6"/>
        <v>19098140.37</v>
      </c>
    </row>
    <row r="533" spans="1:9" ht="28.5" customHeight="1">
      <c r="A533" s="255" t="s">
        <v>1055</v>
      </c>
      <c r="B533" s="234" t="s">
        <v>1130</v>
      </c>
      <c r="C533" s="234">
        <v>10</v>
      </c>
      <c r="D533" s="234" t="s">
        <v>551</v>
      </c>
      <c r="E533" s="234" t="s">
        <v>1056</v>
      </c>
      <c r="F533" s="235"/>
      <c r="G533" s="275">
        <f>G534</f>
        <v>19098140.37</v>
      </c>
      <c r="H533" s="345"/>
      <c r="I533" s="236">
        <f t="shared" si="6"/>
        <v>19098140.37</v>
      </c>
    </row>
    <row r="534" spans="1:9" ht="53.25" customHeight="1">
      <c r="A534" s="339" t="s">
        <v>1057</v>
      </c>
      <c r="B534" s="234" t="s">
        <v>1130</v>
      </c>
      <c r="C534" s="234">
        <v>10</v>
      </c>
      <c r="D534" s="234" t="s">
        <v>551</v>
      </c>
      <c r="E534" s="234" t="s">
        <v>1058</v>
      </c>
      <c r="F534" s="235"/>
      <c r="G534" s="275">
        <f>G535+G536</f>
        <v>19098140.37</v>
      </c>
      <c r="H534" s="345"/>
      <c r="I534" s="236">
        <f aca="true" t="shared" si="8" ref="I534:I601">G534+H534</f>
        <v>19098140.37</v>
      </c>
    </row>
    <row r="535" spans="1:9" ht="26.25" hidden="1">
      <c r="A535" s="243" t="s">
        <v>560</v>
      </c>
      <c r="B535" s="234" t="s">
        <v>1130</v>
      </c>
      <c r="C535" s="234">
        <v>10</v>
      </c>
      <c r="D535" s="234" t="s">
        <v>551</v>
      </c>
      <c r="E535" s="234" t="s">
        <v>1058</v>
      </c>
      <c r="F535" s="235" t="s">
        <v>561</v>
      </c>
      <c r="G535" s="275"/>
      <c r="H535" s="345"/>
      <c r="I535" s="236">
        <f>G535+H535</f>
        <v>0</v>
      </c>
    </row>
    <row r="536" spans="1:9" ht="19.5" customHeight="1">
      <c r="A536" s="309" t="s">
        <v>733</v>
      </c>
      <c r="B536" s="234" t="s">
        <v>1130</v>
      </c>
      <c r="C536" s="234">
        <v>10</v>
      </c>
      <c r="D536" s="234" t="s">
        <v>551</v>
      </c>
      <c r="E536" s="234" t="s">
        <v>1058</v>
      </c>
      <c r="F536" s="235" t="s">
        <v>734</v>
      </c>
      <c r="G536" s="275">
        <f>18966008+132132.37</f>
        <v>19098140.37</v>
      </c>
      <c r="H536" s="345"/>
      <c r="I536" s="236">
        <f t="shared" si="8"/>
        <v>19098140.37</v>
      </c>
    </row>
    <row r="537" spans="1:9" ht="57.75" customHeight="1">
      <c r="A537" s="243" t="s">
        <v>943</v>
      </c>
      <c r="B537" s="234" t="s">
        <v>1130</v>
      </c>
      <c r="C537" s="246">
        <v>10</v>
      </c>
      <c r="D537" s="246" t="s">
        <v>551</v>
      </c>
      <c r="E537" s="246" t="s">
        <v>944</v>
      </c>
      <c r="F537" s="253"/>
      <c r="G537" s="338">
        <f>G538</f>
        <v>400000</v>
      </c>
      <c r="H537" s="345"/>
      <c r="I537" s="236">
        <f>G537+H537</f>
        <v>400000</v>
      </c>
    </row>
    <row r="538" spans="1:9" ht="29.25" customHeight="1">
      <c r="A538" s="310" t="s">
        <v>1059</v>
      </c>
      <c r="B538" s="234" t="s">
        <v>1130</v>
      </c>
      <c r="C538" s="234">
        <v>10</v>
      </c>
      <c r="D538" s="234" t="s">
        <v>551</v>
      </c>
      <c r="E538" s="234" t="s">
        <v>1060</v>
      </c>
      <c r="F538" s="235"/>
      <c r="G538" s="275">
        <f>G539</f>
        <v>400000</v>
      </c>
      <c r="H538" s="337"/>
      <c r="I538" s="236">
        <f>G538+H538</f>
        <v>400000</v>
      </c>
    </row>
    <row r="539" spans="1:9" ht="52.5" customHeight="1">
      <c r="A539" s="292" t="s">
        <v>1061</v>
      </c>
      <c r="B539" s="234" t="s">
        <v>1130</v>
      </c>
      <c r="C539" s="234">
        <v>10</v>
      </c>
      <c r="D539" s="234" t="s">
        <v>551</v>
      </c>
      <c r="E539" s="234" t="s">
        <v>1062</v>
      </c>
      <c r="F539" s="235"/>
      <c r="G539" s="275">
        <f>G541</f>
        <v>400000</v>
      </c>
      <c r="H539" s="337"/>
      <c r="I539" s="236">
        <f>G539+H539</f>
        <v>400000</v>
      </c>
    </row>
    <row r="540" spans="1:9" ht="26.25" hidden="1">
      <c r="A540" s="243" t="s">
        <v>560</v>
      </c>
      <c r="B540" s="234" t="s">
        <v>1130</v>
      </c>
      <c r="C540" s="234">
        <v>10</v>
      </c>
      <c r="D540" s="234" t="s">
        <v>551</v>
      </c>
      <c r="E540" s="234" t="s">
        <v>1062</v>
      </c>
      <c r="F540" s="235" t="s">
        <v>561</v>
      </c>
      <c r="G540" s="275"/>
      <c r="H540" s="337"/>
      <c r="I540" s="236">
        <f>G540+H540</f>
        <v>0</v>
      </c>
    </row>
    <row r="541" spans="1:9" ht="19.5" customHeight="1">
      <c r="A541" s="309" t="s">
        <v>733</v>
      </c>
      <c r="B541" s="234" t="s">
        <v>1130</v>
      </c>
      <c r="C541" s="234">
        <v>10</v>
      </c>
      <c r="D541" s="234" t="s">
        <v>551</v>
      </c>
      <c r="E541" s="234" t="s">
        <v>1062</v>
      </c>
      <c r="F541" s="235" t="s">
        <v>734</v>
      </c>
      <c r="G541" s="364">
        <v>400000</v>
      </c>
      <c r="H541" s="337"/>
      <c r="I541" s="236">
        <f>G541+H541</f>
        <v>400000</v>
      </c>
    </row>
    <row r="542" spans="1:9" ht="19.5" customHeight="1">
      <c r="A542" s="240" t="s">
        <v>1063</v>
      </c>
      <c r="B542" s="234" t="s">
        <v>1130</v>
      </c>
      <c r="C542" s="234">
        <v>10</v>
      </c>
      <c r="D542" s="234" t="s">
        <v>564</v>
      </c>
      <c r="E542" s="234"/>
      <c r="F542" s="235"/>
      <c r="G542" s="275">
        <f>G548+G543</f>
        <v>12316717</v>
      </c>
      <c r="H542" s="337"/>
      <c r="I542" s="236">
        <f t="shared" si="8"/>
        <v>12316717</v>
      </c>
    </row>
    <row r="543" spans="1:9" ht="47.25" customHeight="1">
      <c r="A543" s="240" t="s">
        <v>1119</v>
      </c>
      <c r="B543" s="234" t="s">
        <v>1130</v>
      </c>
      <c r="C543" s="234">
        <v>10</v>
      </c>
      <c r="D543" s="234" t="s">
        <v>564</v>
      </c>
      <c r="E543" s="312" t="s">
        <v>566</v>
      </c>
      <c r="F543" s="235"/>
      <c r="G543" s="275">
        <f>G544</f>
        <v>9973127</v>
      </c>
      <c r="H543" s="337"/>
      <c r="I543" s="236">
        <f t="shared" si="8"/>
        <v>9973127</v>
      </c>
    </row>
    <row r="544" spans="1:9" ht="58.5" customHeight="1">
      <c r="A544" s="280" t="s">
        <v>1066</v>
      </c>
      <c r="B544" s="234" t="s">
        <v>1130</v>
      </c>
      <c r="C544" s="234">
        <v>10</v>
      </c>
      <c r="D544" s="234" t="s">
        <v>564</v>
      </c>
      <c r="E544" s="234" t="s">
        <v>568</v>
      </c>
      <c r="F544" s="235"/>
      <c r="G544" s="275">
        <f>G546</f>
        <v>9973127</v>
      </c>
      <c r="H544" s="337"/>
      <c r="I544" s="236">
        <f t="shared" si="8"/>
        <v>9973127</v>
      </c>
    </row>
    <row r="545" spans="1:9" ht="40.5" customHeight="1">
      <c r="A545" s="255" t="s">
        <v>1067</v>
      </c>
      <c r="B545" s="234" t="s">
        <v>1130</v>
      </c>
      <c r="C545" s="234">
        <v>10</v>
      </c>
      <c r="D545" s="234" t="s">
        <v>564</v>
      </c>
      <c r="E545" s="234" t="s">
        <v>1068</v>
      </c>
      <c r="F545" s="235"/>
      <c r="G545" s="275">
        <f>G546</f>
        <v>9973127</v>
      </c>
      <c r="H545" s="337"/>
      <c r="I545" s="236">
        <f t="shared" si="8"/>
        <v>9973127</v>
      </c>
    </row>
    <row r="546" spans="1:9" ht="30.75" customHeight="1">
      <c r="A546" s="241" t="s">
        <v>1069</v>
      </c>
      <c r="B546" s="234" t="s">
        <v>1130</v>
      </c>
      <c r="C546" s="234">
        <v>10</v>
      </c>
      <c r="D546" s="234" t="s">
        <v>564</v>
      </c>
      <c r="E546" s="234" t="s">
        <v>1070</v>
      </c>
      <c r="F546" s="235"/>
      <c r="G546" s="275">
        <f>G547</f>
        <v>9973127</v>
      </c>
      <c r="H546" s="337"/>
      <c r="I546" s="236">
        <f t="shared" si="8"/>
        <v>9973127</v>
      </c>
    </row>
    <row r="547" spans="1:9" ht="19.5" customHeight="1">
      <c r="A547" s="309" t="s">
        <v>733</v>
      </c>
      <c r="B547" s="234" t="s">
        <v>1130</v>
      </c>
      <c r="C547" s="234">
        <v>10</v>
      </c>
      <c r="D547" s="234" t="s">
        <v>564</v>
      </c>
      <c r="E547" s="234" t="s">
        <v>1070</v>
      </c>
      <c r="F547" s="235" t="s">
        <v>734</v>
      </c>
      <c r="G547" s="275">
        <f>9054167+918960</f>
        <v>9973127</v>
      </c>
      <c r="H547" s="337"/>
      <c r="I547" s="236">
        <f t="shared" si="8"/>
        <v>9973127</v>
      </c>
    </row>
    <row r="548" spans="1:9" ht="32.25" customHeight="1">
      <c r="A548" s="240" t="s">
        <v>1071</v>
      </c>
      <c r="B548" s="234" t="s">
        <v>1130</v>
      </c>
      <c r="C548" s="234">
        <v>10</v>
      </c>
      <c r="D548" s="234" t="s">
        <v>564</v>
      </c>
      <c r="E548" s="312" t="s">
        <v>891</v>
      </c>
      <c r="F548" s="235"/>
      <c r="G548" s="275">
        <f>G549</f>
        <v>2343590</v>
      </c>
      <c r="H548" s="337"/>
      <c r="I548" s="236">
        <f t="shared" si="8"/>
        <v>2343590</v>
      </c>
    </row>
    <row r="549" spans="1:9" ht="48.75" customHeight="1">
      <c r="A549" s="299" t="s">
        <v>892</v>
      </c>
      <c r="B549" s="234" t="s">
        <v>1130</v>
      </c>
      <c r="C549" s="234">
        <v>10</v>
      </c>
      <c r="D549" s="234" t="s">
        <v>564</v>
      </c>
      <c r="E549" s="312" t="s">
        <v>893</v>
      </c>
      <c r="F549" s="235"/>
      <c r="G549" s="275">
        <f>G551</f>
        <v>2343590</v>
      </c>
      <c r="H549" s="337"/>
      <c r="I549" s="236">
        <f t="shared" si="8"/>
        <v>2343590</v>
      </c>
    </row>
    <row r="550" spans="1:9" ht="29.25" customHeight="1">
      <c r="A550" s="255" t="s">
        <v>894</v>
      </c>
      <c r="B550" s="234" t="s">
        <v>1130</v>
      </c>
      <c r="C550" s="234">
        <v>10</v>
      </c>
      <c r="D550" s="234" t="s">
        <v>564</v>
      </c>
      <c r="E550" s="312" t="s">
        <v>895</v>
      </c>
      <c r="F550" s="235"/>
      <c r="G550" s="275">
        <f>G551</f>
        <v>2343590</v>
      </c>
      <c r="H550" s="337"/>
      <c r="I550" s="236">
        <f t="shared" si="8"/>
        <v>2343590</v>
      </c>
    </row>
    <row r="551" spans="1:9" ht="14.25" customHeight="1">
      <c r="A551" s="365" t="s">
        <v>1072</v>
      </c>
      <c r="B551" s="234" t="s">
        <v>1130</v>
      </c>
      <c r="C551" s="234">
        <v>10</v>
      </c>
      <c r="D551" s="234" t="s">
        <v>564</v>
      </c>
      <c r="E551" s="312" t="s">
        <v>1073</v>
      </c>
      <c r="F551" s="235"/>
      <c r="G551" s="275">
        <f>G553+G552</f>
        <v>2343590</v>
      </c>
      <c r="H551" s="337"/>
      <c r="I551" s="236">
        <f t="shared" si="8"/>
        <v>2343590</v>
      </c>
    </row>
    <row r="552" spans="1:9" ht="28.5" customHeight="1" hidden="1">
      <c r="A552" s="304" t="s">
        <v>560</v>
      </c>
      <c r="B552" s="234" t="s">
        <v>1130</v>
      </c>
      <c r="C552" s="234">
        <v>10</v>
      </c>
      <c r="D552" s="234" t="s">
        <v>564</v>
      </c>
      <c r="E552" s="312" t="s">
        <v>1073</v>
      </c>
      <c r="F552" s="235" t="s">
        <v>561</v>
      </c>
      <c r="G552" s="275"/>
      <c r="H552" s="337"/>
      <c r="I552" s="236">
        <f t="shared" si="8"/>
        <v>0</v>
      </c>
    </row>
    <row r="553" spans="1:9" ht="16.5" customHeight="1">
      <c r="A553" s="309" t="s">
        <v>733</v>
      </c>
      <c r="B553" s="234" t="s">
        <v>1130</v>
      </c>
      <c r="C553" s="234">
        <v>10</v>
      </c>
      <c r="D553" s="234" t="s">
        <v>564</v>
      </c>
      <c r="E553" s="312" t="s">
        <v>1073</v>
      </c>
      <c r="F553" s="235" t="s">
        <v>734</v>
      </c>
      <c r="G553" s="275">
        <f>2080810+262780</f>
        <v>2343590</v>
      </c>
      <c r="H553" s="337"/>
      <c r="I553" s="236">
        <f t="shared" si="8"/>
        <v>2343590</v>
      </c>
    </row>
    <row r="554" spans="1:9" ht="33.75" customHeight="1">
      <c r="A554" s="336" t="s">
        <v>1148</v>
      </c>
      <c r="B554" s="234" t="s">
        <v>1149</v>
      </c>
      <c r="C554" s="234"/>
      <c r="D554" s="234"/>
      <c r="E554" s="234"/>
      <c r="F554" s="235"/>
      <c r="G554" s="275">
        <f>G562+G574+G616+G555</f>
        <v>56082668.67</v>
      </c>
      <c r="H554" s="337">
        <f>H562+H574+H616+H555</f>
        <v>1671790.33</v>
      </c>
      <c r="I554" s="236">
        <f t="shared" si="8"/>
        <v>57754459</v>
      </c>
    </row>
    <row r="555" spans="1:9" ht="15" hidden="1">
      <c r="A555" s="240" t="s">
        <v>756</v>
      </c>
      <c r="B555" s="234" t="s">
        <v>1149</v>
      </c>
      <c r="C555" s="234" t="s">
        <v>564</v>
      </c>
      <c r="D555" s="234"/>
      <c r="E555" s="234"/>
      <c r="F555" s="235"/>
      <c r="G555" s="275">
        <f>G556</f>
        <v>0</v>
      </c>
      <c r="H555" s="337">
        <f>H556</f>
        <v>0</v>
      </c>
      <c r="I555" s="236">
        <f t="shared" si="8"/>
        <v>0</v>
      </c>
    </row>
    <row r="556" spans="1:9" ht="15" hidden="1">
      <c r="A556" s="240" t="s">
        <v>797</v>
      </c>
      <c r="B556" s="234" t="s">
        <v>1149</v>
      </c>
      <c r="C556" s="234" t="s">
        <v>564</v>
      </c>
      <c r="D556" s="234" t="s">
        <v>798</v>
      </c>
      <c r="E556" s="234"/>
      <c r="F556" s="235"/>
      <c r="G556" s="275">
        <f>G557</f>
        <v>0</v>
      </c>
      <c r="H556" s="337"/>
      <c r="I556" s="236">
        <f t="shared" si="8"/>
        <v>0</v>
      </c>
    </row>
    <row r="557" spans="1:9" ht="54" customHeight="1" hidden="1">
      <c r="A557" s="352" t="s">
        <v>809</v>
      </c>
      <c r="B557" s="234" t="s">
        <v>1149</v>
      </c>
      <c r="C557" s="234" t="s">
        <v>564</v>
      </c>
      <c r="D557" s="234" t="s">
        <v>798</v>
      </c>
      <c r="E557" s="290" t="s">
        <v>810</v>
      </c>
      <c r="F557" s="235"/>
      <c r="G557" s="275">
        <f>G558</f>
        <v>0</v>
      </c>
      <c r="H557" s="337"/>
      <c r="I557" s="236">
        <f t="shared" si="8"/>
        <v>0</v>
      </c>
    </row>
    <row r="558" spans="1:9" ht="75.75" customHeight="1" hidden="1">
      <c r="A558" s="280" t="s">
        <v>1123</v>
      </c>
      <c r="B558" s="234" t="s">
        <v>1149</v>
      </c>
      <c r="C558" s="234" t="s">
        <v>564</v>
      </c>
      <c r="D558" s="234" t="s">
        <v>798</v>
      </c>
      <c r="E558" s="290" t="s">
        <v>812</v>
      </c>
      <c r="F558" s="235"/>
      <c r="G558" s="275">
        <f>G560</f>
        <v>0</v>
      </c>
      <c r="H558" s="337"/>
      <c r="I558" s="236">
        <f t="shared" si="8"/>
        <v>0</v>
      </c>
    </row>
    <row r="559" spans="1:9" ht="27" customHeight="1" hidden="1">
      <c r="A559" s="255" t="s">
        <v>813</v>
      </c>
      <c r="B559" s="234" t="s">
        <v>1149</v>
      </c>
      <c r="C559" s="234" t="s">
        <v>564</v>
      </c>
      <c r="D559" s="234" t="s">
        <v>798</v>
      </c>
      <c r="E559" s="290" t="s">
        <v>814</v>
      </c>
      <c r="F559" s="235"/>
      <c r="G559" s="275"/>
      <c r="H559" s="337"/>
      <c r="I559" s="236">
        <f>I560</f>
        <v>0</v>
      </c>
    </row>
    <row r="560" spans="1:9" ht="15.75" hidden="1">
      <c r="A560" s="233" t="s">
        <v>815</v>
      </c>
      <c r="B560" s="234" t="s">
        <v>1149</v>
      </c>
      <c r="C560" s="234" t="s">
        <v>564</v>
      </c>
      <c r="D560" s="234" t="s">
        <v>798</v>
      </c>
      <c r="E560" s="290" t="s">
        <v>816</v>
      </c>
      <c r="F560" s="235"/>
      <c r="G560" s="275">
        <f>G561</f>
        <v>0</v>
      </c>
      <c r="H560" s="337"/>
      <c r="I560" s="236">
        <f>G560+H560</f>
        <v>0</v>
      </c>
    </row>
    <row r="561" spans="1:9" ht="28.5" customHeight="1" hidden="1">
      <c r="A561" s="304" t="s">
        <v>560</v>
      </c>
      <c r="B561" s="234" t="s">
        <v>1149</v>
      </c>
      <c r="C561" s="234" t="s">
        <v>564</v>
      </c>
      <c r="D561" s="234" t="s">
        <v>798</v>
      </c>
      <c r="E561" s="290" t="s">
        <v>816</v>
      </c>
      <c r="F561" s="235" t="s">
        <v>561</v>
      </c>
      <c r="G561" s="275"/>
      <c r="H561" s="337"/>
      <c r="I561" s="236">
        <f>G561+H561</f>
        <v>0</v>
      </c>
    </row>
    <row r="562" spans="1:9" ht="15" customHeight="1">
      <c r="A562" s="240" t="s">
        <v>888</v>
      </c>
      <c r="B562" s="234" t="s">
        <v>1149</v>
      </c>
      <c r="C562" s="234" t="s">
        <v>627</v>
      </c>
      <c r="D562" s="234"/>
      <c r="E562" s="234"/>
      <c r="F562" s="235"/>
      <c r="G562" s="275">
        <f aca="true" t="shared" si="9" ref="G562:H564">G563</f>
        <v>19551135.04</v>
      </c>
      <c r="H562" s="337">
        <f t="shared" si="9"/>
        <v>0</v>
      </c>
      <c r="I562" s="236">
        <f t="shared" si="8"/>
        <v>19551135.04</v>
      </c>
    </row>
    <row r="563" spans="1:9" s="227" customFormat="1" ht="15.75">
      <c r="A563" s="283" t="s">
        <v>942</v>
      </c>
      <c r="B563" s="234" t="s">
        <v>1149</v>
      </c>
      <c r="C563" s="234" t="s">
        <v>627</v>
      </c>
      <c r="D563" s="234" t="s">
        <v>551</v>
      </c>
      <c r="E563" s="234"/>
      <c r="F563" s="235"/>
      <c r="G563" s="275">
        <f t="shared" si="9"/>
        <v>19551135.04</v>
      </c>
      <c r="H563" s="337">
        <f t="shared" si="9"/>
        <v>0</v>
      </c>
      <c r="I563" s="236">
        <f t="shared" si="8"/>
        <v>19551135.04</v>
      </c>
    </row>
    <row r="564" spans="1:9" ht="42" customHeight="1">
      <c r="A564" s="240" t="s">
        <v>890</v>
      </c>
      <c r="B564" s="234" t="s">
        <v>1149</v>
      </c>
      <c r="C564" s="234" t="s">
        <v>627</v>
      </c>
      <c r="D564" s="234" t="s">
        <v>551</v>
      </c>
      <c r="E564" s="234" t="s">
        <v>891</v>
      </c>
      <c r="F564" s="235"/>
      <c r="G564" s="275">
        <f t="shared" si="9"/>
        <v>19551135.04</v>
      </c>
      <c r="H564" s="337">
        <f t="shared" si="9"/>
        <v>0</v>
      </c>
      <c r="I564" s="236">
        <f t="shared" si="8"/>
        <v>19551135.04</v>
      </c>
    </row>
    <row r="565" spans="1:9" ht="45" customHeight="1">
      <c r="A565" s="243" t="s">
        <v>943</v>
      </c>
      <c r="B565" s="234" t="s">
        <v>1149</v>
      </c>
      <c r="C565" s="234" t="s">
        <v>627</v>
      </c>
      <c r="D565" s="234" t="s">
        <v>551</v>
      </c>
      <c r="E565" s="234" t="s">
        <v>944</v>
      </c>
      <c r="F565" s="235"/>
      <c r="G565" s="275">
        <f>G566</f>
        <v>19551135.04</v>
      </c>
      <c r="H565" s="337">
        <f>H566</f>
        <v>0</v>
      </c>
      <c r="I565" s="236">
        <f t="shared" si="8"/>
        <v>19551135.04</v>
      </c>
    </row>
    <row r="566" spans="1:9" ht="18.75" customHeight="1">
      <c r="A566" s="255" t="s">
        <v>948</v>
      </c>
      <c r="B566" s="234" t="s">
        <v>1149</v>
      </c>
      <c r="C566" s="234" t="s">
        <v>627</v>
      </c>
      <c r="D566" s="234" t="s">
        <v>551</v>
      </c>
      <c r="E566" s="234" t="s">
        <v>949</v>
      </c>
      <c r="F566" s="235"/>
      <c r="G566" s="275">
        <f>G567</f>
        <v>19551135.04</v>
      </c>
      <c r="H566" s="337">
        <f>H567</f>
        <v>0</v>
      </c>
      <c r="I566" s="236">
        <f t="shared" si="8"/>
        <v>19551135.04</v>
      </c>
    </row>
    <row r="567" spans="1:9" ht="29.25" customHeight="1">
      <c r="A567" s="255" t="s">
        <v>722</v>
      </c>
      <c r="B567" s="234" t="s">
        <v>1149</v>
      </c>
      <c r="C567" s="234" t="s">
        <v>627</v>
      </c>
      <c r="D567" s="234" t="s">
        <v>551</v>
      </c>
      <c r="E567" s="234" t="s">
        <v>950</v>
      </c>
      <c r="F567" s="235"/>
      <c r="G567" s="275">
        <f>G568+G569+G570</f>
        <v>19551135.04</v>
      </c>
      <c r="H567" s="337">
        <f>H568+H569+H570</f>
        <v>0</v>
      </c>
      <c r="I567" s="236">
        <f t="shared" si="8"/>
        <v>19551135.04</v>
      </c>
    </row>
    <row r="568" spans="1:9" ht="41.25" customHeight="1">
      <c r="A568" s="243" t="s">
        <v>548</v>
      </c>
      <c r="B568" s="234" t="s">
        <v>1149</v>
      </c>
      <c r="C568" s="234" t="s">
        <v>627</v>
      </c>
      <c r="D568" s="234" t="s">
        <v>551</v>
      </c>
      <c r="E568" s="234" t="s">
        <v>950</v>
      </c>
      <c r="F568" s="235" t="s">
        <v>549</v>
      </c>
      <c r="G568" s="275">
        <f>17937600+270967-207600</f>
        <v>18000967</v>
      </c>
      <c r="H568" s="337"/>
      <c r="I568" s="236">
        <f t="shared" si="8"/>
        <v>18000967</v>
      </c>
    </row>
    <row r="569" spans="1:9" ht="27" customHeight="1">
      <c r="A569" s="243" t="s">
        <v>560</v>
      </c>
      <c r="B569" s="234" t="s">
        <v>1149</v>
      </c>
      <c r="C569" s="234" t="s">
        <v>627</v>
      </c>
      <c r="D569" s="234" t="s">
        <v>551</v>
      </c>
      <c r="E569" s="234" t="s">
        <v>950</v>
      </c>
      <c r="F569" s="235" t="s">
        <v>561</v>
      </c>
      <c r="G569" s="275">
        <f>688100+61300+400700.04+4900+370000+30000+14718-65250</f>
        <v>1504468.04</v>
      </c>
      <c r="H569" s="337"/>
      <c r="I569" s="236">
        <f t="shared" si="8"/>
        <v>1504468.04</v>
      </c>
    </row>
    <row r="570" spans="1:9" ht="15" customHeight="1">
      <c r="A570" s="255" t="s">
        <v>602</v>
      </c>
      <c r="B570" s="234" t="s">
        <v>1149</v>
      </c>
      <c r="C570" s="234" t="s">
        <v>627</v>
      </c>
      <c r="D570" s="234" t="s">
        <v>551</v>
      </c>
      <c r="E570" s="234" t="s">
        <v>950</v>
      </c>
      <c r="F570" s="235" t="s">
        <v>603</v>
      </c>
      <c r="G570" s="275">
        <v>45700</v>
      </c>
      <c r="H570" s="337"/>
      <c r="I570" s="236">
        <f t="shared" si="8"/>
        <v>45700</v>
      </c>
    </row>
    <row r="571" spans="1:9" ht="15" customHeight="1" hidden="1">
      <c r="A571" s="255" t="s">
        <v>1150</v>
      </c>
      <c r="B571" s="234" t="s">
        <v>1149</v>
      </c>
      <c r="C571" s="234" t="s">
        <v>627</v>
      </c>
      <c r="D571" s="234" t="s">
        <v>541</v>
      </c>
      <c r="E571" s="234" t="s">
        <v>1151</v>
      </c>
      <c r="F571" s="235"/>
      <c r="G571" s="275">
        <f>G573+G572</f>
        <v>0</v>
      </c>
      <c r="H571" s="337">
        <f>H573+H572</f>
        <v>0</v>
      </c>
      <c r="I571" s="236">
        <f t="shared" si="8"/>
        <v>0</v>
      </c>
    </row>
    <row r="572" spans="1:9" ht="39.75" customHeight="1" hidden="1">
      <c r="A572" s="243" t="s">
        <v>548</v>
      </c>
      <c r="B572" s="234" t="s">
        <v>1149</v>
      </c>
      <c r="C572" s="234" t="s">
        <v>627</v>
      </c>
      <c r="D572" s="234" t="s">
        <v>541</v>
      </c>
      <c r="E572" s="234" t="s">
        <v>1151</v>
      </c>
      <c r="F572" s="235" t="s">
        <v>549</v>
      </c>
      <c r="G572" s="275"/>
      <c r="H572" s="337"/>
      <c r="I572" s="236">
        <f t="shared" si="8"/>
        <v>0</v>
      </c>
    </row>
    <row r="573" spans="1:9" ht="15" customHeight="1" hidden="1">
      <c r="A573" s="243" t="s">
        <v>610</v>
      </c>
      <c r="B573" s="234" t="s">
        <v>1149</v>
      </c>
      <c r="C573" s="234" t="s">
        <v>627</v>
      </c>
      <c r="D573" s="234" t="s">
        <v>541</v>
      </c>
      <c r="E573" s="234" t="s">
        <v>1151</v>
      </c>
      <c r="F573" s="235" t="s">
        <v>561</v>
      </c>
      <c r="G573" s="275"/>
      <c r="H573" s="337"/>
      <c r="I573" s="236">
        <f t="shared" si="8"/>
        <v>0</v>
      </c>
    </row>
    <row r="574" spans="1:9" ht="15.75" customHeight="1">
      <c r="A574" s="240" t="s">
        <v>994</v>
      </c>
      <c r="B574" s="234" t="s">
        <v>1149</v>
      </c>
      <c r="C574" s="234" t="s">
        <v>758</v>
      </c>
      <c r="D574" s="234"/>
      <c r="E574" s="234"/>
      <c r="F574" s="235"/>
      <c r="G574" s="275">
        <f>G575+G605</f>
        <v>33987759</v>
      </c>
      <c r="H574" s="337">
        <f>H575+H605</f>
        <v>1671790.33</v>
      </c>
      <c r="I574" s="236">
        <f t="shared" si="8"/>
        <v>35659549.33</v>
      </c>
    </row>
    <row r="575" spans="1:9" ht="15">
      <c r="A575" s="240" t="s">
        <v>1152</v>
      </c>
      <c r="B575" s="234" t="s">
        <v>1149</v>
      </c>
      <c r="C575" s="234" t="s">
        <v>758</v>
      </c>
      <c r="D575" s="234" t="s">
        <v>539</v>
      </c>
      <c r="E575" s="234"/>
      <c r="F575" s="235"/>
      <c r="G575" s="275">
        <f>G576+G590+G601</f>
        <v>29769987</v>
      </c>
      <c r="H575" s="275">
        <f>H576+H590+H601</f>
        <v>1671790.33</v>
      </c>
      <c r="I575" s="236">
        <f t="shared" si="8"/>
        <v>31441777.33</v>
      </c>
    </row>
    <row r="576" spans="1:9" ht="31.5" customHeight="1">
      <c r="A576" s="240" t="s">
        <v>996</v>
      </c>
      <c r="B576" s="234" t="s">
        <v>1149</v>
      </c>
      <c r="C576" s="234" t="s">
        <v>758</v>
      </c>
      <c r="D576" s="234" t="s">
        <v>539</v>
      </c>
      <c r="E576" s="234" t="s">
        <v>997</v>
      </c>
      <c r="F576" s="235"/>
      <c r="G576" s="275">
        <f>G577+G595</f>
        <v>29664987</v>
      </c>
      <c r="H576" s="337">
        <f>H577+H595</f>
        <v>1671790.33</v>
      </c>
      <c r="I576" s="236">
        <f t="shared" si="8"/>
        <v>31336777.33</v>
      </c>
    </row>
    <row r="577" spans="1:9" s="250" customFormat="1" ht="45.75" customHeight="1">
      <c r="A577" s="240" t="s">
        <v>998</v>
      </c>
      <c r="B577" s="234" t="s">
        <v>1149</v>
      </c>
      <c r="C577" s="246" t="s">
        <v>999</v>
      </c>
      <c r="D577" s="246" t="s">
        <v>539</v>
      </c>
      <c r="E577" s="246" t="s">
        <v>1000</v>
      </c>
      <c r="F577" s="253"/>
      <c r="G577" s="338">
        <f>G578</f>
        <v>18948526</v>
      </c>
      <c r="H577" s="338">
        <f>H578</f>
        <v>1671790.33</v>
      </c>
      <c r="I577" s="236">
        <f t="shared" si="8"/>
        <v>20620316.33</v>
      </c>
    </row>
    <row r="578" spans="1:9" ht="39.75" customHeight="1">
      <c r="A578" s="254" t="s">
        <v>1001</v>
      </c>
      <c r="B578" s="234" t="s">
        <v>1149</v>
      </c>
      <c r="C578" s="234" t="s">
        <v>999</v>
      </c>
      <c r="D578" s="234" t="s">
        <v>539</v>
      </c>
      <c r="E578" s="234" t="s">
        <v>1002</v>
      </c>
      <c r="F578" s="235"/>
      <c r="G578" s="275">
        <f>G579+G583+G581+G588</f>
        <v>18948526</v>
      </c>
      <c r="H578" s="275">
        <f>H579+H583+H581+H588</f>
        <v>1671790.33</v>
      </c>
      <c r="I578" s="236">
        <f t="shared" si="8"/>
        <v>20620316.33</v>
      </c>
    </row>
    <row r="579" spans="1:9" ht="15" hidden="1">
      <c r="A579" s="255" t="s">
        <v>1153</v>
      </c>
      <c r="B579" s="234" t="s">
        <v>1149</v>
      </c>
      <c r="C579" s="234" t="s">
        <v>999</v>
      </c>
      <c r="D579" s="234" t="s">
        <v>539</v>
      </c>
      <c r="E579" s="234" t="s">
        <v>1154</v>
      </c>
      <c r="F579" s="235"/>
      <c r="G579" s="275">
        <f>G580</f>
        <v>0</v>
      </c>
      <c r="H579" s="275">
        <f>H580</f>
        <v>0</v>
      </c>
      <c r="I579" s="236">
        <f t="shared" si="8"/>
        <v>0</v>
      </c>
    </row>
    <row r="580" spans="1:9" ht="24.75" hidden="1">
      <c r="A580" s="304" t="s">
        <v>560</v>
      </c>
      <c r="B580" s="234" t="s">
        <v>1149</v>
      </c>
      <c r="C580" s="234" t="s">
        <v>999</v>
      </c>
      <c r="D580" s="234" t="s">
        <v>539</v>
      </c>
      <c r="E580" s="234" t="s">
        <v>1154</v>
      </c>
      <c r="F580" s="235" t="s">
        <v>561</v>
      </c>
      <c r="G580" s="275"/>
      <c r="H580" s="275"/>
      <c r="I580" s="236">
        <f t="shared" si="8"/>
        <v>0</v>
      </c>
    </row>
    <row r="581" spans="1:9" ht="26.25" hidden="1">
      <c r="A581" s="339" t="s">
        <v>1155</v>
      </c>
      <c r="B581" s="234" t="s">
        <v>1149</v>
      </c>
      <c r="C581" s="234" t="s">
        <v>999</v>
      </c>
      <c r="D581" s="234" t="s">
        <v>539</v>
      </c>
      <c r="E581" s="234" t="s">
        <v>1156</v>
      </c>
      <c r="F581" s="235"/>
      <c r="G581" s="275">
        <f>G582</f>
        <v>0</v>
      </c>
      <c r="H581" s="275">
        <f>H582</f>
        <v>0</v>
      </c>
      <c r="I581" s="236">
        <f t="shared" si="8"/>
        <v>0</v>
      </c>
    </row>
    <row r="582" spans="1:9" ht="26.25" hidden="1">
      <c r="A582" s="243" t="s">
        <v>560</v>
      </c>
      <c r="B582" s="246" t="s">
        <v>1149</v>
      </c>
      <c r="C582" s="234" t="s">
        <v>999</v>
      </c>
      <c r="D582" s="234" t="s">
        <v>539</v>
      </c>
      <c r="E582" s="234" t="s">
        <v>1156</v>
      </c>
      <c r="F582" s="235" t="s">
        <v>561</v>
      </c>
      <c r="G582" s="275"/>
      <c r="H582" s="275"/>
      <c r="I582" s="236">
        <f t="shared" si="8"/>
        <v>0</v>
      </c>
    </row>
    <row r="583" spans="1:9" ht="26.25">
      <c r="A583" s="240" t="s">
        <v>722</v>
      </c>
      <c r="B583" s="234" t="s">
        <v>1149</v>
      </c>
      <c r="C583" s="234" t="s">
        <v>999</v>
      </c>
      <c r="D583" s="234" t="s">
        <v>539</v>
      </c>
      <c r="E583" s="234" t="s">
        <v>1003</v>
      </c>
      <c r="F583" s="235"/>
      <c r="G583" s="275">
        <f>G584+G585+G587+G586</f>
        <v>17577526</v>
      </c>
      <c r="H583" s="275">
        <f>H584+H585+H587+H586</f>
        <v>1671790.33</v>
      </c>
      <c r="I583" s="236">
        <f t="shared" si="8"/>
        <v>19249316.33</v>
      </c>
    </row>
    <row r="584" spans="1:9" ht="48" customHeight="1">
      <c r="A584" s="243" t="s">
        <v>548</v>
      </c>
      <c r="B584" s="234" t="s">
        <v>1149</v>
      </c>
      <c r="C584" s="234" t="s">
        <v>999</v>
      </c>
      <c r="D584" s="234" t="s">
        <v>539</v>
      </c>
      <c r="E584" s="234" t="s">
        <v>1003</v>
      </c>
      <c r="F584" s="235" t="s">
        <v>549</v>
      </c>
      <c r="G584" s="275">
        <f>10765600+213161+593331</f>
        <v>11572092</v>
      </c>
      <c r="H584" s="337">
        <v>10000</v>
      </c>
      <c r="I584" s="236">
        <f t="shared" si="8"/>
        <v>11582092</v>
      </c>
    </row>
    <row r="585" spans="1:9" ht="26.25" customHeight="1">
      <c r="A585" s="243" t="s">
        <v>560</v>
      </c>
      <c r="B585" s="234" t="s">
        <v>1149</v>
      </c>
      <c r="C585" s="234" t="s">
        <v>999</v>
      </c>
      <c r="D585" s="234" t="s">
        <v>539</v>
      </c>
      <c r="E585" s="234" t="s">
        <v>1003</v>
      </c>
      <c r="F585" s="235" t="s">
        <v>561</v>
      </c>
      <c r="G585" s="275">
        <f>1009100-20000+20000+800000+1256000+140000+750000+1127800-750000+93728+750000+4906-22000+578000-47000+52000</f>
        <v>5742534</v>
      </c>
      <c r="H585" s="337">
        <f>636648+44690.88+18451.45+712000+250000</f>
        <v>1661790.33</v>
      </c>
      <c r="I585" s="236">
        <f t="shared" si="8"/>
        <v>7404324.33</v>
      </c>
    </row>
    <row r="586" spans="1:9" ht="26.25" customHeight="1">
      <c r="A586" s="281" t="s">
        <v>776</v>
      </c>
      <c r="B586" s="234" t="s">
        <v>1149</v>
      </c>
      <c r="C586" s="234" t="s">
        <v>999</v>
      </c>
      <c r="D586" s="234" t="s">
        <v>539</v>
      </c>
      <c r="E586" s="234" t="s">
        <v>1003</v>
      </c>
      <c r="F586" s="235" t="s">
        <v>777</v>
      </c>
      <c r="G586" s="275">
        <f>200000-128000</f>
        <v>72000</v>
      </c>
      <c r="H586" s="337"/>
      <c r="I586" s="236">
        <f t="shared" si="8"/>
        <v>72000</v>
      </c>
    </row>
    <row r="587" spans="1:9" ht="21" customHeight="1">
      <c r="A587" s="276" t="s">
        <v>602</v>
      </c>
      <c r="B587" s="234" t="s">
        <v>1149</v>
      </c>
      <c r="C587" s="234" t="s">
        <v>999</v>
      </c>
      <c r="D587" s="234" t="s">
        <v>539</v>
      </c>
      <c r="E587" s="234" t="s">
        <v>1003</v>
      </c>
      <c r="F587" s="235" t="s">
        <v>603</v>
      </c>
      <c r="G587" s="275">
        <f>67400+100000-2500+4000+22000</f>
        <v>190900</v>
      </c>
      <c r="H587" s="337"/>
      <c r="I587" s="236">
        <f t="shared" si="8"/>
        <v>190900</v>
      </c>
    </row>
    <row r="588" spans="1:9" ht="31.5" customHeight="1">
      <c r="A588" s="243" t="s">
        <v>1004</v>
      </c>
      <c r="B588" s="234" t="s">
        <v>1149</v>
      </c>
      <c r="C588" s="234" t="s">
        <v>758</v>
      </c>
      <c r="D588" s="234" t="s">
        <v>539</v>
      </c>
      <c r="E588" s="234" t="s">
        <v>1005</v>
      </c>
      <c r="F588" s="235"/>
      <c r="G588" s="275">
        <f>G589</f>
        <v>1371000</v>
      </c>
      <c r="H588" s="337"/>
      <c r="I588" s="236">
        <f t="shared" si="8"/>
        <v>1371000</v>
      </c>
    </row>
    <row r="589" spans="1:9" ht="28.5" customHeight="1">
      <c r="A589" s="243" t="s">
        <v>560</v>
      </c>
      <c r="B589" s="234" t="s">
        <v>1149</v>
      </c>
      <c r="C589" s="234" t="s">
        <v>758</v>
      </c>
      <c r="D589" s="234" t="s">
        <v>539</v>
      </c>
      <c r="E589" s="234" t="s">
        <v>1005</v>
      </c>
      <c r="F589" s="235" t="s">
        <v>561</v>
      </c>
      <c r="G589" s="275">
        <f>68550+1302450</f>
        <v>1371000</v>
      </c>
      <c r="H589" s="337"/>
      <c r="I589" s="236">
        <f t="shared" si="8"/>
        <v>1371000</v>
      </c>
    </row>
    <row r="590" spans="1:9" ht="35.25" customHeight="1">
      <c r="A590" s="298" t="s">
        <v>1011</v>
      </c>
      <c r="B590" s="234" t="s">
        <v>1149</v>
      </c>
      <c r="C590" s="234" t="s">
        <v>999</v>
      </c>
      <c r="D590" s="234" t="s">
        <v>539</v>
      </c>
      <c r="E590" s="234" t="s">
        <v>935</v>
      </c>
      <c r="F590" s="245"/>
      <c r="G590" s="275">
        <f>G591</f>
        <v>5000</v>
      </c>
      <c r="H590" s="337"/>
      <c r="I590" s="236">
        <f t="shared" si="8"/>
        <v>5000</v>
      </c>
    </row>
    <row r="591" spans="1:9" ht="52.5" customHeight="1">
      <c r="A591" s="254" t="s">
        <v>936</v>
      </c>
      <c r="B591" s="234" t="s">
        <v>1149</v>
      </c>
      <c r="C591" s="234" t="s">
        <v>999</v>
      </c>
      <c r="D591" s="234" t="s">
        <v>539</v>
      </c>
      <c r="E591" s="234" t="s">
        <v>937</v>
      </c>
      <c r="F591" s="245"/>
      <c r="G591" s="275">
        <f>G592</f>
        <v>5000</v>
      </c>
      <c r="H591" s="337"/>
      <c r="I591" s="236">
        <f t="shared" si="8"/>
        <v>5000</v>
      </c>
    </row>
    <row r="592" spans="1:9" ht="35.25" customHeight="1">
      <c r="A592" s="286" t="s">
        <v>938</v>
      </c>
      <c r="B592" s="234" t="s">
        <v>1149</v>
      </c>
      <c r="C592" s="234" t="s">
        <v>999</v>
      </c>
      <c r="D592" s="234" t="s">
        <v>539</v>
      </c>
      <c r="E592" s="234" t="s">
        <v>939</v>
      </c>
      <c r="F592" s="245"/>
      <c r="G592" s="275">
        <f>G593</f>
        <v>5000</v>
      </c>
      <c r="H592" s="337"/>
      <c r="I592" s="236">
        <f t="shared" si="8"/>
        <v>5000</v>
      </c>
    </row>
    <row r="593" spans="1:9" ht="24" customHeight="1">
      <c r="A593" s="286" t="s">
        <v>940</v>
      </c>
      <c r="B593" s="234" t="s">
        <v>1149</v>
      </c>
      <c r="C593" s="234" t="s">
        <v>999</v>
      </c>
      <c r="D593" s="234" t="s">
        <v>539</v>
      </c>
      <c r="E593" s="234" t="s">
        <v>941</v>
      </c>
      <c r="F593" s="245"/>
      <c r="G593" s="275">
        <f>G594</f>
        <v>5000</v>
      </c>
      <c r="H593" s="337"/>
      <c r="I593" s="236">
        <f t="shared" si="8"/>
        <v>5000</v>
      </c>
    </row>
    <row r="594" spans="1:9" ht="35.25" customHeight="1">
      <c r="A594" s="304" t="s">
        <v>560</v>
      </c>
      <c r="B594" s="234" t="s">
        <v>1149</v>
      </c>
      <c r="C594" s="234" t="s">
        <v>999</v>
      </c>
      <c r="D594" s="234" t="s">
        <v>539</v>
      </c>
      <c r="E594" s="234" t="s">
        <v>941</v>
      </c>
      <c r="F594" s="235" t="s">
        <v>561</v>
      </c>
      <c r="G594" s="275">
        <v>5000</v>
      </c>
      <c r="H594" s="337"/>
      <c r="I594" s="236">
        <f t="shared" si="8"/>
        <v>5000</v>
      </c>
    </row>
    <row r="595" spans="1:9" ht="38.25" customHeight="1">
      <c r="A595" s="240" t="s">
        <v>1006</v>
      </c>
      <c r="B595" s="234" t="s">
        <v>1149</v>
      </c>
      <c r="C595" s="234" t="s">
        <v>999</v>
      </c>
      <c r="D595" s="234" t="s">
        <v>539</v>
      </c>
      <c r="E595" s="263" t="s">
        <v>1007</v>
      </c>
      <c r="F595" s="235"/>
      <c r="G595" s="275">
        <f>G596</f>
        <v>10716461</v>
      </c>
      <c r="H595" s="337">
        <f>H597+H601</f>
        <v>0</v>
      </c>
      <c r="I595" s="236">
        <f t="shared" si="8"/>
        <v>10716461</v>
      </c>
    </row>
    <row r="596" spans="1:9" ht="28.5" customHeight="1">
      <c r="A596" s="255" t="s">
        <v>1008</v>
      </c>
      <c r="B596" s="234" t="s">
        <v>1149</v>
      </c>
      <c r="C596" s="234" t="s">
        <v>999</v>
      </c>
      <c r="D596" s="234" t="s">
        <v>539</v>
      </c>
      <c r="E596" s="263" t="s">
        <v>1009</v>
      </c>
      <c r="F596" s="235"/>
      <c r="G596" s="275">
        <f>G597</f>
        <v>10716461</v>
      </c>
      <c r="H596" s="337"/>
      <c r="I596" s="236">
        <f t="shared" si="8"/>
        <v>10716461</v>
      </c>
    </row>
    <row r="597" spans="1:9" ht="26.25">
      <c r="A597" s="240" t="s">
        <v>722</v>
      </c>
      <c r="B597" s="234" t="s">
        <v>1149</v>
      </c>
      <c r="C597" s="234" t="s">
        <v>999</v>
      </c>
      <c r="D597" s="234" t="s">
        <v>539</v>
      </c>
      <c r="E597" s="263" t="s">
        <v>1010</v>
      </c>
      <c r="F597" s="235"/>
      <c r="G597" s="275">
        <f>G598+G599+G600</f>
        <v>10716461</v>
      </c>
      <c r="H597" s="337">
        <f>H598+H599+H600</f>
        <v>0</v>
      </c>
      <c r="I597" s="236">
        <f t="shared" si="8"/>
        <v>10716461</v>
      </c>
    </row>
    <row r="598" spans="1:9" ht="40.5" customHeight="1">
      <c r="A598" s="243" t="s">
        <v>548</v>
      </c>
      <c r="B598" s="234" t="s">
        <v>1149</v>
      </c>
      <c r="C598" s="234" t="s">
        <v>999</v>
      </c>
      <c r="D598" s="234" t="s">
        <v>539</v>
      </c>
      <c r="E598" s="263" t="s">
        <v>1010</v>
      </c>
      <c r="F598" s="235" t="s">
        <v>549</v>
      </c>
      <c r="G598" s="275">
        <f>8967000+185161</f>
        <v>9152161</v>
      </c>
      <c r="H598" s="337"/>
      <c r="I598" s="236">
        <f t="shared" si="8"/>
        <v>9152161</v>
      </c>
    </row>
    <row r="599" spans="1:9" ht="27" customHeight="1">
      <c r="A599" s="304" t="s">
        <v>560</v>
      </c>
      <c r="B599" s="234" t="s">
        <v>1149</v>
      </c>
      <c r="C599" s="234" t="s">
        <v>999</v>
      </c>
      <c r="D599" s="234" t="s">
        <v>539</v>
      </c>
      <c r="E599" s="263" t="s">
        <v>1010</v>
      </c>
      <c r="F599" s="235" t="s">
        <v>561</v>
      </c>
      <c r="G599" s="275">
        <f>230200+4500+72000+800000+136000+187000+130000</f>
        <v>1559700</v>
      </c>
      <c r="H599" s="337"/>
      <c r="I599" s="236">
        <f t="shared" si="8"/>
        <v>1559700</v>
      </c>
    </row>
    <row r="600" spans="1:9" ht="15">
      <c r="A600" s="276" t="s">
        <v>602</v>
      </c>
      <c r="B600" s="234" t="s">
        <v>1149</v>
      </c>
      <c r="C600" s="234" t="s">
        <v>999</v>
      </c>
      <c r="D600" s="234" t="s">
        <v>539</v>
      </c>
      <c r="E600" s="263" t="s">
        <v>1010</v>
      </c>
      <c r="F600" s="235" t="s">
        <v>603</v>
      </c>
      <c r="G600" s="275">
        <f>2100+2500</f>
        <v>4600</v>
      </c>
      <c r="H600" s="337"/>
      <c r="I600" s="236">
        <f t="shared" si="8"/>
        <v>4600</v>
      </c>
    </row>
    <row r="601" spans="1:9" ht="25.5">
      <c r="A601" s="303" t="s">
        <v>988</v>
      </c>
      <c r="B601" s="234" t="s">
        <v>1149</v>
      </c>
      <c r="C601" s="234" t="s">
        <v>999</v>
      </c>
      <c r="D601" s="234" t="s">
        <v>539</v>
      </c>
      <c r="E601" s="263" t="s">
        <v>989</v>
      </c>
      <c r="F601" s="235"/>
      <c r="G601" s="275">
        <f>G602</f>
        <v>100000</v>
      </c>
      <c r="H601" s="337"/>
      <c r="I601" s="236">
        <f t="shared" si="8"/>
        <v>100000</v>
      </c>
    </row>
    <row r="602" spans="1:9" ht="35.25" customHeight="1">
      <c r="A602" s="243" t="s">
        <v>990</v>
      </c>
      <c r="B602" s="234" t="s">
        <v>1149</v>
      </c>
      <c r="C602" s="234" t="s">
        <v>999</v>
      </c>
      <c r="D602" s="234" t="s">
        <v>539</v>
      </c>
      <c r="E602" s="263" t="s">
        <v>991</v>
      </c>
      <c r="F602" s="235"/>
      <c r="G602" s="275">
        <f>G603</f>
        <v>100000</v>
      </c>
      <c r="H602" s="337"/>
      <c r="I602" s="236">
        <f>G602+H602</f>
        <v>100000</v>
      </c>
    </row>
    <row r="603" spans="1:9" ht="21.75" customHeight="1">
      <c r="A603" s="243" t="s">
        <v>1012</v>
      </c>
      <c r="B603" s="234" t="s">
        <v>1149</v>
      </c>
      <c r="C603" s="234" t="s">
        <v>999</v>
      </c>
      <c r="D603" s="234" t="s">
        <v>539</v>
      </c>
      <c r="E603" s="244" t="s">
        <v>1013</v>
      </c>
      <c r="F603" s="235"/>
      <c r="G603" s="275">
        <f>G604</f>
        <v>100000</v>
      </c>
      <c r="H603" s="337"/>
      <c r="I603" s="236">
        <f>G603+H603</f>
        <v>100000</v>
      </c>
    </row>
    <row r="604" spans="1:9" ht="27" customHeight="1">
      <c r="A604" s="304" t="s">
        <v>560</v>
      </c>
      <c r="B604" s="234" t="s">
        <v>1149</v>
      </c>
      <c r="C604" s="234" t="s">
        <v>999</v>
      </c>
      <c r="D604" s="234" t="s">
        <v>539</v>
      </c>
      <c r="E604" s="244" t="s">
        <v>1013</v>
      </c>
      <c r="F604" s="235" t="s">
        <v>561</v>
      </c>
      <c r="G604" s="275">
        <f>100000</f>
        <v>100000</v>
      </c>
      <c r="H604" s="337"/>
      <c r="I604" s="236">
        <f>G604+H604</f>
        <v>100000</v>
      </c>
    </row>
    <row r="605" spans="1:9" ht="15">
      <c r="A605" s="240" t="s">
        <v>1014</v>
      </c>
      <c r="B605" s="234" t="s">
        <v>1149</v>
      </c>
      <c r="C605" s="234" t="s">
        <v>758</v>
      </c>
      <c r="D605" s="234" t="s">
        <v>564</v>
      </c>
      <c r="E605" s="234"/>
      <c r="F605" s="235"/>
      <c r="G605" s="275">
        <f>G606</f>
        <v>4217772</v>
      </c>
      <c r="H605" s="337"/>
      <c r="I605" s="236">
        <f aca="true" t="shared" si="10" ref="I605:I628">G605+H605</f>
        <v>4217772</v>
      </c>
    </row>
    <row r="606" spans="1:9" ht="31.5" customHeight="1">
      <c r="A606" s="240" t="s">
        <v>996</v>
      </c>
      <c r="B606" s="234" t="s">
        <v>1149</v>
      </c>
      <c r="C606" s="234" t="s">
        <v>758</v>
      </c>
      <c r="D606" s="234" t="s">
        <v>564</v>
      </c>
      <c r="E606" s="234" t="s">
        <v>997</v>
      </c>
      <c r="F606" s="235"/>
      <c r="G606" s="275">
        <f>G607</f>
        <v>4217772</v>
      </c>
      <c r="H606" s="337"/>
      <c r="I606" s="236">
        <f t="shared" si="10"/>
        <v>4217772</v>
      </c>
    </row>
    <row r="607" spans="1:9" ht="58.5" customHeight="1">
      <c r="A607" s="240" t="s">
        <v>1015</v>
      </c>
      <c r="B607" s="234" t="s">
        <v>1149</v>
      </c>
      <c r="C607" s="234" t="s">
        <v>758</v>
      </c>
      <c r="D607" s="234" t="s">
        <v>564</v>
      </c>
      <c r="E607" s="234" t="s">
        <v>1016</v>
      </c>
      <c r="F607" s="235"/>
      <c r="G607" s="275">
        <f>G608+G613</f>
        <v>4217772</v>
      </c>
      <c r="H607" s="345"/>
      <c r="I607" s="236">
        <f t="shared" si="10"/>
        <v>4217772</v>
      </c>
    </row>
    <row r="608" spans="1:9" ht="32.25" customHeight="1">
      <c r="A608" s="305" t="s">
        <v>1017</v>
      </c>
      <c r="B608" s="234" t="s">
        <v>1149</v>
      </c>
      <c r="C608" s="234" t="s">
        <v>758</v>
      </c>
      <c r="D608" s="234" t="s">
        <v>564</v>
      </c>
      <c r="E608" s="234" t="s">
        <v>1018</v>
      </c>
      <c r="F608" s="235"/>
      <c r="G608" s="275">
        <f>G609</f>
        <v>4164900</v>
      </c>
      <c r="H608" s="337"/>
      <c r="I608" s="236">
        <f t="shared" si="10"/>
        <v>4164900</v>
      </c>
    </row>
    <row r="609" spans="1:9" ht="32.25" customHeight="1">
      <c r="A609" s="240" t="s">
        <v>722</v>
      </c>
      <c r="B609" s="234" t="s">
        <v>1149</v>
      </c>
      <c r="C609" s="234" t="s">
        <v>758</v>
      </c>
      <c r="D609" s="234" t="s">
        <v>564</v>
      </c>
      <c r="E609" s="234" t="s">
        <v>1019</v>
      </c>
      <c r="F609" s="235"/>
      <c r="G609" s="275">
        <f>G610+G611+G612</f>
        <v>4164900</v>
      </c>
      <c r="H609" s="337"/>
      <c r="I609" s="236">
        <f t="shared" si="10"/>
        <v>4164900</v>
      </c>
    </row>
    <row r="610" spans="1:9" ht="42.75" customHeight="1">
      <c r="A610" s="243" t="s">
        <v>548</v>
      </c>
      <c r="B610" s="234" t="s">
        <v>1149</v>
      </c>
      <c r="C610" s="234" t="s">
        <v>758</v>
      </c>
      <c r="D610" s="234" t="s">
        <v>564</v>
      </c>
      <c r="E610" s="234" t="s">
        <v>1019</v>
      </c>
      <c r="F610" s="235" t="s">
        <v>549</v>
      </c>
      <c r="G610" s="275">
        <f>3411200+207600</f>
        <v>3618800</v>
      </c>
      <c r="H610" s="337"/>
      <c r="I610" s="236">
        <f t="shared" si="10"/>
        <v>3618800</v>
      </c>
    </row>
    <row r="611" spans="1:9" ht="26.25" customHeight="1">
      <c r="A611" s="304" t="s">
        <v>560</v>
      </c>
      <c r="B611" s="234" t="s">
        <v>1149</v>
      </c>
      <c r="C611" s="234" t="s">
        <v>758</v>
      </c>
      <c r="D611" s="234" t="s">
        <v>564</v>
      </c>
      <c r="E611" s="234" t="s">
        <v>1019</v>
      </c>
      <c r="F611" s="235" t="s">
        <v>561</v>
      </c>
      <c r="G611" s="275">
        <f>230100-80000+15000+310000+19000+50000</f>
        <v>544100</v>
      </c>
      <c r="H611" s="337"/>
      <c r="I611" s="236">
        <f t="shared" si="10"/>
        <v>544100</v>
      </c>
    </row>
    <row r="612" spans="1:9" ht="16.5" customHeight="1">
      <c r="A612" s="276" t="s">
        <v>602</v>
      </c>
      <c r="B612" s="234" t="s">
        <v>1149</v>
      </c>
      <c r="C612" s="234" t="s">
        <v>758</v>
      </c>
      <c r="D612" s="234" t="s">
        <v>564</v>
      </c>
      <c r="E612" s="234" t="s">
        <v>1019</v>
      </c>
      <c r="F612" s="235" t="s">
        <v>603</v>
      </c>
      <c r="G612" s="275">
        <v>2000</v>
      </c>
      <c r="H612" s="337"/>
      <c r="I612" s="236">
        <f t="shared" si="10"/>
        <v>2000</v>
      </c>
    </row>
    <row r="613" spans="1:9" ht="41.25" customHeight="1">
      <c r="A613" s="306" t="s">
        <v>1020</v>
      </c>
      <c r="B613" s="234" t="s">
        <v>1149</v>
      </c>
      <c r="C613" s="234" t="s">
        <v>758</v>
      </c>
      <c r="D613" s="234" t="s">
        <v>564</v>
      </c>
      <c r="E613" s="234" t="s">
        <v>1021</v>
      </c>
      <c r="F613" s="235"/>
      <c r="G613" s="275">
        <f>G614</f>
        <v>52872</v>
      </c>
      <c r="H613" s="337"/>
      <c r="I613" s="236">
        <f t="shared" si="10"/>
        <v>52872</v>
      </c>
    </row>
    <row r="614" spans="1:9" ht="42.75" customHeight="1">
      <c r="A614" s="241" t="s">
        <v>1022</v>
      </c>
      <c r="B614" s="234" t="s">
        <v>1149</v>
      </c>
      <c r="C614" s="234" t="s">
        <v>758</v>
      </c>
      <c r="D614" s="234" t="s">
        <v>564</v>
      </c>
      <c r="E614" s="234" t="s">
        <v>1023</v>
      </c>
      <c r="F614" s="235"/>
      <c r="G614" s="275">
        <f>G615</f>
        <v>52872</v>
      </c>
      <c r="H614" s="337"/>
      <c r="I614" s="236">
        <f t="shared" si="10"/>
        <v>52872</v>
      </c>
    </row>
    <row r="615" spans="1:9" ht="42" customHeight="1">
      <c r="A615" s="243" t="s">
        <v>548</v>
      </c>
      <c r="B615" s="234" t="s">
        <v>1149</v>
      </c>
      <c r="C615" s="234" t="s">
        <v>758</v>
      </c>
      <c r="D615" s="234" t="s">
        <v>564</v>
      </c>
      <c r="E615" s="234" t="s">
        <v>1023</v>
      </c>
      <c r="F615" s="235" t="s">
        <v>549</v>
      </c>
      <c r="G615" s="275">
        <v>52872</v>
      </c>
      <c r="H615" s="345"/>
      <c r="I615" s="236">
        <f t="shared" si="10"/>
        <v>52872</v>
      </c>
    </row>
    <row r="616" spans="1:9" ht="15">
      <c r="A616" s="240" t="s">
        <v>1028</v>
      </c>
      <c r="B616" s="234" t="s">
        <v>1149</v>
      </c>
      <c r="C616" s="234">
        <v>10</v>
      </c>
      <c r="D616" s="234"/>
      <c r="E616" s="234"/>
      <c r="F616" s="235"/>
      <c r="G616" s="275">
        <f>G617</f>
        <v>2543774.63</v>
      </c>
      <c r="H616" s="337"/>
      <c r="I616" s="236">
        <f t="shared" si="10"/>
        <v>2543774.63</v>
      </c>
    </row>
    <row r="617" spans="1:9" ht="15">
      <c r="A617" s="240" t="s">
        <v>1038</v>
      </c>
      <c r="B617" s="234" t="s">
        <v>1149</v>
      </c>
      <c r="C617" s="234">
        <v>10</v>
      </c>
      <c r="D617" s="234" t="s">
        <v>551</v>
      </c>
      <c r="E617" s="234"/>
      <c r="F617" s="235"/>
      <c r="G617" s="275">
        <f>G623+G618</f>
        <v>2543774.63</v>
      </c>
      <c r="H617" s="337"/>
      <c r="I617" s="236">
        <f t="shared" si="10"/>
        <v>2543774.63</v>
      </c>
    </row>
    <row r="618" spans="1:9" ht="33.75" customHeight="1">
      <c r="A618" s="240" t="s">
        <v>996</v>
      </c>
      <c r="B618" s="234" t="s">
        <v>1149</v>
      </c>
      <c r="C618" s="234">
        <v>10</v>
      </c>
      <c r="D618" s="234" t="s">
        <v>551</v>
      </c>
      <c r="E618" s="234" t="s">
        <v>997</v>
      </c>
      <c r="F618" s="235"/>
      <c r="G618" s="275">
        <f>G619</f>
        <v>1575907</v>
      </c>
      <c r="H618" s="337"/>
      <c r="I618" s="236">
        <f>G618+H618</f>
        <v>1575907</v>
      </c>
    </row>
    <row r="619" spans="1:9" ht="57.75" customHeight="1">
      <c r="A619" s="240" t="s">
        <v>1015</v>
      </c>
      <c r="B619" s="234" t="s">
        <v>1149</v>
      </c>
      <c r="C619" s="234">
        <v>10</v>
      </c>
      <c r="D619" s="234" t="s">
        <v>551</v>
      </c>
      <c r="E619" s="234" t="s">
        <v>1016</v>
      </c>
      <c r="F619" s="235"/>
      <c r="G619" s="275">
        <f>G620</f>
        <v>1575907</v>
      </c>
      <c r="H619" s="337"/>
      <c r="I619" s="236">
        <f>G619+H619</f>
        <v>1575907</v>
      </c>
    </row>
    <row r="620" spans="1:9" ht="30" customHeight="1">
      <c r="A620" s="269" t="s">
        <v>1039</v>
      </c>
      <c r="B620" s="234" t="s">
        <v>1149</v>
      </c>
      <c r="C620" s="234">
        <v>10</v>
      </c>
      <c r="D620" s="234" t="s">
        <v>551</v>
      </c>
      <c r="E620" s="234" t="s">
        <v>1040</v>
      </c>
      <c r="F620" s="235"/>
      <c r="G620" s="275">
        <f>G621</f>
        <v>1575907</v>
      </c>
      <c r="H620" s="337"/>
      <c r="I620" s="236">
        <f>G620+H620</f>
        <v>1575907</v>
      </c>
    </row>
    <row r="621" spans="1:9" ht="47.25" customHeight="1">
      <c r="A621" s="339" t="s">
        <v>1041</v>
      </c>
      <c r="B621" s="234" t="s">
        <v>1149</v>
      </c>
      <c r="C621" s="234">
        <v>10</v>
      </c>
      <c r="D621" s="234" t="s">
        <v>551</v>
      </c>
      <c r="E621" s="259" t="s">
        <v>1042</v>
      </c>
      <c r="F621" s="235"/>
      <c r="G621" s="275">
        <f>G622</f>
        <v>1575907</v>
      </c>
      <c r="H621" s="337"/>
      <c r="I621" s="236">
        <f>G621+H621</f>
        <v>1575907</v>
      </c>
    </row>
    <row r="622" spans="1:9" ht="18" customHeight="1">
      <c r="A622" s="276" t="s">
        <v>733</v>
      </c>
      <c r="B622" s="234" t="s">
        <v>1149</v>
      </c>
      <c r="C622" s="234">
        <v>10</v>
      </c>
      <c r="D622" s="234" t="s">
        <v>551</v>
      </c>
      <c r="E622" s="259" t="s">
        <v>1042</v>
      </c>
      <c r="F622" s="235" t="s">
        <v>734</v>
      </c>
      <c r="G622" s="275">
        <v>1575907</v>
      </c>
      <c r="H622" s="345"/>
      <c r="I622" s="236">
        <f>G622+H622</f>
        <v>1575907</v>
      </c>
    </row>
    <row r="623" spans="1:9" ht="31.5" customHeight="1">
      <c r="A623" s="366" t="s">
        <v>890</v>
      </c>
      <c r="B623" s="234" t="s">
        <v>1149</v>
      </c>
      <c r="C623" s="367">
        <v>10</v>
      </c>
      <c r="D623" s="367" t="s">
        <v>551</v>
      </c>
      <c r="E623" s="367" t="s">
        <v>891</v>
      </c>
      <c r="F623" s="368"/>
      <c r="G623" s="275">
        <f>G624</f>
        <v>967867.63</v>
      </c>
      <c r="H623" s="337"/>
      <c r="I623" s="369">
        <f t="shared" si="10"/>
        <v>967867.63</v>
      </c>
    </row>
    <row r="624" spans="1:9" ht="54.75" customHeight="1">
      <c r="A624" s="243" t="s">
        <v>943</v>
      </c>
      <c r="B624" s="234" t="s">
        <v>1149</v>
      </c>
      <c r="C624" s="234" t="s">
        <v>1029</v>
      </c>
      <c r="D624" s="234" t="s">
        <v>551</v>
      </c>
      <c r="E624" s="234" t="s">
        <v>944</v>
      </c>
      <c r="F624" s="235"/>
      <c r="G624" s="275">
        <f>G625</f>
        <v>967867.63</v>
      </c>
      <c r="H624" s="337"/>
      <c r="I624" s="236">
        <f t="shared" si="10"/>
        <v>967867.63</v>
      </c>
    </row>
    <row r="625" spans="1:9" ht="29.25" customHeight="1">
      <c r="A625" s="310" t="s">
        <v>1059</v>
      </c>
      <c r="B625" s="234" t="s">
        <v>1149</v>
      </c>
      <c r="C625" s="234" t="s">
        <v>1029</v>
      </c>
      <c r="D625" s="234" t="s">
        <v>551</v>
      </c>
      <c r="E625" s="234" t="s">
        <v>1060</v>
      </c>
      <c r="F625" s="235"/>
      <c r="G625" s="275">
        <f>G626</f>
        <v>967867.63</v>
      </c>
      <c r="H625" s="337"/>
      <c r="I625" s="236">
        <f t="shared" si="10"/>
        <v>967867.63</v>
      </c>
    </row>
    <row r="626" spans="1:9" ht="53.25" customHeight="1">
      <c r="A626" s="292" t="s">
        <v>1061</v>
      </c>
      <c r="B626" s="234" t="s">
        <v>1149</v>
      </c>
      <c r="C626" s="234" t="s">
        <v>1029</v>
      </c>
      <c r="D626" s="234" t="s">
        <v>551</v>
      </c>
      <c r="E626" s="234" t="s">
        <v>1062</v>
      </c>
      <c r="F626" s="235"/>
      <c r="G626" s="275">
        <f>G627+G628</f>
        <v>967867.63</v>
      </c>
      <c r="H626" s="337"/>
      <c r="I626" s="236">
        <f t="shared" si="10"/>
        <v>967867.63</v>
      </c>
    </row>
    <row r="627" spans="1:9" ht="20.25" customHeight="1" hidden="1">
      <c r="A627" s="243" t="s">
        <v>610</v>
      </c>
      <c r="B627" s="234" t="s">
        <v>1149</v>
      </c>
      <c r="C627" s="234">
        <v>10</v>
      </c>
      <c r="D627" s="234" t="s">
        <v>551</v>
      </c>
      <c r="E627" s="234" t="s">
        <v>1157</v>
      </c>
      <c r="F627" s="235" t="s">
        <v>561</v>
      </c>
      <c r="G627" s="275"/>
      <c r="H627" s="337"/>
      <c r="I627" s="236">
        <f t="shared" si="10"/>
        <v>0</v>
      </c>
    </row>
    <row r="628" spans="1:9" ht="19.5" customHeight="1" thickBot="1">
      <c r="A628" s="370" t="s">
        <v>733</v>
      </c>
      <c r="B628" s="316" t="s">
        <v>1149</v>
      </c>
      <c r="C628" s="316">
        <v>10</v>
      </c>
      <c r="D628" s="316" t="s">
        <v>551</v>
      </c>
      <c r="E628" s="316" t="s">
        <v>1062</v>
      </c>
      <c r="F628" s="371" t="s">
        <v>734</v>
      </c>
      <c r="G628" s="372">
        <f>1100000-132132.37</f>
        <v>967867.63</v>
      </c>
      <c r="H628" s="373"/>
      <c r="I628" s="318">
        <f t="shared" si="10"/>
        <v>967867.63</v>
      </c>
    </row>
    <row r="629" spans="2:6" ht="15">
      <c r="B629" s="319"/>
      <c r="C629" s="319"/>
      <c r="D629" s="319"/>
      <c r="E629" s="319"/>
      <c r="F629" s="320"/>
    </row>
    <row r="630" spans="2:6" ht="15">
      <c r="B630" s="319"/>
      <c r="C630" s="319"/>
      <c r="D630" s="319"/>
      <c r="E630" s="319"/>
      <c r="F630" s="320"/>
    </row>
    <row r="631" spans="2:6" ht="15">
      <c r="B631" s="319"/>
      <c r="C631" s="319"/>
      <c r="D631" s="319"/>
      <c r="E631" s="319"/>
      <c r="F631" s="320"/>
    </row>
    <row r="632" spans="2:6" ht="15">
      <c r="B632" s="319"/>
      <c r="C632" s="319"/>
      <c r="D632" s="319"/>
      <c r="E632" s="319"/>
      <c r="F632" s="320"/>
    </row>
    <row r="633" spans="2:6" ht="15">
      <c r="B633" s="319"/>
      <c r="C633" s="319"/>
      <c r="D633" s="319"/>
      <c r="E633" s="319"/>
      <c r="F633" s="320"/>
    </row>
    <row r="634" spans="2:6" ht="15">
      <c r="B634" s="319"/>
      <c r="C634" s="319"/>
      <c r="D634" s="319"/>
      <c r="E634" s="319"/>
      <c r="F634" s="320"/>
    </row>
    <row r="635" spans="2:6" ht="15">
      <c r="B635" s="319"/>
      <c r="C635" s="319"/>
      <c r="D635" s="319"/>
      <c r="E635" s="319"/>
      <c r="F635" s="320"/>
    </row>
    <row r="636" spans="2:6" ht="15">
      <c r="B636" s="319"/>
      <c r="C636" s="319"/>
      <c r="D636" s="319"/>
      <c r="E636" s="319"/>
      <c r="F636" s="320"/>
    </row>
    <row r="637" spans="2:6" ht="15">
      <c r="B637" s="319"/>
      <c r="C637" s="319"/>
      <c r="D637" s="319"/>
      <c r="E637" s="319"/>
      <c r="F637" s="320"/>
    </row>
    <row r="638" spans="2:6" ht="15">
      <c r="B638" s="319"/>
      <c r="C638" s="319"/>
      <c r="D638" s="319"/>
      <c r="E638" s="319"/>
      <c r="F638" s="320"/>
    </row>
    <row r="639" spans="2:6" ht="15">
      <c r="B639" s="319"/>
      <c r="C639" s="319"/>
      <c r="D639" s="319"/>
      <c r="E639" s="319"/>
      <c r="F639" s="320"/>
    </row>
    <row r="640" ht="15">
      <c r="B640" s="319"/>
    </row>
    <row r="641" ht="15">
      <c r="B641" s="319"/>
    </row>
    <row r="642" ht="15">
      <c r="B642" s="319"/>
    </row>
    <row r="643" ht="15">
      <c r="B643" s="319"/>
    </row>
    <row r="644" ht="15">
      <c r="B644" s="319"/>
    </row>
  </sheetData>
  <sheetProtection/>
  <mergeCells count="12">
    <mergeCell ref="D10:D11"/>
    <mergeCell ref="E10:E11"/>
    <mergeCell ref="F10:F11"/>
    <mergeCell ref="G10:G11"/>
    <mergeCell ref="H10:H11"/>
    <mergeCell ref="I10:I11"/>
    <mergeCell ref="B5:I5"/>
    <mergeCell ref="B6:I6"/>
    <mergeCell ref="A8:I8"/>
    <mergeCell ref="A10:A11"/>
    <mergeCell ref="B10:B11"/>
    <mergeCell ref="C10:C11"/>
  </mergeCells>
  <hyperlinks>
    <hyperlink ref="A276" r:id="rId1" display="consultantplus://offline/ref=C6EF3AE28B6C46D1117CBBA251A07B11C6C7C5768D606C8B0E322DA1BBA42282C9440EEF08E6CC43400230U6VFM"/>
  </hyperlinks>
  <printOptions/>
  <pageMargins left="0.49" right="0.2" top="0.46" bottom="0.42" header="0.31496062992125984" footer="0.31496062992125984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9"/>
  <sheetViews>
    <sheetView tabSelected="1" zoomScalePageLayoutView="0" workbookViewId="0" topLeftCell="A4">
      <selection activeCell="D24" sqref="D24"/>
    </sheetView>
  </sheetViews>
  <sheetFormatPr defaultColWidth="9.00390625" defaultRowHeight="12.75"/>
  <cols>
    <col min="1" max="1" width="68.625" style="218" customWidth="1"/>
    <col min="2" max="2" width="20.125" style="319" customWidth="1"/>
    <col min="3" max="3" width="6.375" style="322" customWidth="1"/>
    <col min="4" max="4" width="19.375" style="375" customWidth="1"/>
    <col min="5" max="5" width="24.375" style="214" customWidth="1"/>
    <col min="6" max="6" width="18.125" style="214" customWidth="1"/>
    <col min="7" max="7" width="13.75390625" style="214" customWidth="1"/>
    <col min="8" max="8" width="18.375" style="214" customWidth="1"/>
    <col min="9" max="16384" width="9.125" style="214" customWidth="1"/>
  </cols>
  <sheetData>
    <row r="1" spans="2:5" ht="15.75">
      <c r="B1" s="374" t="s">
        <v>1158</v>
      </c>
      <c r="C1" s="215"/>
      <c r="E1" s="216"/>
    </row>
    <row r="2" spans="2:7" ht="15.75" customHeight="1">
      <c r="B2" s="374" t="s">
        <v>520</v>
      </c>
      <c r="C2" s="215"/>
      <c r="E2" s="216"/>
      <c r="F2" s="227"/>
      <c r="G2" s="227"/>
    </row>
    <row r="3" spans="2:7" ht="15.75">
      <c r="B3" s="376" t="s">
        <v>521</v>
      </c>
      <c r="C3" s="221"/>
      <c r="E3" s="222"/>
      <c r="F3" s="227"/>
      <c r="G3" s="227"/>
    </row>
    <row r="4" spans="1:7" ht="18" customHeight="1">
      <c r="A4" s="327"/>
      <c r="B4" s="376" t="s">
        <v>1159</v>
      </c>
      <c r="C4" s="221"/>
      <c r="E4" s="222"/>
      <c r="F4" s="227"/>
      <c r="G4" s="227"/>
    </row>
    <row r="5" spans="1:9" ht="46.5" customHeight="1">
      <c r="A5" s="377"/>
      <c r="B5" s="429" t="s">
        <v>523</v>
      </c>
      <c r="C5" s="429"/>
      <c r="D5" s="429"/>
      <c r="E5" s="377"/>
      <c r="F5" s="377"/>
      <c r="G5" s="377"/>
      <c r="H5" s="377"/>
      <c r="I5" s="377"/>
    </row>
    <row r="6" spans="1:11" ht="39" customHeight="1">
      <c r="A6" s="328"/>
      <c r="B6" s="430" t="s">
        <v>1160</v>
      </c>
      <c r="C6" s="430"/>
      <c r="D6" s="430"/>
      <c r="E6" s="218"/>
      <c r="F6" s="218"/>
      <c r="G6" s="218"/>
      <c r="H6" s="218"/>
      <c r="I6" s="218"/>
      <c r="J6" s="377"/>
      <c r="K6" s="377"/>
    </row>
    <row r="7" spans="2:9" ht="7.5" customHeight="1">
      <c r="B7" s="378"/>
      <c r="C7" s="223"/>
      <c r="D7" s="379"/>
      <c r="E7" s="218"/>
      <c r="F7" s="380"/>
      <c r="G7" s="218"/>
      <c r="H7" s="218"/>
      <c r="I7" s="218"/>
    </row>
    <row r="8" spans="1:11" ht="54" customHeight="1">
      <c r="A8" s="448" t="s">
        <v>1161</v>
      </c>
      <c r="B8" s="448"/>
      <c r="C8" s="448"/>
      <c r="D8" s="448"/>
      <c r="F8" s="448"/>
      <c r="G8" s="448"/>
      <c r="H8" s="448"/>
      <c r="I8" s="448"/>
      <c r="J8" s="448"/>
      <c r="K8" s="448"/>
    </row>
    <row r="9" spans="3:4" ht="17.25" customHeight="1" thickBot="1">
      <c r="C9" s="381"/>
      <c r="D9" s="226" t="s">
        <v>526</v>
      </c>
    </row>
    <row r="10" spans="1:6" ht="27" customHeight="1">
      <c r="A10" s="449" t="s">
        <v>527</v>
      </c>
      <c r="B10" s="451" t="s">
        <v>530</v>
      </c>
      <c r="C10" s="453" t="s">
        <v>531</v>
      </c>
      <c r="D10" s="438" t="s">
        <v>63</v>
      </c>
      <c r="E10" s="242"/>
      <c r="F10" s="325"/>
    </row>
    <row r="11" spans="1:4" ht="3.75" customHeight="1" thickBot="1">
      <c r="A11" s="450"/>
      <c r="B11" s="452"/>
      <c r="C11" s="454"/>
      <c r="D11" s="439"/>
    </row>
    <row r="12" spans="1:6" s="232" customFormat="1" ht="12.75" customHeight="1">
      <c r="A12" s="382">
        <v>1</v>
      </c>
      <c r="B12" s="383" t="s">
        <v>533</v>
      </c>
      <c r="C12" s="383" t="s">
        <v>534</v>
      </c>
      <c r="D12" s="384" t="s">
        <v>535</v>
      </c>
      <c r="E12" s="385"/>
      <c r="F12" s="386"/>
    </row>
    <row r="13" spans="1:6" s="237" customFormat="1" ht="20.25">
      <c r="A13" s="233" t="s">
        <v>537</v>
      </c>
      <c r="B13" s="234"/>
      <c r="C13" s="387"/>
      <c r="D13" s="388">
        <f>D14+D50+D99+D187+D194+D199+D208+D244+D278+D284+D292+D320+D349+D358+D367+D397+D403+D407+D416+D422+D431+D437+D464+D472+D383++D335+D388+D468</f>
        <v>721272614.69</v>
      </c>
      <c r="E13" s="242"/>
      <c r="F13" s="389"/>
    </row>
    <row r="14" spans="1:7" ht="34.5" customHeight="1">
      <c r="A14" s="240" t="s">
        <v>996</v>
      </c>
      <c r="B14" s="234" t="s">
        <v>1162</v>
      </c>
      <c r="C14" s="235"/>
      <c r="D14" s="388">
        <f>D15+D28+D36</f>
        <v>37130456.33</v>
      </c>
      <c r="E14" s="390"/>
      <c r="G14" s="242"/>
    </row>
    <row r="15" spans="1:5" ht="30" customHeight="1">
      <c r="A15" s="240" t="s">
        <v>998</v>
      </c>
      <c r="B15" s="234" t="s">
        <v>1000</v>
      </c>
      <c r="C15" s="235"/>
      <c r="D15" s="388">
        <f>D16</f>
        <v>20620316.33</v>
      </c>
      <c r="E15" s="390"/>
    </row>
    <row r="16" spans="1:5" ht="39" customHeight="1">
      <c r="A16" s="254" t="s">
        <v>1001</v>
      </c>
      <c r="B16" s="234" t="s">
        <v>1002</v>
      </c>
      <c r="C16" s="235"/>
      <c r="D16" s="388">
        <f>D17+D21+D19+D26</f>
        <v>20620316.33</v>
      </c>
      <c r="E16" s="390"/>
    </row>
    <row r="17" spans="1:5" ht="15.75" customHeight="1" hidden="1">
      <c r="A17" s="255" t="s">
        <v>1153</v>
      </c>
      <c r="B17" s="263" t="s">
        <v>1163</v>
      </c>
      <c r="C17" s="235"/>
      <c r="D17" s="388">
        <f>D18</f>
        <v>0</v>
      </c>
      <c r="E17" s="390"/>
    </row>
    <row r="18" spans="1:5" ht="26.25" customHeight="1" hidden="1">
      <c r="A18" s="243" t="s">
        <v>560</v>
      </c>
      <c r="B18" s="263" t="s">
        <v>1163</v>
      </c>
      <c r="C18" s="235" t="s">
        <v>561</v>
      </c>
      <c r="D18" s="388"/>
      <c r="E18" s="390"/>
    </row>
    <row r="19" spans="1:5" ht="15.75" customHeight="1" hidden="1">
      <c r="A19" s="339" t="s">
        <v>1155</v>
      </c>
      <c r="B19" s="263" t="s">
        <v>1164</v>
      </c>
      <c r="C19" s="235"/>
      <c r="D19" s="388">
        <f>D20</f>
        <v>0</v>
      </c>
      <c r="E19" s="390"/>
    </row>
    <row r="20" spans="1:5" ht="26.25" customHeight="1" hidden="1">
      <c r="A20" s="243" t="s">
        <v>560</v>
      </c>
      <c r="B20" s="263" t="s">
        <v>1164</v>
      </c>
      <c r="C20" s="235" t="s">
        <v>561</v>
      </c>
      <c r="D20" s="388"/>
      <c r="E20" s="390"/>
    </row>
    <row r="21" spans="1:5" ht="27" customHeight="1">
      <c r="A21" s="240" t="s">
        <v>722</v>
      </c>
      <c r="B21" s="263" t="s">
        <v>1165</v>
      </c>
      <c r="C21" s="235"/>
      <c r="D21" s="388">
        <f>D22+D23+D24+D25</f>
        <v>19249316.33</v>
      </c>
      <c r="E21" s="390"/>
    </row>
    <row r="22" spans="1:5" ht="39.75" customHeight="1">
      <c r="A22" s="243" t="s">
        <v>548</v>
      </c>
      <c r="B22" s="263" t="s">
        <v>1165</v>
      </c>
      <c r="C22" s="235" t="s">
        <v>549</v>
      </c>
      <c r="D22" s="236">
        <f>10988761+593331</f>
        <v>11582092</v>
      </c>
      <c r="E22" s="390"/>
    </row>
    <row r="23" spans="1:5" ht="27" customHeight="1">
      <c r="A23" s="243" t="s">
        <v>560</v>
      </c>
      <c r="B23" s="263" t="s">
        <v>1165</v>
      </c>
      <c r="C23" s="235" t="s">
        <v>561</v>
      </c>
      <c r="D23" s="236">
        <f>7399324.33-47000+52000</f>
        <v>7404324.33</v>
      </c>
      <c r="E23" s="390"/>
    </row>
    <row r="24" spans="1:5" ht="27" customHeight="1">
      <c r="A24" s="281" t="s">
        <v>776</v>
      </c>
      <c r="B24" s="263" t="s">
        <v>1165</v>
      </c>
      <c r="C24" s="235" t="s">
        <v>777</v>
      </c>
      <c r="D24" s="236">
        <v>72000</v>
      </c>
      <c r="E24" s="390"/>
    </row>
    <row r="25" spans="1:5" ht="23.25" customHeight="1">
      <c r="A25" s="276" t="s">
        <v>602</v>
      </c>
      <c r="B25" s="263" t="s">
        <v>1165</v>
      </c>
      <c r="C25" s="235" t="s">
        <v>603</v>
      </c>
      <c r="D25" s="236">
        <v>190900</v>
      </c>
      <c r="E25" s="390"/>
    </row>
    <row r="26" spans="1:5" ht="26.25">
      <c r="A26" s="243" t="s">
        <v>1004</v>
      </c>
      <c r="B26" s="234" t="s">
        <v>1005</v>
      </c>
      <c r="C26" s="235"/>
      <c r="D26" s="391">
        <f>D27</f>
        <v>1371000</v>
      </c>
      <c r="E26" s="390"/>
    </row>
    <row r="27" spans="1:5" ht="26.25">
      <c r="A27" s="243" t="s">
        <v>560</v>
      </c>
      <c r="B27" s="234" t="s">
        <v>1005</v>
      </c>
      <c r="C27" s="235" t="s">
        <v>561</v>
      </c>
      <c r="D27" s="236">
        <f>68550+1302450</f>
        <v>1371000</v>
      </c>
      <c r="E27" s="390"/>
    </row>
    <row r="28" spans="1:5" ht="30.75" customHeight="1">
      <c r="A28" s="240" t="s">
        <v>1006</v>
      </c>
      <c r="B28" s="263" t="s">
        <v>1007</v>
      </c>
      <c r="C28" s="235"/>
      <c r="D28" s="388">
        <f>D29</f>
        <v>10716461</v>
      </c>
      <c r="E28" s="390"/>
    </row>
    <row r="29" spans="1:5" ht="28.5" customHeight="1">
      <c r="A29" s="255" t="s">
        <v>1008</v>
      </c>
      <c r="B29" s="263" t="s">
        <v>1009</v>
      </c>
      <c r="C29" s="235"/>
      <c r="D29" s="388">
        <f>D30+D35</f>
        <v>10716461</v>
      </c>
      <c r="E29" s="390"/>
    </row>
    <row r="30" spans="1:5" ht="26.25">
      <c r="A30" s="240" t="s">
        <v>722</v>
      </c>
      <c r="B30" s="263" t="s">
        <v>1010</v>
      </c>
      <c r="C30" s="235"/>
      <c r="D30" s="388">
        <f>D31+D32+D33</f>
        <v>10716461</v>
      </c>
      <c r="E30" s="390"/>
    </row>
    <row r="31" spans="1:5" ht="39.75" customHeight="1">
      <c r="A31" s="243" t="s">
        <v>548</v>
      </c>
      <c r="B31" s="263" t="s">
        <v>1010</v>
      </c>
      <c r="C31" s="235" t="s">
        <v>549</v>
      </c>
      <c r="D31" s="236">
        <v>9152161</v>
      </c>
      <c r="E31" s="390"/>
    </row>
    <row r="32" spans="1:5" ht="26.25">
      <c r="A32" s="243" t="s">
        <v>560</v>
      </c>
      <c r="B32" s="263" t="s">
        <v>1010</v>
      </c>
      <c r="C32" s="235" t="s">
        <v>561</v>
      </c>
      <c r="D32" s="236">
        <f>1559700</f>
        <v>1559700</v>
      </c>
      <c r="E32" s="390"/>
    </row>
    <row r="33" spans="1:5" ht="15" customHeight="1">
      <c r="A33" s="276" t="s">
        <v>602</v>
      </c>
      <c r="B33" s="263" t="s">
        <v>1010</v>
      </c>
      <c r="C33" s="235" t="s">
        <v>603</v>
      </c>
      <c r="D33" s="236">
        <v>4600</v>
      </c>
      <c r="E33" s="390"/>
    </row>
    <row r="34" spans="1:5" ht="15.75" customHeight="1" hidden="1">
      <c r="A34" s="276" t="s">
        <v>1166</v>
      </c>
      <c r="B34" s="263" t="s">
        <v>1167</v>
      </c>
      <c r="C34" s="235"/>
      <c r="D34" s="236">
        <f>D35</f>
        <v>0</v>
      </c>
      <c r="E34" s="390"/>
    </row>
    <row r="35" spans="1:5" ht="30.75" customHeight="1" hidden="1">
      <c r="A35" s="243" t="s">
        <v>560</v>
      </c>
      <c r="B35" s="263" t="s">
        <v>1167</v>
      </c>
      <c r="C35" s="235" t="s">
        <v>561</v>
      </c>
      <c r="D35" s="236">
        <f>20000-20000</f>
        <v>0</v>
      </c>
      <c r="E35" s="390"/>
    </row>
    <row r="36" spans="1:5" ht="42" customHeight="1">
      <c r="A36" s="240" t="s">
        <v>1015</v>
      </c>
      <c r="B36" s="234" t="s">
        <v>1016</v>
      </c>
      <c r="C36" s="235"/>
      <c r="D36" s="391">
        <f>D37+D42+D45</f>
        <v>5793679</v>
      </c>
      <c r="E36" s="390"/>
    </row>
    <row r="37" spans="1:5" ht="28.5" customHeight="1">
      <c r="A37" s="305" t="s">
        <v>1017</v>
      </c>
      <c r="B37" s="234" t="s">
        <v>1018</v>
      </c>
      <c r="C37" s="235"/>
      <c r="D37" s="388">
        <f>D38</f>
        <v>4164900</v>
      </c>
      <c r="E37" s="390"/>
    </row>
    <row r="38" spans="1:5" ht="26.25" customHeight="1">
      <c r="A38" s="240" t="s">
        <v>722</v>
      </c>
      <c r="B38" s="234" t="s">
        <v>1019</v>
      </c>
      <c r="C38" s="235"/>
      <c r="D38" s="388">
        <f>D39+D40+D41</f>
        <v>4164900</v>
      </c>
      <c r="E38" s="390"/>
    </row>
    <row r="39" spans="1:5" ht="26.25" customHeight="1">
      <c r="A39" s="243" t="s">
        <v>548</v>
      </c>
      <c r="B39" s="234" t="s">
        <v>1019</v>
      </c>
      <c r="C39" s="235" t="s">
        <v>549</v>
      </c>
      <c r="D39" s="236">
        <f>3411200+207600</f>
        <v>3618800</v>
      </c>
      <c r="E39" s="390"/>
    </row>
    <row r="40" spans="1:5" ht="27.75" customHeight="1">
      <c r="A40" s="243" t="s">
        <v>560</v>
      </c>
      <c r="B40" s="234" t="s">
        <v>1019</v>
      </c>
      <c r="C40" s="235" t="s">
        <v>561</v>
      </c>
      <c r="D40" s="236">
        <f>230100-80000+15000+310000+19000+50000</f>
        <v>544100</v>
      </c>
      <c r="E40" s="390"/>
    </row>
    <row r="41" spans="1:5" ht="18.75" customHeight="1">
      <c r="A41" s="276" t="s">
        <v>602</v>
      </c>
      <c r="B41" s="234" t="s">
        <v>1019</v>
      </c>
      <c r="C41" s="235" t="s">
        <v>603</v>
      </c>
      <c r="D41" s="236">
        <v>2000</v>
      </c>
      <c r="E41" s="390"/>
    </row>
    <row r="42" spans="1:5" ht="42.75" customHeight="1">
      <c r="A42" s="306" t="s">
        <v>1020</v>
      </c>
      <c r="B42" s="234" t="s">
        <v>1021</v>
      </c>
      <c r="C42" s="235"/>
      <c r="D42" s="388">
        <f>D44</f>
        <v>52872</v>
      </c>
      <c r="E42" s="390"/>
    </row>
    <row r="43" spans="1:5" ht="41.25" customHeight="1">
      <c r="A43" s="241" t="s">
        <v>1022</v>
      </c>
      <c r="B43" s="234" t="s">
        <v>1023</v>
      </c>
      <c r="C43" s="235"/>
      <c r="D43" s="388">
        <f>D44</f>
        <v>52872</v>
      </c>
      <c r="E43" s="390"/>
    </row>
    <row r="44" spans="1:5" ht="46.5" customHeight="1">
      <c r="A44" s="243" t="s">
        <v>548</v>
      </c>
      <c r="B44" s="234" t="s">
        <v>1023</v>
      </c>
      <c r="C44" s="235" t="s">
        <v>549</v>
      </c>
      <c r="D44" s="236">
        <v>52872</v>
      </c>
      <c r="E44" s="390"/>
    </row>
    <row r="45" spans="1:5" ht="30.75" customHeight="1">
      <c r="A45" s="269" t="s">
        <v>1039</v>
      </c>
      <c r="B45" s="234" t="s">
        <v>1040</v>
      </c>
      <c r="C45" s="235"/>
      <c r="D45" s="388">
        <f>D46</f>
        <v>1575907</v>
      </c>
      <c r="E45" s="390"/>
    </row>
    <row r="46" spans="1:5" ht="30" customHeight="1">
      <c r="A46" s="339" t="s">
        <v>1041</v>
      </c>
      <c r="B46" s="259" t="s">
        <v>1042</v>
      </c>
      <c r="C46" s="235"/>
      <c r="D46" s="388">
        <f>D47</f>
        <v>1575907</v>
      </c>
      <c r="E46" s="390"/>
    </row>
    <row r="47" spans="1:5" ht="18.75" customHeight="1">
      <c r="A47" s="276" t="s">
        <v>733</v>
      </c>
      <c r="B47" s="259" t="s">
        <v>1042</v>
      </c>
      <c r="C47" s="235" t="s">
        <v>734</v>
      </c>
      <c r="D47" s="236">
        <v>1575907</v>
      </c>
      <c r="E47" s="390"/>
    </row>
    <row r="48" spans="1:5" ht="16.5" customHeight="1" hidden="1">
      <c r="A48" s="357" t="s">
        <v>1168</v>
      </c>
      <c r="B48" s="234" t="s">
        <v>1169</v>
      </c>
      <c r="C48" s="235"/>
      <c r="D48" s="388">
        <f>D49</f>
        <v>0</v>
      </c>
      <c r="E48" s="390"/>
    </row>
    <row r="49" spans="1:5" ht="15.75" customHeight="1" hidden="1">
      <c r="A49" s="243" t="s">
        <v>610</v>
      </c>
      <c r="B49" s="234" t="s">
        <v>1169</v>
      </c>
      <c r="C49" s="235" t="s">
        <v>561</v>
      </c>
      <c r="D49" s="388"/>
      <c r="E49" s="390"/>
    </row>
    <row r="50" spans="1:5" ht="30.75" customHeight="1">
      <c r="A50" s="240" t="s">
        <v>1031</v>
      </c>
      <c r="B50" s="234" t="s">
        <v>566</v>
      </c>
      <c r="C50" s="235"/>
      <c r="D50" s="388">
        <f>D51+D74+D87</f>
        <v>25439901</v>
      </c>
      <c r="E50" s="242"/>
    </row>
    <row r="51" spans="1:5" ht="54.75" customHeight="1">
      <c r="A51" s="262" t="s">
        <v>1044</v>
      </c>
      <c r="B51" s="234" t="s">
        <v>644</v>
      </c>
      <c r="C51" s="235"/>
      <c r="D51" s="388">
        <f>D52+D68+D71</f>
        <v>12354474</v>
      </c>
      <c r="E51" s="390"/>
    </row>
    <row r="52" spans="1:5" ht="30" customHeight="1">
      <c r="A52" s="262" t="s">
        <v>1045</v>
      </c>
      <c r="B52" s="234" t="s">
        <v>1046</v>
      </c>
      <c r="C52" s="235"/>
      <c r="D52" s="236">
        <f>D53+D56+D59+D62+D65</f>
        <v>12060874</v>
      </c>
      <c r="E52" s="390"/>
    </row>
    <row r="53" spans="1:5" ht="15">
      <c r="A53" s="240" t="s">
        <v>1064</v>
      </c>
      <c r="B53" s="234" t="s">
        <v>1065</v>
      </c>
      <c r="C53" s="235"/>
      <c r="D53" s="236">
        <f>D55+D54</f>
        <v>1404078</v>
      </c>
      <c r="E53" s="390"/>
    </row>
    <row r="54" spans="1:5" ht="27" customHeight="1">
      <c r="A54" s="243" t="s">
        <v>560</v>
      </c>
      <c r="B54" s="234" t="s">
        <v>1065</v>
      </c>
      <c r="C54" s="235" t="s">
        <v>561</v>
      </c>
      <c r="D54" s="236">
        <v>280</v>
      </c>
      <c r="E54" s="390"/>
    </row>
    <row r="55" spans="1:5" ht="19.5" customHeight="1">
      <c r="A55" s="309" t="s">
        <v>733</v>
      </c>
      <c r="B55" s="234" t="s">
        <v>1065</v>
      </c>
      <c r="C55" s="235" t="s">
        <v>734</v>
      </c>
      <c r="D55" s="236">
        <f>1556604-152806</f>
        <v>1403798</v>
      </c>
      <c r="E55" s="390"/>
    </row>
    <row r="56" spans="1:5" ht="26.25">
      <c r="A56" s="241" t="s">
        <v>1047</v>
      </c>
      <c r="B56" s="234" t="s">
        <v>1048</v>
      </c>
      <c r="C56" s="235"/>
      <c r="D56" s="236">
        <f>D58+D57</f>
        <v>63415</v>
      </c>
      <c r="E56" s="390"/>
    </row>
    <row r="57" spans="1:5" ht="30.75" customHeight="1">
      <c r="A57" s="243" t="s">
        <v>560</v>
      </c>
      <c r="B57" s="234" t="s">
        <v>1048</v>
      </c>
      <c r="C57" s="235" t="s">
        <v>561</v>
      </c>
      <c r="D57" s="236">
        <v>980</v>
      </c>
      <c r="E57" s="390"/>
    </row>
    <row r="58" spans="1:5" ht="17.25" customHeight="1">
      <c r="A58" s="309" t="s">
        <v>733</v>
      </c>
      <c r="B58" s="234" t="s">
        <v>1048</v>
      </c>
      <c r="C58" s="235" t="s">
        <v>734</v>
      </c>
      <c r="D58" s="236">
        <v>62435</v>
      </c>
      <c r="E58" s="390"/>
    </row>
    <row r="59" spans="1:5" ht="29.25" customHeight="1">
      <c r="A59" s="241" t="s">
        <v>1049</v>
      </c>
      <c r="B59" s="234" t="s">
        <v>1050</v>
      </c>
      <c r="C59" s="235"/>
      <c r="D59" s="236">
        <f>D61+D60</f>
        <v>261767</v>
      </c>
      <c r="E59" s="390"/>
    </row>
    <row r="60" spans="1:5" ht="31.5" customHeight="1">
      <c r="A60" s="243" t="s">
        <v>560</v>
      </c>
      <c r="B60" s="234" t="s">
        <v>1050</v>
      </c>
      <c r="C60" s="235" t="s">
        <v>561</v>
      </c>
      <c r="D60" s="275">
        <f>5240-100</f>
        <v>5140</v>
      </c>
      <c r="E60" s="390"/>
    </row>
    <row r="61" spans="1:5" ht="15">
      <c r="A61" s="309" t="s">
        <v>733</v>
      </c>
      <c r="B61" s="234" t="s">
        <v>1050</v>
      </c>
      <c r="C61" s="235" t="s">
        <v>734</v>
      </c>
      <c r="D61" s="275">
        <f>290609-34082+100</f>
        <v>256627</v>
      </c>
      <c r="E61" s="390"/>
    </row>
    <row r="62" spans="1:5" ht="15">
      <c r="A62" s="240" t="s">
        <v>1051</v>
      </c>
      <c r="B62" s="234" t="s">
        <v>1052</v>
      </c>
      <c r="C62" s="235"/>
      <c r="D62" s="236">
        <f>D64+D63</f>
        <v>9216614</v>
      </c>
      <c r="E62" s="390"/>
    </row>
    <row r="63" spans="1:5" ht="32.25" customHeight="1">
      <c r="A63" s="243" t="s">
        <v>560</v>
      </c>
      <c r="B63" s="234" t="s">
        <v>1052</v>
      </c>
      <c r="C63" s="235" t="s">
        <v>561</v>
      </c>
      <c r="D63" s="275">
        <f>148440+2700</f>
        <v>151140</v>
      </c>
      <c r="E63" s="390"/>
    </row>
    <row r="64" spans="1:5" ht="19.5" customHeight="1">
      <c r="A64" s="309" t="s">
        <v>733</v>
      </c>
      <c r="B64" s="234" t="s">
        <v>1052</v>
      </c>
      <c r="C64" s="235" t="s">
        <v>734</v>
      </c>
      <c r="D64" s="275">
        <f>8914137-257595+408932</f>
        <v>9065474</v>
      </c>
      <c r="E64" s="390"/>
    </row>
    <row r="65" spans="1:5" ht="15">
      <c r="A65" s="240" t="s">
        <v>1053</v>
      </c>
      <c r="B65" s="234" t="s">
        <v>1054</v>
      </c>
      <c r="C65" s="235"/>
      <c r="D65" s="236">
        <f>D67+D66</f>
        <v>1115000</v>
      </c>
      <c r="E65" s="390"/>
    </row>
    <row r="66" spans="1:5" ht="28.5" customHeight="1">
      <c r="A66" s="243" t="s">
        <v>560</v>
      </c>
      <c r="B66" s="234" t="s">
        <v>1054</v>
      </c>
      <c r="C66" s="235" t="s">
        <v>561</v>
      </c>
      <c r="D66" s="275">
        <f>24490-4290</f>
        <v>20200</v>
      </c>
      <c r="E66" s="390"/>
    </row>
    <row r="67" spans="1:5" ht="21.75" customHeight="1">
      <c r="A67" s="309" t="s">
        <v>733</v>
      </c>
      <c r="B67" s="234" t="s">
        <v>1054</v>
      </c>
      <c r="C67" s="235" t="s">
        <v>734</v>
      </c>
      <c r="D67" s="275">
        <f>1450810-331010-25000</f>
        <v>1094800</v>
      </c>
      <c r="E67" s="390"/>
    </row>
    <row r="68" spans="1:5" ht="33" customHeight="1">
      <c r="A68" s="262" t="s">
        <v>645</v>
      </c>
      <c r="B68" s="234" t="s">
        <v>646</v>
      </c>
      <c r="C68" s="235"/>
      <c r="D68" s="236">
        <f>D69</f>
        <v>14000</v>
      </c>
      <c r="E68" s="390"/>
    </row>
    <row r="69" spans="1:5" ht="15" customHeight="1">
      <c r="A69" s="243" t="s">
        <v>647</v>
      </c>
      <c r="B69" s="263" t="s">
        <v>648</v>
      </c>
      <c r="C69" s="235"/>
      <c r="D69" s="236">
        <f>D70</f>
        <v>14000</v>
      </c>
      <c r="E69" s="390"/>
    </row>
    <row r="70" spans="1:5" ht="27.75" customHeight="1">
      <c r="A70" s="243" t="s">
        <v>560</v>
      </c>
      <c r="B70" s="263" t="s">
        <v>648</v>
      </c>
      <c r="C70" s="235" t="s">
        <v>561</v>
      </c>
      <c r="D70" s="236">
        <v>14000</v>
      </c>
      <c r="E70" s="390"/>
    </row>
    <row r="71" spans="1:5" ht="27.75" customHeight="1">
      <c r="A71" s="269" t="s">
        <v>1033</v>
      </c>
      <c r="B71" s="234" t="s">
        <v>1034</v>
      </c>
      <c r="C71" s="235"/>
      <c r="D71" s="388">
        <f>D72</f>
        <v>279600</v>
      </c>
      <c r="E71" s="390"/>
    </row>
    <row r="72" spans="1:5" ht="18.75" customHeight="1">
      <c r="A72" s="357" t="s">
        <v>1035</v>
      </c>
      <c r="B72" s="234" t="s">
        <v>1170</v>
      </c>
      <c r="C72" s="235"/>
      <c r="D72" s="388">
        <f>D73</f>
        <v>279600</v>
      </c>
      <c r="E72" s="390"/>
    </row>
    <row r="73" spans="1:5" ht="18.75" customHeight="1">
      <c r="A73" s="276" t="s">
        <v>733</v>
      </c>
      <c r="B73" s="234" t="s">
        <v>1170</v>
      </c>
      <c r="C73" s="235" t="s">
        <v>734</v>
      </c>
      <c r="D73" s="236">
        <f>148731+120169+10700</f>
        <v>279600</v>
      </c>
      <c r="E73" s="390"/>
    </row>
    <row r="74" spans="1:5" ht="53.25" customHeight="1">
      <c r="A74" s="280" t="s">
        <v>1066</v>
      </c>
      <c r="B74" s="244" t="s">
        <v>568</v>
      </c>
      <c r="C74" s="245"/>
      <c r="D74" s="391">
        <f>D75+D78+D84</f>
        <v>10876127</v>
      </c>
      <c r="E74" s="390"/>
    </row>
    <row r="75" spans="1:5" ht="42" customHeight="1">
      <c r="A75" s="255" t="s">
        <v>1067</v>
      </c>
      <c r="B75" s="234" t="s">
        <v>1068</v>
      </c>
      <c r="C75" s="235"/>
      <c r="D75" s="388">
        <f>D76</f>
        <v>9973127</v>
      </c>
      <c r="E75" s="390"/>
    </row>
    <row r="76" spans="1:5" ht="25.5" customHeight="1">
      <c r="A76" s="241" t="s">
        <v>1069</v>
      </c>
      <c r="B76" s="234" t="s">
        <v>1070</v>
      </c>
      <c r="C76" s="235"/>
      <c r="D76" s="388">
        <f>D77</f>
        <v>9973127</v>
      </c>
      <c r="E76" s="390"/>
    </row>
    <row r="77" spans="1:5" ht="15">
      <c r="A77" s="309" t="s">
        <v>733</v>
      </c>
      <c r="B77" s="234" t="s">
        <v>1070</v>
      </c>
      <c r="C77" s="235" t="s">
        <v>734</v>
      </c>
      <c r="D77" s="236">
        <f>9054167+918960</f>
        <v>9973127</v>
      </c>
      <c r="E77" s="390"/>
    </row>
    <row r="78" spans="1:5" ht="42.75" customHeight="1">
      <c r="A78" s="251" t="s">
        <v>569</v>
      </c>
      <c r="B78" s="244" t="s">
        <v>570</v>
      </c>
      <c r="C78" s="245"/>
      <c r="D78" s="388">
        <f>D79+D82</f>
        <v>888000</v>
      </c>
      <c r="E78" s="390"/>
    </row>
    <row r="79" spans="1:5" ht="41.25" customHeight="1">
      <c r="A79" s="339" t="s">
        <v>571</v>
      </c>
      <c r="B79" s="244" t="s">
        <v>572</v>
      </c>
      <c r="C79" s="245"/>
      <c r="D79" s="388">
        <f>D80+D81</f>
        <v>888000</v>
      </c>
      <c r="E79" s="390"/>
    </row>
    <row r="80" spans="1:5" ht="39">
      <c r="A80" s="243" t="s">
        <v>548</v>
      </c>
      <c r="B80" s="244" t="s">
        <v>572</v>
      </c>
      <c r="C80" s="245" t="s">
        <v>549</v>
      </c>
      <c r="D80" s="236">
        <v>767600</v>
      </c>
      <c r="E80" s="390"/>
    </row>
    <row r="81" spans="1:5" ht="26.25">
      <c r="A81" s="243" t="s">
        <v>560</v>
      </c>
      <c r="B81" s="244" t="s">
        <v>572</v>
      </c>
      <c r="C81" s="245" t="s">
        <v>561</v>
      </c>
      <c r="D81" s="236">
        <v>120400</v>
      </c>
      <c r="E81" s="390"/>
    </row>
    <row r="82" spans="1:5" ht="64.5" customHeight="1" hidden="1">
      <c r="A82" s="243" t="s">
        <v>1171</v>
      </c>
      <c r="B82" s="244" t="s">
        <v>1172</v>
      </c>
      <c r="C82" s="245"/>
      <c r="D82" s="388">
        <f>D83</f>
        <v>0</v>
      </c>
      <c r="E82" s="390"/>
    </row>
    <row r="83" spans="1:5" ht="26.25" customHeight="1" hidden="1">
      <c r="A83" s="243" t="s">
        <v>560</v>
      </c>
      <c r="B83" s="244" t="s">
        <v>1172</v>
      </c>
      <c r="C83" s="245" t="s">
        <v>561</v>
      </c>
      <c r="D83" s="388"/>
      <c r="E83" s="390"/>
    </row>
    <row r="84" spans="1:5" ht="31.5" customHeight="1">
      <c r="A84" s="286" t="s">
        <v>649</v>
      </c>
      <c r="B84" s="234" t="s">
        <v>650</v>
      </c>
      <c r="C84" s="235"/>
      <c r="D84" s="236">
        <f>D85</f>
        <v>15000</v>
      </c>
      <c r="E84" s="390"/>
    </row>
    <row r="85" spans="1:5" ht="38.25" customHeight="1">
      <c r="A85" s="262" t="s">
        <v>651</v>
      </c>
      <c r="B85" s="263" t="s">
        <v>652</v>
      </c>
      <c r="C85" s="235"/>
      <c r="D85" s="236">
        <f>D86</f>
        <v>15000</v>
      </c>
      <c r="E85" s="390"/>
    </row>
    <row r="86" spans="1:5" ht="26.25" customHeight="1">
      <c r="A86" s="243" t="s">
        <v>560</v>
      </c>
      <c r="B86" s="263" t="s">
        <v>652</v>
      </c>
      <c r="C86" s="235" t="s">
        <v>561</v>
      </c>
      <c r="D86" s="236">
        <v>15000</v>
      </c>
      <c r="E86" s="390"/>
    </row>
    <row r="87" spans="1:5" ht="44.25" customHeight="1">
      <c r="A87" s="241" t="s">
        <v>653</v>
      </c>
      <c r="B87" s="234" t="s">
        <v>574</v>
      </c>
      <c r="C87" s="235"/>
      <c r="D87" s="388">
        <f>D88+D93</f>
        <v>2209300</v>
      </c>
      <c r="E87" s="390"/>
    </row>
    <row r="88" spans="1:5" ht="30.75" customHeight="1">
      <c r="A88" s="241" t="s">
        <v>654</v>
      </c>
      <c r="B88" s="234" t="s">
        <v>655</v>
      </c>
      <c r="C88" s="235"/>
      <c r="D88" s="388">
        <f>D89+D91</f>
        <v>127300</v>
      </c>
      <c r="E88" s="390"/>
    </row>
    <row r="89" spans="1:5" ht="30" customHeight="1">
      <c r="A89" s="241" t="s">
        <v>656</v>
      </c>
      <c r="B89" s="234" t="s">
        <v>657</v>
      </c>
      <c r="C89" s="235"/>
      <c r="D89" s="388">
        <f>D90</f>
        <v>124300</v>
      </c>
      <c r="E89" s="390"/>
    </row>
    <row r="90" spans="1:5" ht="32.25" customHeight="1">
      <c r="A90" s="243" t="s">
        <v>658</v>
      </c>
      <c r="B90" s="234" t="s">
        <v>657</v>
      </c>
      <c r="C90" s="245" t="s">
        <v>659</v>
      </c>
      <c r="D90" s="391">
        <f>122900+1400</f>
        <v>124300</v>
      </c>
      <c r="E90" s="390"/>
    </row>
    <row r="91" spans="1:5" ht="20.25" customHeight="1">
      <c r="A91" s="241" t="s">
        <v>660</v>
      </c>
      <c r="B91" s="234" t="s">
        <v>661</v>
      </c>
      <c r="C91" s="245"/>
      <c r="D91" s="388">
        <f>D92</f>
        <v>3000</v>
      </c>
      <c r="E91" s="390"/>
    </row>
    <row r="92" spans="1:5" ht="32.25" customHeight="1">
      <c r="A92" s="243" t="s">
        <v>658</v>
      </c>
      <c r="B92" s="234" t="s">
        <v>661</v>
      </c>
      <c r="C92" s="245" t="s">
        <v>659</v>
      </c>
      <c r="D92" s="388">
        <v>3000</v>
      </c>
      <c r="E92" s="390"/>
    </row>
    <row r="93" spans="1:5" ht="28.5" customHeight="1">
      <c r="A93" s="254" t="s">
        <v>575</v>
      </c>
      <c r="B93" s="244" t="s">
        <v>576</v>
      </c>
      <c r="C93" s="235"/>
      <c r="D93" s="391">
        <f>D94+D97</f>
        <v>2082000</v>
      </c>
      <c r="E93" s="390"/>
    </row>
    <row r="94" spans="1:5" ht="30.75" customHeight="1">
      <c r="A94" s="241" t="s">
        <v>577</v>
      </c>
      <c r="B94" s="244" t="s">
        <v>578</v>
      </c>
      <c r="C94" s="235"/>
      <c r="D94" s="391">
        <f>D95+D96</f>
        <v>2072000</v>
      </c>
      <c r="E94" s="390"/>
    </row>
    <row r="95" spans="1:5" ht="43.5" customHeight="1">
      <c r="A95" s="243" t="s">
        <v>548</v>
      </c>
      <c r="B95" s="244" t="s">
        <v>578</v>
      </c>
      <c r="C95" s="245" t="s">
        <v>549</v>
      </c>
      <c r="D95" s="236">
        <f>1524168+460299+300+60633+26600</f>
        <v>2072000</v>
      </c>
      <c r="E95" s="390"/>
    </row>
    <row r="96" spans="1:5" ht="26.25" customHeight="1" hidden="1">
      <c r="A96" s="243" t="s">
        <v>560</v>
      </c>
      <c r="B96" s="244" t="s">
        <v>578</v>
      </c>
      <c r="C96" s="245" t="s">
        <v>561</v>
      </c>
      <c r="D96" s="236">
        <f>60633-60633</f>
        <v>0</v>
      </c>
      <c r="E96" s="390"/>
    </row>
    <row r="97" spans="1:5" ht="17.25" customHeight="1">
      <c r="A97" s="286" t="s">
        <v>662</v>
      </c>
      <c r="B97" s="234" t="s">
        <v>663</v>
      </c>
      <c r="C97" s="245"/>
      <c r="D97" s="236">
        <f>D98</f>
        <v>10000</v>
      </c>
      <c r="E97" s="390"/>
    </row>
    <row r="98" spans="1:5" ht="26.25">
      <c r="A98" s="243" t="s">
        <v>560</v>
      </c>
      <c r="B98" s="234" t="s">
        <v>663</v>
      </c>
      <c r="C98" s="245" t="s">
        <v>561</v>
      </c>
      <c r="D98" s="236">
        <v>10000</v>
      </c>
      <c r="E98" s="390"/>
    </row>
    <row r="99" spans="1:8" ht="32.25" customHeight="1">
      <c r="A99" s="240" t="s">
        <v>890</v>
      </c>
      <c r="B99" s="234" t="s">
        <v>891</v>
      </c>
      <c r="C99" s="235"/>
      <c r="D99" s="388">
        <f>D100+D160+D176</f>
        <v>462154894.19</v>
      </c>
      <c r="E99" s="242"/>
      <c r="F99" s="242"/>
      <c r="H99" s="242"/>
    </row>
    <row r="100" spans="1:5" s="250" customFormat="1" ht="41.25" customHeight="1">
      <c r="A100" s="299" t="s">
        <v>892</v>
      </c>
      <c r="B100" s="234" t="s">
        <v>893</v>
      </c>
      <c r="C100" s="235"/>
      <c r="D100" s="388">
        <f>D104+D126+D152+D101</f>
        <v>409076031.52</v>
      </c>
      <c r="E100" s="392"/>
    </row>
    <row r="101" spans="1:5" s="250" customFormat="1" ht="21.75" customHeight="1">
      <c r="A101" s="299" t="s">
        <v>906</v>
      </c>
      <c r="B101" s="234" t="s">
        <v>907</v>
      </c>
      <c r="C101" s="253"/>
      <c r="D101" s="236">
        <f>D102</f>
        <v>2000000</v>
      </c>
      <c r="E101" s="392"/>
    </row>
    <row r="102" spans="1:5" s="250" customFormat="1" ht="31.5" customHeight="1">
      <c r="A102" s="299" t="s">
        <v>908</v>
      </c>
      <c r="B102" s="234" t="s">
        <v>909</v>
      </c>
      <c r="C102" s="253"/>
      <c r="D102" s="236">
        <f>D103</f>
        <v>2000000</v>
      </c>
      <c r="E102" s="392"/>
    </row>
    <row r="103" spans="1:5" s="250" customFormat="1" ht="33" customHeight="1">
      <c r="A103" s="243" t="s">
        <v>560</v>
      </c>
      <c r="B103" s="234" t="s">
        <v>909</v>
      </c>
      <c r="C103" s="235" t="s">
        <v>561</v>
      </c>
      <c r="D103" s="236">
        <f>786836.4+1300000-86836.4</f>
        <v>2000000</v>
      </c>
      <c r="E103" s="392"/>
    </row>
    <row r="104" spans="1:5" ht="27.75" customHeight="1">
      <c r="A104" s="255" t="s">
        <v>894</v>
      </c>
      <c r="B104" s="312" t="s">
        <v>895</v>
      </c>
      <c r="C104" s="235"/>
      <c r="D104" s="391">
        <f>D105+D112+D119+D121+D117+D116</f>
        <v>101356537.81</v>
      </c>
      <c r="E104" s="390"/>
    </row>
    <row r="105" spans="1:5" ht="18.75" customHeight="1">
      <c r="A105" s="314" t="s">
        <v>1072</v>
      </c>
      <c r="B105" s="312" t="s">
        <v>1073</v>
      </c>
      <c r="C105" s="235"/>
      <c r="D105" s="391">
        <f>D107+D106</f>
        <v>2343590</v>
      </c>
      <c r="E105" s="390"/>
    </row>
    <row r="106" spans="1:5" ht="31.5" customHeight="1" hidden="1">
      <c r="A106" s="243" t="s">
        <v>560</v>
      </c>
      <c r="B106" s="312" t="s">
        <v>1073</v>
      </c>
      <c r="C106" s="235" t="s">
        <v>561</v>
      </c>
      <c r="D106" s="236"/>
      <c r="E106" s="390"/>
    </row>
    <row r="107" spans="1:5" ht="17.25" customHeight="1">
      <c r="A107" s="309" t="s">
        <v>733</v>
      </c>
      <c r="B107" s="312" t="s">
        <v>1073</v>
      </c>
      <c r="C107" s="235" t="s">
        <v>734</v>
      </c>
      <c r="D107" s="236">
        <f>2080810+262780</f>
        <v>2343590</v>
      </c>
      <c r="E107" s="390"/>
    </row>
    <row r="108" spans="1:5" ht="27" customHeight="1" hidden="1">
      <c r="A108" s="292" t="s">
        <v>1173</v>
      </c>
      <c r="B108" s="234" t="s">
        <v>1174</v>
      </c>
      <c r="C108" s="235"/>
      <c r="D108" s="388">
        <f>D109</f>
        <v>0</v>
      </c>
      <c r="E108" s="390"/>
    </row>
    <row r="109" spans="1:5" ht="16.5" customHeight="1" hidden="1">
      <c r="A109" s="243" t="s">
        <v>610</v>
      </c>
      <c r="B109" s="234" t="s">
        <v>1174</v>
      </c>
      <c r="C109" s="235" t="s">
        <v>561</v>
      </c>
      <c r="D109" s="388"/>
      <c r="E109" s="390"/>
    </row>
    <row r="110" spans="1:5" ht="38.25" customHeight="1" hidden="1">
      <c r="A110" s="265" t="s">
        <v>1175</v>
      </c>
      <c r="B110" s="234" t="s">
        <v>1176</v>
      </c>
      <c r="C110" s="235"/>
      <c r="D110" s="388">
        <f>D111</f>
        <v>0</v>
      </c>
      <c r="E110" s="390"/>
    </row>
    <row r="111" spans="1:5" ht="15.75" customHeight="1" hidden="1">
      <c r="A111" s="243" t="s">
        <v>610</v>
      </c>
      <c r="B111" s="234" t="s">
        <v>1176</v>
      </c>
      <c r="C111" s="235" t="s">
        <v>561</v>
      </c>
      <c r="D111" s="388"/>
      <c r="E111" s="390"/>
    </row>
    <row r="112" spans="1:5" ht="66" customHeight="1">
      <c r="A112" s="339" t="s">
        <v>896</v>
      </c>
      <c r="B112" s="234" t="s">
        <v>897</v>
      </c>
      <c r="C112" s="235"/>
      <c r="D112" s="391">
        <f>D113+D114</f>
        <v>49846444</v>
      </c>
      <c r="E112" s="390"/>
    </row>
    <row r="113" spans="1:5" ht="42" customHeight="1">
      <c r="A113" s="297" t="s">
        <v>548</v>
      </c>
      <c r="B113" s="234" t="s">
        <v>897</v>
      </c>
      <c r="C113" s="235" t="s">
        <v>549</v>
      </c>
      <c r="D113" s="275">
        <f>45470627+2735549+1130766</f>
        <v>49336942</v>
      </c>
      <c r="E113" s="390"/>
    </row>
    <row r="114" spans="1:5" ht="25.5" customHeight="1">
      <c r="A114" s="243" t="s">
        <v>560</v>
      </c>
      <c r="B114" s="234" t="s">
        <v>897</v>
      </c>
      <c r="C114" s="235" t="s">
        <v>561</v>
      </c>
      <c r="D114" s="275">
        <v>509502</v>
      </c>
      <c r="E114" s="390"/>
    </row>
    <row r="115" spans="1:5" ht="26.25" customHeight="1" hidden="1">
      <c r="A115" s="339" t="s">
        <v>914</v>
      </c>
      <c r="B115" s="234" t="s">
        <v>1133</v>
      </c>
      <c r="C115" s="235"/>
      <c r="D115" s="391">
        <f>D116</f>
        <v>0</v>
      </c>
      <c r="E115" s="390"/>
    </row>
    <row r="116" spans="1:5" ht="15" customHeight="1" hidden="1">
      <c r="A116" s="304" t="s">
        <v>560</v>
      </c>
      <c r="B116" s="234" t="s">
        <v>1133</v>
      </c>
      <c r="C116" s="235" t="s">
        <v>561</v>
      </c>
      <c r="D116" s="391"/>
      <c r="E116" s="390"/>
    </row>
    <row r="117" spans="1:5" ht="26.25" customHeight="1" hidden="1">
      <c r="A117" s="339" t="s">
        <v>916</v>
      </c>
      <c r="B117" s="234" t="s">
        <v>1134</v>
      </c>
      <c r="C117" s="235"/>
      <c r="D117" s="391">
        <f>D118</f>
        <v>0</v>
      </c>
      <c r="E117" s="390"/>
    </row>
    <row r="118" spans="1:5" ht="15" customHeight="1" hidden="1">
      <c r="A118" s="304" t="s">
        <v>560</v>
      </c>
      <c r="B118" s="234" t="s">
        <v>1134</v>
      </c>
      <c r="C118" s="235" t="s">
        <v>561</v>
      </c>
      <c r="D118" s="391">
        <f>175343-175343</f>
        <v>0</v>
      </c>
      <c r="E118" s="390"/>
    </row>
    <row r="119" spans="1:5" ht="26.25" customHeight="1" hidden="1">
      <c r="A119" s="339" t="s">
        <v>1177</v>
      </c>
      <c r="B119" s="234" t="s">
        <v>1136</v>
      </c>
      <c r="C119" s="235"/>
      <c r="D119" s="236">
        <f>D120</f>
        <v>0</v>
      </c>
      <c r="E119" s="390"/>
    </row>
    <row r="120" spans="1:5" ht="26.25" customHeight="1" hidden="1">
      <c r="A120" s="243" t="s">
        <v>560</v>
      </c>
      <c r="B120" s="234" t="s">
        <v>1136</v>
      </c>
      <c r="C120" s="235" t="s">
        <v>561</v>
      </c>
      <c r="D120" s="236"/>
      <c r="E120" s="390"/>
    </row>
    <row r="121" spans="1:5" ht="17.25" customHeight="1">
      <c r="A121" s="255" t="s">
        <v>722</v>
      </c>
      <c r="B121" s="234" t="s">
        <v>898</v>
      </c>
      <c r="C121" s="235"/>
      <c r="D121" s="391">
        <f>D122+D123+D125+D124</f>
        <v>49166503.81</v>
      </c>
      <c r="E121" s="390"/>
    </row>
    <row r="122" spans="1:5" ht="44.25" customHeight="1">
      <c r="A122" s="243" t="s">
        <v>548</v>
      </c>
      <c r="B122" s="234" t="s">
        <v>898</v>
      </c>
      <c r="C122" s="235" t="s">
        <v>549</v>
      </c>
      <c r="D122" s="236">
        <v>23007159</v>
      </c>
      <c r="E122" s="390"/>
    </row>
    <row r="123" spans="1:5" ht="30" customHeight="1">
      <c r="A123" s="243" t="s">
        <v>560</v>
      </c>
      <c r="B123" s="234" t="s">
        <v>898</v>
      </c>
      <c r="C123" s="235" t="s">
        <v>561</v>
      </c>
      <c r="D123" s="236">
        <v>24137047.81</v>
      </c>
      <c r="E123" s="390"/>
    </row>
    <row r="124" spans="1:5" ht="30" customHeight="1">
      <c r="A124" s="281" t="s">
        <v>776</v>
      </c>
      <c r="B124" s="234" t="s">
        <v>898</v>
      </c>
      <c r="C124" s="235" t="s">
        <v>777</v>
      </c>
      <c r="D124" s="236">
        <v>25872</v>
      </c>
      <c r="E124" s="390"/>
    </row>
    <row r="125" spans="1:5" ht="18" customHeight="1">
      <c r="A125" s="255" t="s">
        <v>602</v>
      </c>
      <c r="B125" s="234" t="s">
        <v>898</v>
      </c>
      <c r="C125" s="235" t="s">
        <v>603</v>
      </c>
      <c r="D125" s="236">
        <v>1996425</v>
      </c>
      <c r="E125" s="390"/>
    </row>
    <row r="126" spans="1:5" ht="34.5" customHeight="1">
      <c r="A126" s="255" t="s">
        <v>910</v>
      </c>
      <c r="B126" s="312" t="s">
        <v>911</v>
      </c>
      <c r="C126" s="235"/>
      <c r="D126" s="391">
        <f>D131+D138+D140+D142+D144+D146+D150+D127+D129+D134+D136</f>
        <v>286621353.34</v>
      </c>
      <c r="E126" s="390"/>
    </row>
    <row r="127" spans="1:5" ht="25.5" customHeight="1" hidden="1">
      <c r="A127" s="255" t="s">
        <v>1137</v>
      </c>
      <c r="B127" s="234" t="s">
        <v>1138</v>
      </c>
      <c r="C127" s="235"/>
      <c r="D127" s="236">
        <f>D128</f>
        <v>0</v>
      </c>
      <c r="E127" s="390"/>
    </row>
    <row r="128" spans="1:5" ht="26.25" customHeight="1" hidden="1">
      <c r="A128" s="243" t="s">
        <v>560</v>
      </c>
      <c r="B128" s="234" t="s">
        <v>1138</v>
      </c>
      <c r="C128" s="235" t="s">
        <v>561</v>
      </c>
      <c r="D128" s="236"/>
      <c r="E128" s="390"/>
    </row>
    <row r="129" spans="1:5" ht="33.75" customHeight="1" hidden="1">
      <c r="A129" s="286" t="s">
        <v>908</v>
      </c>
      <c r="B129" s="234" t="s">
        <v>1139</v>
      </c>
      <c r="C129" s="235"/>
      <c r="D129" s="236">
        <f>D130</f>
        <v>0</v>
      </c>
      <c r="E129" s="390"/>
    </row>
    <row r="130" spans="1:5" ht="26.25" customHeight="1" hidden="1">
      <c r="A130" s="243" t="s">
        <v>560</v>
      </c>
      <c r="B130" s="234" t="s">
        <v>1139</v>
      </c>
      <c r="C130" s="235" t="s">
        <v>561</v>
      </c>
      <c r="D130" s="236"/>
      <c r="E130" s="390"/>
    </row>
    <row r="131" spans="1:5" ht="73.5" customHeight="1">
      <c r="A131" s="339" t="s">
        <v>912</v>
      </c>
      <c r="B131" s="234" t="s">
        <v>913</v>
      </c>
      <c r="C131" s="235"/>
      <c r="D131" s="391">
        <f>D132+D133</f>
        <v>232837438</v>
      </c>
      <c r="E131" s="390"/>
    </row>
    <row r="132" spans="1:5" ht="45" customHeight="1">
      <c r="A132" s="243" t="s">
        <v>548</v>
      </c>
      <c r="B132" s="234" t="s">
        <v>913</v>
      </c>
      <c r="C132" s="235" t="s">
        <v>549</v>
      </c>
      <c r="D132" s="275">
        <f>186909233+22376668+14237711+2394009+91.1</f>
        <v>225917712.1</v>
      </c>
      <c r="E132" s="390"/>
    </row>
    <row r="133" spans="1:5" ht="25.5" customHeight="1">
      <c r="A133" s="243" t="s">
        <v>560</v>
      </c>
      <c r="B133" s="234" t="s">
        <v>913</v>
      </c>
      <c r="C133" s="235" t="s">
        <v>561</v>
      </c>
      <c r="D133" s="275">
        <f>6919817-91.1</f>
        <v>6919725.9</v>
      </c>
      <c r="E133" s="390"/>
    </row>
    <row r="134" spans="1:5" ht="26.25">
      <c r="A134" s="252" t="s">
        <v>914</v>
      </c>
      <c r="B134" s="234" t="s">
        <v>915</v>
      </c>
      <c r="C134" s="235"/>
      <c r="D134" s="236">
        <f>D135</f>
        <v>1607171</v>
      </c>
      <c r="E134" s="390"/>
    </row>
    <row r="135" spans="1:5" ht="26.25">
      <c r="A135" s="243" t="s">
        <v>560</v>
      </c>
      <c r="B135" s="234" t="s">
        <v>915</v>
      </c>
      <c r="C135" s="235" t="s">
        <v>561</v>
      </c>
      <c r="D135" s="236">
        <f>1607171</f>
        <v>1607171</v>
      </c>
      <c r="E135" s="390"/>
    </row>
    <row r="136" spans="1:5" ht="26.25">
      <c r="A136" s="252" t="s">
        <v>916</v>
      </c>
      <c r="B136" s="234" t="s">
        <v>917</v>
      </c>
      <c r="C136" s="235"/>
      <c r="D136" s="236">
        <f>D137</f>
        <v>865399</v>
      </c>
      <c r="E136" s="390"/>
    </row>
    <row r="137" spans="1:5" ht="26.25">
      <c r="A137" s="243" t="s">
        <v>560</v>
      </c>
      <c r="B137" s="234" t="s">
        <v>917</v>
      </c>
      <c r="C137" s="235" t="s">
        <v>561</v>
      </c>
      <c r="D137" s="236">
        <f>826214.9+39184.1</f>
        <v>865399</v>
      </c>
      <c r="E137" s="390"/>
    </row>
    <row r="138" spans="1:4" ht="38.25">
      <c r="A138" s="286" t="s">
        <v>1141</v>
      </c>
      <c r="B138" s="234" t="s">
        <v>919</v>
      </c>
      <c r="C138" s="235"/>
      <c r="D138" s="391">
        <f>D139</f>
        <v>889886</v>
      </c>
    </row>
    <row r="139" spans="1:4" ht="38.25">
      <c r="A139" s="286" t="s">
        <v>920</v>
      </c>
      <c r="B139" s="234" t="s">
        <v>919</v>
      </c>
      <c r="C139" s="235" t="s">
        <v>561</v>
      </c>
      <c r="D139" s="236">
        <f>889886</f>
        <v>889886</v>
      </c>
    </row>
    <row r="140" spans="1:5" ht="38.25">
      <c r="A140" s="286" t="s">
        <v>920</v>
      </c>
      <c r="B140" s="234" t="s">
        <v>921</v>
      </c>
      <c r="C140" s="235"/>
      <c r="D140" s="391">
        <f>D141</f>
        <v>1369687</v>
      </c>
      <c r="E140" s="390"/>
    </row>
    <row r="141" spans="1:5" ht="25.5" customHeight="1">
      <c r="A141" s="243" t="s">
        <v>560</v>
      </c>
      <c r="B141" s="234" t="s">
        <v>921</v>
      </c>
      <c r="C141" s="235" t="s">
        <v>561</v>
      </c>
      <c r="D141" s="236">
        <f>1468800-99113</f>
        <v>1369687</v>
      </c>
      <c r="E141" s="390"/>
    </row>
    <row r="142" spans="1:4" ht="51.75">
      <c r="A142" s="339" t="s">
        <v>922</v>
      </c>
      <c r="B142" s="234" t="s">
        <v>923</v>
      </c>
      <c r="C142" s="235"/>
      <c r="D142" s="391">
        <f>D143</f>
        <v>48449</v>
      </c>
    </row>
    <row r="143" spans="1:4" ht="26.25">
      <c r="A143" s="243" t="s">
        <v>560</v>
      </c>
      <c r="B143" s="234" t="s">
        <v>923</v>
      </c>
      <c r="C143" s="235" t="s">
        <v>561</v>
      </c>
      <c r="D143" s="236">
        <f>48449</f>
        <v>48449</v>
      </c>
    </row>
    <row r="144" spans="1:4" ht="39">
      <c r="A144" s="339" t="s">
        <v>1178</v>
      </c>
      <c r="B144" s="234" t="s">
        <v>925</v>
      </c>
      <c r="C144" s="235"/>
      <c r="D144" s="391">
        <f>D145</f>
        <v>500000</v>
      </c>
    </row>
    <row r="145" spans="1:4" ht="26.25">
      <c r="A145" s="243" t="s">
        <v>560</v>
      </c>
      <c r="B145" s="234" t="s">
        <v>925</v>
      </c>
      <c r="C145" s="235" t="s">
        <v>561</v>
      </c>
      <c r="D145" s="391">
        <v>500000</v>
      </c>
    </row>
    <row r="146" spans="1:4" ht="17.25" customHeight="1">
      <c r="A146" s="255" t="s">
        <v>722</v>
      </c>
      <c r="B146" s="234" t="s">
        <v>928</v>
      </c>
      <c r="C146" s="235"/>
      <c r="D146" s="391">
        <f>D147+D149+D148</f>
        <v>48325723.339999996</v>
      </c>
    </row>
    <row r="147" spans="1:4" ht="27.75" customHeight="1">
      <c r="A147" s="243" t="s">
        <v>560</v>
      </c>
      <c r="B147" s="234" t="s">
        <v>928</v>
      </c>
      <c r="C147" s="235" t="s">
        <v>561</v>
      </c>
      <c r="D147" s="236">
        <v>44508852.339999996</v>
      </c>
    </row>
    <row r="148" spans="1:4" ht="27.75" customHeight="1">
      <c r="A148" s="281" t="s">
        <v>776</v>
      </c>
      <c r="B148" s="234" t="s">
        <v>928</v>
      </c>
      <c r="C148" s="235" t="s">
        <v>777</v>
      </c>
      <c r="D148" s="236">
        <v>394802</v>
      </c>
    </row>
    <row r="149" spans="1:5" ht="16.5" customHeight="1">
      <c r="A149" s="255" t="s">
        <v>602</v>
      </c>
      <c r="B149" s="234" t="s">
        <v>928</v>
      </c>
      <c r="C149" s="235" t="s">
        <v>603</v>
      </c>
      <c r="D149" s="236">
        <v>3422069</v>
      </c>
      <c r="E149" s="390"/>
    </row>
    <row r="150" spans="1:5" ht="15">
      <c r="A150" s="243" t="s">
        <v>929</v>
      </c>
      <c r="B150" s="234" t="s">
        <v>930</v>
      </c>
      <c r="C150" s="235"/>
      <c r="D150" s="236">
        <f>D151</f>
        <v>177600</v>
      </c>
      <c r="E150" s="390"/>
    </row>
    <row r="151" spans="1:5" ht="26.25">
      <c r="A151" s="243" t="s">
        <v>560</v>
      </c>
      <c r="B151" s="234" t="s">
        <v>930</v>
      </c>
      <c r="C151" s="235" t="s">
        <v>561</v>
      </c>
      <c r="D151" s="236">
        <f>177600</f>
        <v>177600</v>
      </c>
      <c r="E151" s="390"/>
    </row>
    <row r="152" spans="1:5" ht="33" customHeight="1">
      <c r="A152" s="255" t="s">
        <v>1055</v>
      </c>
      <c r="B152" s="234" t="s">
        <v>1056</v>
      </c>
      <c r="C152" s="235"/>
      <c r="D152" s="391">
        <f>D157+D153+D155</f>
        <v>19098140.37</v>
      </c>
      <c r="E152" s="390"/>
    </row>
    <row r="153" spans="1:5" ht="33" customHeight="1" hidden="1">
      <c r="A153" s="339" t="s">
        <v>1142</v>
      </c>
      <c r="B153" s="234" t="s">
        <v>1143</v>
      </c>
      <c r="C153" s="235"/>
      <c r="D153" s="391">
        <f>D154</f>
        <v>0</v>
      </c>
      <c r="E153" s="390"/>
    </row>
    <row r="154" spans="1:5" ht="45" customHeight="1" hidden="1">
      <c r="A154" s="243" t="s">
        <v>548</v>
      </c>
      <c r="B154" s="234" t="s">
        <v>1143</v>
      </c>
      <c r="C154" s="235" t="s">
        <v>549</v>
      </c>
      <c r="D154" s="391"/>
      <c r="E154" s="390"/>
    </row>
    <row r="155" spans="1:4" ht="26.25" customHeight="1" hidden="1">
      <c r="A155" s="339" t="s">
        <v>1144</v>
      </c>
      <c r="B155" s="234" t="s">
        <v>1145</v>
      </c>
      <c r="C155" s="235"/>
      <c r="D155" s="391">
        <f>D156</f>
        <v>0</v>
      </c>
    </row>
    <row r="156" spans="1:4" ht="44.25" customHeight="1" hidden="1">
      <c r="A156" s="243" t="s">
        <v>548</v>
      </c>
      <c r="B156" s="234" t="s">
        <v>1145</v>
      </c>
      <c r="C156" s="235" t="s">
        <v>549</v>
      </c>
      <c r="D156" s="391">
        <f>100000-100000</f>
        <v>0</v>
      </c>
    </row>
    <row r="157" spans="1:5" ht="58.5" customHeight="1">
      <c r="A157" s="339" t="s">
        <v>1057</v>
      </c>
      <c r="B157" s="234" t="s">
        <v>1058</v>
      </c>
      <c r="C157" s="235"/>
      <c r="D157" s="388">
        <f>D158+D159</f>
        <v>19098140.37</v>
      </c>
      <c r="E157" s="390"/>
    </row>
    <row r="158" spans="1:5" ht="33" customHeight="1" hidden="1">
      <c r="A158" s="243" t="s">
        <v>560</v>
      </c>
      <c r="B158" s="234" t="s">
        <v>1058</v>
      </c>
      <c r="C158" s="235" t="s">
        <v>561</v>
      </c>
      <c r="D158" s="391"/>
      <c r="E158" s="390"/>
    </row>
    <row r="159" spans="1:5" ht="15.75" customHeight="1">
      <c r="A159" s="309" t="s">
        <v>733</v>
      </c>
      <c r="B159" s="234" t="s">
        <v>1058</v>
      </c>
      <c r="C159" s="235" t="s">
        <v>734</v>
      </c>
      <c r="D159" s="236">
        <f>18966008+132132.37</f>
        <v>19098140.37</v>
      </c>
      <c r="E159" s="390"/>
    </row>
    <row r="160" spans="1:5" s="250" customFormat="1" ht="48" customHeight="1">
      <c r="A160" s="243" t="s">
        <v>943</v>
      </c>
      <c r="B160" s="234" t="s">
        <v>944</v>
      </c>
      <c r="C160" s="235"/>
      <c r="D160" s="391">
        <f>D161+D167+D172</f>
        <v>43817172.67</v>
      </c>
      <c r="E160" s="392"/>
    </row>
    <row r="161" spans="1:5" ht="36.75" customHeight="1">
      <c r="A161" s="255" t="s">
        <v>945</v>
      </c>
      <c r="B161" s="234" t="s">
        <v>946</v>
      </c>
      <c r="C161" s="235"/>
      <c r="D161" s="391">
        <f>D162</f>
        <v>22898170</v>
      </c>
      <c r="E161" s="390"/>
    </row>
    <row r="162" spans="1:5" ht="32.25" customHeight="1">
      <c r="A162" s="255" t="s">
        <v>722</v>
      </c>
      <c r="B162" s="234" t="s">
        <v>947</v>
      </c>
      <c r="C162" s="235"/>
      <c r="D162" s="391">
        <f>D163+D164+D166+D165</f>
        <v>22898170</v>
      </c>
      <c r="E162" s="390"/>
    </row>
    <row r="163" spans="1:5" ht="47.25" customHeight="1">
      <c r="A163" s="243" t="s">
        <v>548</v>
      </c>
      <c r="B163" s="234" t="s">
        <v>947</v>
      </c>
      <c r="C163" s="235" t="s">
        <v>549</v>
      </c>
      <c r="D163" s="236">
        <v>14536725</v>
      </c>
      <c r="E163" s="390"/>
    </row>
    <row r="164" spans="1:5" ht="33" customHeight="1">
      <c r="A164" s="243" t="s">
        <v>560</v>
      </c>
      <c r="B164" s="234" t="s">
        <v>947</v>
      </c>
      <c r="C164" s="235" t="s">
        <v>561</v>
      </c>
      <c r="D164" s="236">
        <v>7005477</v>
      </c>
      <c r="E164" s="390"/>
    </row>
    <row r="165" spans="1:5" ht="26.25" customHeight="1">
      <c r="A165" s="281" t="s">
        <v>776</v>
      </c>
      <c r="B165" s="234" t="s">
        <v>947</v>
      </c>
      <c r="C165" s="235" t="s">
        <v>777</v>
      </c>
      <c r="D165" s="236">
        <v>1251510</v>
      </c>
      <c r="E165" s="390"/>
    </row>
    <row r="166" spans="1:5" ht="20.25" customHeight="1">
      <c r="A166" s="255" t="s">
        <v>602</v>
      </c>
      <c r="B166" s="234" t="s">
        <v>947</v>
      </c>
      <c r="C166" s="235" t="s">
        <v>603</v>
      </c>
      <c r="D166" s="236">
        <v>104458</v>
      </c>
      <c r="E166" s="390"/>
    </row>
    <row r="167" spans="1:5" ht="19.5" customHeight="1">
      <c r="A167" s="255" t="s">
        <v>948</v>
      </c>
      <c r="B167" s="234" t="s">
        <v>949</v>
      </c>
      <c r="C167" s="235"/>
      <c r="D167" s="391">
        <f>D168</f>
        <v>19551135.04</v>
      </c>
      <c r="E167" s="390"/>
    </row>
    <row r="168" spans="1:5" ht="15.75" customHeight="1">
      <c r="A168" s="255" t="s">
        <v>722</v>
      </c>
      <c r="B168" s="234" t="s">
        <v>950</v>
      </c>
      <c r="C168" s="235"/>
      <c r="D168" s="391">
        <f>D169+D170+D171</f>
        <v>19551135.04</v>
      </c>
      <c r="E168" s="390"/>
    </row>
    <row r="169" spans="1:5" ht="45" customHeight="1">
      <c r="A169" s="243" t="s">
        <v>548</v>
      </c>
      <c r="B169" s="234" t="s">
        <v>950</v>
      </c>
      <c r="C169" s="235" t="s">
        <v>549</v>
      </c>
      <c r="D169" s="236">
        <v>18000967</v>
      </c>
      <c r="E169" s="390"/>
    </row>
    <row r="170" spans="1:5" ht="27" customHeight="1">
      <c r="A170" s="243" t="s">
        <v>560</v>
      </c>
      <c r="B170" s="234" t="s">
        <v>950</v>
      </c>
      <c r="C170" s="235" t="s">
        <v>561</v>
      </c>
      <c r="D170" s="236">
        <v>1504468.04</v>
      </c>
      <c r="E170" s="390"/>
    </row>
    <row r="171" spans="1:5" ht="16.5" customHeight="1">
      <c r="A171" s="255" t="s">
        <v>602</v>
      </c>
      <c r="B171" s="234" t="s">
        <v>950</v>
      </c>
      <c r="C171" s="235" t="s">
        <v>603</v>
      </c>
      <c r="D171" s="236">
        <v>45700</v>
      </c>
      <c r="E171" s="390"/>
    </row>
    <row r="172" spans="1:5" ht="29.25" customHeight="1">
      <c r="A172" s="310" t="s">
        <v>1059</v>
      </c>
      <c r="B172" s="234" t="s">
        <v>1060</v>
      </c>
      <c r="C172" s="235"/>
      <c r="D172" s="391">
        <f>D173</f>
        <v>1367867.63</v>
      </c>
      <c r="E172" s="390"/>
    </row>
    <row r="173" spans="1:5" ht="57" customHeight="1">
      <c r="A173" s="292" t="s">
        <v>1061</v>
      </c>
      <c r="B173" s="234" t="s">
        <v>1062</v>
      </c>
      <c r="C173" s="235"/>
      <c r="D173" s="391">
        <f>D174+D175</f>
        <v>1367867.63</v>
      </c>
      <c r="E173" s="390"/>
    </row>
    <row r="174" spans="1:5" ht="26.25" customHeight="1" hidden="1">
      <c r="A174" s="243" t="s">
        <v>560</v>
      </c>
      <c r="B174" s="234" t="s">
        <v>1062</v>
      </c>
      <c r="C174" s="235" t="s">
        <v>561</v>
      </c>
      <c r="D174" s="391"/>
      <c r="E174" s="390"/>
    </row>
    <row r="175" spans="1:5" ht="19.5" customHeight="1">
      <c r="A175" s="309" t="s">
        <v>733</v>
      </c>
      <c r="B175" s="234" t="s">
        <v>1062</v>
      </c>
      <c r="C175" s="235" t="s">
        <v>734</v>
      </c>
      <c r="D175" s="236">
        <f>1500000-132132.37</f>
        <v>1367867.63</v>
      </c>
      <c r="E175" s="390"/>
    </row>
    <row r="176" spans="1:5" s="250" customFormat="1" ht="43.5" customHeight="1">
      <c r="A176" s="298" t="s">
        <v>978</v>
      </c>
      <c r="B176" s="234" t="s">
        <v>979</v>
      </c>
      <c r="C176" s="235"/>
      <c r="D176" s="391">
        <f>D177+D182</f>
        <v>9261690</v>
      </c>
      <c r="E176" s="392"/>
    </row>
    <row r="177" spans="1:5" ht="32.25" customHeight="1">
      <c r="A177" s="255" t="s">
        <v>980</v>
      </c>
      <c r="B177" s="234" t="s">
        <v>981</v>
      </c>
      <c r="C177" s="235"/>
      <c r="D177" s="391">
        <f>D178</f>
        <v>9038638</v>
      </c>
      <c r="E177" s="390"/>
    </row>
    <row r="178" spans="1:5" ht="18.75" customHeight="1">
      <c r="A178" s="255" t="s">
        <v>722</v>
      </c>
      <c r="B178" s="234" t="s">
        <v>982</v>
      </c>
      <c r="C178" s="235"/>
      <c r="D178" s="391">
        <f>D179+D180+D181</f>
        <v>9038638</v>
      </c>
      <c r="E178" s="390"/>
    </row>
    <row r="179" spans="1:5" ht="42" customHeight="1">
      <c r="A179" s="243" t="s">
        <v>548</v>
      </c>
      <c r="B179" s="234" t="s">
        <v>982</v>
      </c>
      <c r="C179" s="235" t="s">
        <v>549</v>
      </c>
      <c r="D179" s="275">
        <f>7573300+116000+35100</f>
        <v>7724400</v>
      </c>
      <c r="E179" s="390"/>
    </row>
    <row r="180" spans="1:5" ht="27.75" customHeight="1">
      <c r="A180" s="243" t="s">
        <v>560</v>
      </c>
      <c r="B180" s="234" t="s">
        <v>982</v>
      </c>
      <c r="C180" s="235" t="s">
        <v>561</v>
      </c>
      <c r="D180" s="275">
        <f>517200+35500+100000+467547+60000+7770+27875+30120+24075</f>
        <v>1270087</v>
      </c>
      <c r="E180" s="390"/>
    </row>
    <row r="181" spans="1:5" ht="16.5" customHeight="1">
      <c r="A181" s="255" t="s">
        <v>602</v>
      </c>
      <c r="B181" s="234" t="s">
        <v>982</v>
      </c>
      <c r="C181" s="235" t="s">
        <v>603</v>
      </c>
      <c r="D181" s="275">
        <f>35314-1063+9900</f>
        <v>44151</v>
      </c>
      <c r="E181" s="390"/>
    </row>
    <row r="182" spans="1:5" ht="27.75" customHeight="1">
      <c r="A182" s="255" t="s">
        <v>983</v>
      </c>
      <c r="B182" s="234" t="s">
        <v>984</v>
      </c>
      <c r="C182" s="235"/>
      <c r="D182" s="391">
        <f>D183+D185</f>
        <v>223052</v>
      </c>
      <c r="E182" s="390"/>
    </row>
    <row r="183" spans="1:5" ht="28.5" customHeight="1">
      <c r="A183" s="301" t="s">
        <v>985</v>
      </c>
      <c r="B183" s="234" t="s">
        <v>986</v>
      </c>
      <c r="C183" s="235"/>
      <c r="D183" s="391">
        <f>D184</f>
        <v>223052</v>
      </c>
      <c r="E183" s="390"/>
    </row>
    <row r="184" spans="1:5" ht="39" customHeight="1">
      <c r="A184" s="243" t="s">
        <v>548</v>
      </c>
      <c r="B184" s="234" t="s">
        <v>986</v>
      </c>
      <c r="C184" s="235" t="s">
        <v>549</v>
      </c>
      <c r="D184" s="236">
        <v>223052</v>
      </c>
      <c r="E184" s="390"/>
    </row>
    <row r="185" spans="1:5" ht="16.5" customHeight="1" hidden="1">
      <c r="A185" s="243" t="s">
        <v>929</v>
      </c>
      <c r="B185" s="234" t="s">
        <v>987</v>
      </c>
      <c r="C185" s="235"/>
      <c r="D185" s="391">
        <f>D186</f>
        <v>0</v>
      </c>
      <c r="E185" s="390"/>
    </row>
    <row r="186" spans="1:5" ht="27" customHeight="1" hidden="1">
      <c r="A186" s="243" t="s">
        <v>560</v>
      </c>
      <c r="B186" s="234" t="s">
        <v>987</v>
      </c>
      <c r="C186" s="235" t="s">
        <v>561</v>
      </c>
      <c r="D186" s="391"/>
      <c r="E186" s="390"/>
    </row>
    <row r="187" spans="1:5" ht="43.5" customHeight="1">
      <c r="A187" s="298" t="s">
        <v>799</v>
      </c>
      <c r="B187" s="234" t="s">
        <v>800</v>
      </c>
      <c r="C187" s="235"/>
      <c r="D187" s="391">
        <f>D188</f>
        <v>530000</v>
      </c>
      <c r="E187" s="390"/>
    </row>
    <row r="188" spans="1:5" s="250" customFormat="1" ht="54" customHeight="1">
      <c r="A188" s="351" t="s">
        <v>801</v>
      </c>
      <c r="B188" s="234" t="s">
        <v>802</v>
      </c>
      <c r="C188" s="235"/>
      <c r="D188" s="391">
        <f>D189</f>
        <v>530000</v>
      </c>
      <c r="E188" s="392"/>
    </row>
    <row r="189" spans="1:5" s="250" customFormat="1" ht="44.25" customHeight="1">
      <c r="A189" s="255" t="s">
        <v>803</v>
      </c>
      <c r="B189" s="234" t="s">
        <v>804</v>
      </c>
      <c r="C189" s="235"/>
      <c r="D189" s="236">
        <f>D190+D192</f>
        <v>530000</v>
      </c>
      <c r="E189" s="392"/>
    </row>
    <row r="190" spans="1:5" ht="18" customHeight="1" hidden="1">
      <c r="A190" s="241" t="s">
        <v>805</v>
      </c>
      <c r="B190" s="234" t="s">
        <v>806</v>
      </c>
      <c r="C190" s="235"/>
      <c r="D190" s="236">
        <f>D191</f>
        <v>0</v>
      </c>
      <c r="E190" s="390"/>
    </row>
    <row r="191" spans="1:5" ht="27" customHeight="1" hidden="1">
      <c r="A191" s="243" t="s">
        <v>560</v>
      </c>
      <c r="B191" s="234" t="s">
        <v>806</v>
      </c>
      <c r="C191" s="235" t="s">
        <v>561</v>
      </c>
      <c r="D191" s="236"/>
      <c r="E191" s="390"/>
    </row>
    <row r="192" spans="1:5" ht="18.75" customHeight="1">
      <c r="A192" s="241" t="s">
        <v>807</v>
      </c>
      <c r="B192" s="234" t="s">
        <v>808</v>
      </c>
      <c r="C192" s="235"/>
      <c r="D192" s="236">
        <f>D193</f>
        <v>530000</v>
      </c>
      <c r="E192" s="390"/>
    </row>
    <row r="193" spans="1:5" ht="25.5" customHeight="1">
      <c r="A193" s="243" t="s">
        <v>560</v>
      </c>
      <c r="B193" s="234" t="s">
        <v>808</v>
      </c>
      <c r="C193" s="235" t="s">
        <v>561</v>
      </c>
      <c r="D193" s="236">
        <v>530000</v>
      </c>
      <c r="E193" s="390"/>
    </row>
    <row r="194" spans="1:5" ht="42.75" customHeight="1" hidden="1">
      <c r="A194" s="352" t="s">
        <v>809</v>
      </c>
      <c r="B194" s="259" t="s">
        <v>810</v>
      </c>
      <c r="C194" s="235"/>
      <c r="D194" s="388">
        <f>D195</f>
        <v>0</v>
      </c>
      <c r="E194" s="390"/>
    </row>
    <row r="195" spans="1:5" s="250" customFormat="1" ht="67.5" customHeight="1" hidden="1">
      <c r="A195" s="280" t="s">
        <v>1123</v>
      </c>
      <c r="B195" s="259" t="s">
        <v>812</v>
      </c>
      <c r="C195" s="235"/>
      <c r="D195" s="388">
        <f>D197</f>
        <v>0</v>
      </c>
      <c r="E195" s="392"/>
    </row>
    <row r="196" spans="1:5" s="250" customFormat="1" ht="31.5" customHeight="1" hidden="1">
      <c r="A196" s="255" t="s">
        <v>813</v>
      </c>
      <c r="B196" s="259" t="s">
        <v>814</v>
      </c>
      <c r="C196" s="235"/>
      <c r="D196" s="388">
        <f>D197</f>
        <v>0</v>
      </c>
      <c r="E196" s="392"/>
    </row>
    <row r="197" spans="1:5" ht="15.75" customHeight="1" hidden="1">
      <c r="A197" s="233" t="s">
        <v>815</v>
      </c>
      <c r="B197" s="259" t="s">
        <v>816</v>
      </c>
      <c r="C197" s="235"/>
      <c r="D197" s="388">
        <f>D198</f>
        <v>0</v>
      </c>
      <c r="E197" s="390"/>
    </row>
    <row r="198" spans="1:5" ht="26.25" customHeight="1" hidden="1">
      <c r="A198" s="243" t="s">
        <v>560</v>
      </c>
      <c r="B198" s="259" t="s">
        <v>816</v>
      </c>
      <c r="C198" s="235" t="s">
        <v>561</v>
      </c>
      <c r="D198" s="388"/>
      <c r="E198" s="390"/>
    </row>
    <row r="199" spans="1:5" ht="39">
      <c r="A199" s="233" t="s">
        <v>854</v>
      </c>
      <c r="B199" s="259" t="s">
        <v>855</v>
      </c>
      <c r="C199" s="245"/>
      <c r="D199" s="391">
        <f>D200</f>
        <v>10195138</v>
      </c>
      <c r="E199" s="390"/>
    </row>
    <row r="200" spans="1:5" s="250" customFormat="1" ht="51.75">
      <c r="A200" s="353" t="s">
        <v>856</v>
      </c>
      <c r="B200" s="263" t="s">
        <v>857</v>
      </c>
      <c r="C200" s="245"/>
      <c r="D200" s="391">
        <f>D201</f>
        <v>10195138</v>
      </c>
      <c r="E200" s="392"/>
    </row>
    <row r="201" spans="1:5" ht="25.5">
      <c r="A201" s="255" t="s">
        <v>858</v>
      </c>
      <c r="B201" s="263" t="s">
        <v>1125</v>
      </c>
      <c r="C201" s="245"/>
      <c r="D201" s="391">
        <f>D202+D204+D207</f>
        <v>10195138</v>
      </c>
      <c r="E201" s="390"/>
    </row>
    <row r="202" spans="1:5" ht="38.25">
      <c r="A202" s="264" t="s">
        <v>859</v>
      </c>
      <c r="B202" s="263" t="s">
        <v>860</v>
      </c>
      <c r="C202" s="245"/>
      <c r="D202" s="391">
        <f>D203</f>
        <v>9500000</v>
      </c>
      <c r="E202" s="390"/>
    </row>
    <row r="203" spans="1:5" ht="15">
      <c r="A203" s="292" t="s">
        <v>720</v>
      </c>
      <c r="B203" s="263" t="s">
        <v>860</v>
      </c>
      <c r="C203" s="245" t="s">
        <v>721</v>
      </c>
      <c r="D203" s="275">
        <f>13131613-3631613</f>
        <v>9500000</v>
      </c>
      <c r="E203" s="390"/>
    </row>
    <row r="204" spans="1:5" ht="38.25">
      <c r="A204" s="264" t="s">
        <v>861</v>
      </c>
      <c r="B204" s="263" t="s">
        <v>862</v>
      </c>
      <c r="C204" s="245"/>
      <c r="D204" s="391">
        <f>D205</f>
        <v>526138</v>
      </c>
      <c r="E204" s="390"/>
    </row>
    <row r="205" spans="1:5" ht="15">
      <c r="A205" s="292" t="s">
        <v>720</v>
      </c>
      <c r="B205" s="263" t="s">
        <v>862</v>
      </c>
      <c r="C205" s="245" t="s">
        <v>721</v>
      </c>
      <c r="D205" s="275">
        <f>970000-278862-87000-78000</f>
        <v>526138</v>
      </c>
      <c r="E205" s="390"/>
    </row>
    <row r="206" spans="1:5" ht="25.5">
      <c r="A206" s="264" t="s">
        <v>863</v>
      </c>
      <c r="B206" s="263" t="s">
        <v>864</v>
      </c>
      <c r="C206" s="245"/>
      <c r="D206" s="236"/>
      <c r="E206" s="390"/>
    </row>
    <row r="207" spans="1:5" ht="15">
      <c r="A207" s="292" t="s">
        <v>720</v>
      </c>
      <c r="B207" s="263" t="s">
        <v>864</v>
      </c>
      <c r="C207" s="245" t="s">
        <v>721</v>
      </c>
      <c r="D207" s="236">
        <v>169000</v>
      </c>
      <c r="E207" s="390"/>
    </row>
    <row r="208" spans="1:5" ht="42" customHeight="1">
      <c r="A208" s="353" t="s">
        <v>865</v>
      </c>
      <c r="B208" s="274" t="s">
        <v>818</v>
      </c>
      <c r="C208" s="235"/>
      <c r="D208" s="388">
        <f>D220+D209</f>
        <v>6410611</v>
      </c>
      <c r="E208" s="390"/>
    </row>
    <row r="209" spans="1:5" s="250" customFormat="1" ht="64.5" customHeight="1" hidden="1">
      <c r="A209" s="393" t="s">
        <v>1179</v>
      </c>
      <c r="B209" s="263" t="s">
        <v>1180</v>
      </c>
      <c r="C209" s="245"/>
      <c r="D209" s="388">
        <f>D210+D213</f>
        <v>0</v>
      </c>
      <c r="E209" s="392"/>
    </row>
    <row r="210" spans="1:5" ht="25.5" customHeight="1" hidden="1">
      <c r="A210" s="255" t="s">
        <v>1181</v>
      </c>
      <c r="B210" s="259" t="s">
        <v>1182</v>
      </c>
      <c r="C210" s="245"/>
      <c r="D210" s="388">
        <f>D212</f>
        <v>0</v>
      </c>
      <c r="E210" s="390"/>
    </row>
    <row r="211" spans="1:5" ht="15.75" customHeight="1" hidden="1">
      <c r="A211" s="292" t="s">
        <v>1183</v>
      </c>
      <c r="B211" s="263" t="s">
        <v>1184</v>
      </c>
      <c r="C211" s="245"/>
      <c r="D211" s="388">
        <f>D212</f>
        <v>0</v>
      </c>
      <c r="E211" s="390"/>
    </row>
    <row r="212" spans="1:5" ht="15.75" customHeight="1" hidden="1">
      <c r="A212" s="292" t="s">
        <v>720</v>
      </c>
      <c r="B212" s="263" t="s">
        <v>1184</v>
      </c>
      <c r="C212" s="245" t="s">
        <v>721</v>
      </c>
      <c r="D212" s="388"/>
      <c r="E212" s="390"/>
    </row>
    <row r="213" spans="1:5" ht="26.25" customHeight="1" hidden="1">
      <c r="A213" s="240" t="s">
        <v>1185</v>
      </c>
      <c r="B213" s="259" t="s">
        <v>1186</v>
      </c>
      <c r="C213" s="245"/>
      <c r="D213" s="388">
        <f>D214</f>
        <v>0</v>
      </c>
      <c r="E213" s="390"/>
    </row>
    <row r="214" spans="1:5" ht="15.75" customHeight="1" hidden="1">
      <c r="A214" s="241" t="s">
        <v>1187</v>
      </c>
      <c r="B214" s="263" t="s">
        <v>1188</v>
      </c>
      <c r="C214" s="245"/>
      <c r="D214" s="388">
        <f>D215</f>
        <v>0</v>
      </c>
      <c r="E214" s="390"/>
    </row>
    <row r="215" spans="1:5" ht="15.75" customHeight="1" hidden="1">
      <c r="A215" s="292" t="s">
        <v>720</v>
      </c>
      <c r="B215" s="263" t="s">
        <v>1188</v>
      </c>
      <c r="C215" s="245" t="s">
        <v>721</v>
      </c>
      <c r="D215" s="388"/>
      <c r="E215" s="390"/>
    </row>
    <row r="216" spans="1:5" ht="15.75" customHeight="1" hidden="1">
      <c r="A216" s="292" t="s">
        <v>1183</v>
      </c>
      <c r="B216" s="263" t="s">
        <v>1189</v>
      </c>
      <c r="C216" s="245"/>
      <c r="D216" s="388">
        <f>D217</f>
        <v>0</v>
      </c>
      <c r="E216" s="390"/>
    </row>
    <row r="217" spans="1:5" ht="15.75" customHeight="1" hidden="1">
      <c r="A217" s="292" t="s">
        <v>720</v>
      </c>
      <c r="B217" s="263" t="s">
        <v>1189</v>
      </c>
      <c r="C217" s="245" t="s">
        <v>721</v>
      </c>
      <c r="D217" s="388"/>
      <c r="E217" s="390"/>
    </row>
    <row r="218" spans="1:5" ht="15.75" customHeight="1" hidden="1">
      <c r="A218" s="292" t="s">
        <v>1190</v>
      </c>
      <c r="B218" s="263" t="s">
        <v>1191</v>
      </c>
      <c r="C218" s="245"/>
      <c r="D218" s="388">
        <f>D219</f>
        <v>0</v>
      </c>
      <c r="E218" s="390"/>
    </row>
    <row r="219" spans="1:5" ht="15.75" customHeight="1" hidden="1">
      <c r="A219" s="292" t="s">
        <v>720</v>
      </c>
      <c r="B219" s="263" t="s">
        <v>1191</v>
      </c>
      <c r="C219" s="245" t="s">
        <v>721</v>
      </c>
      <c r="D219" s="388"/>
      <c r="E219" s="390"/>
    </row>
    <row r="220" spans="1:5" s="250" customFormat="1" ht="51">
      <c r="A220" s="280" t="s">
        <v>1192</v>
      </c>
      <c r="B220" s="274" t="s">
        <v>820</v>
      </c>
      <c r="C220" s="235"/>
      <c r="D220" s="388">
        <f>D221+D226+D235+D229</f>
        <v>6410611</v>
      </c>
      <c r="E220" s="392"/>
    </row>
    <row r="221" spans="1:5" s="250" customFormat="1" ht="33.75" customHeight="1">
      <c r="A221" s="255" t="s">
        <v>899</v>
      </c>
      <c r="B221" s="259" t="s">
        <v>900</v>
      </c>
      <c r="C221" s="245"/>
      <c r="D221" s="388">
        <f>D222+D224</f>
        <v>2185800</v>
      </c>
      <c r="E221" s="392"/>
    </row>
    <row r="222" spans="1:5" s="250" customFormat="1" ht="24">
      <c r="A222" s="295" t="s">
        <v>901</v>
      </c>
      <c r="B222" s="259" t="s">
        <v>902</v>
      </c>
      <c r="C222" s="245"/>
      <c r="D222" s="388">
        <f>D223</f>
        <v>1748640</v>
      </c>
      <c r="E222" s="392"/>
    </row>
    <row r="223" spans="1:5" s="250" customFormat="1" ht="26.25">
      <c r="A223" s="281" t="s">
        <v>776</v>
      </c>
      <c r="B223" s="259" t="s">
        <v>902</v>
      </c>
      <c r="C223" s="245" t="s">
        <v>777</v>
      </c>
      <c r="D223" s="388">
        <f>1748640</f>
        <v>1748640</v>
      </c>
      <c r="E223" s="392"/>
    </row>
    <row r="224" spans="1:5" s="250" customFormat="1" ht="24">
      <c r="A224" s="295" t="s">
        <v>903</v>
      </c>
      <c r="B224" s="259" t="s">
        <v>904</v>
      </c>
      <c r="C224" s="245"/>
      <c r="D224" s="388">
        <f>D225</f>
        <v>437160</v>
      </c>
      <c r="E224" s="392"/>
    </row>
    <row r="225" spans="1:5" s="250" customFormat="1" ht="26.25">
      <c r="A225" s="243" t="s">
        <v>776</v>
      </c>
      <c r="B225" s="259" t="s">
        <v>904</v>
      </c>
      <c r="C225" s="245" t="s">
        <v>777</v>
      </c>
      <c r="D225" s="388">
        <f>460000-22840</f>
        <v>437160</v>
      </c>
      <c r="E225" s="392"/>
    </row>
    <row r="226" spans="1:5" s="250" customFormat="1" ht="30.75" customHeight="1">
      <c r="A226" s="255" t="s">
        <v>868</v>
      </c>
      <c r="B226" s="259" t="s">
        <v>869</v>
      </c>
      <c r="C226" s="245"/>
      <c r="D226" s="391">
        <f>D227</f>
        <v>2300384</v>
      </c>
      <c r="E226" s="392"/>
    </row>
    <row r="227" spans="1:5" s="250" customFormat="1" ht="39">
      <c r="A227" s="241" t="s">
        <v>870</v>
      </c>
      <c r="B227" s="259" t="s">
        <v>871</v>
      </c>
      <c r="C227" s="245"/>
      <c r="D227" s="391">
        <f>D228</f>
        <v>2300384</v>
      </c>
      <c r="E227" s="392"/>
    </row>
    <row r="228" spans="1:5" s="250" customFormat="1" ht="15">
      <c r="A228" s="292" t="s">
        <v>720</v>
      </c>
      <c r="B228" s="259" t="s">
        <v>871</v>
      </c>
      <c r="C228" s="245" t="s">
        <v>721</v>
      </c>
      <c r="D228" s="275">
        <f>500000+500000+500000+500000+222384+78000</f>
        <v>2300384</v>
      </c>
      <c r="E228" s="392"/>
    </row>
    <row r="229" spans="1:5" s="250" customFormat="1" ht="0.75" customHeight="1" hidden="1">
      <c r="A229" s="243" t="s">
        <v>847</v>
      </c>
      <c r="B229" s="234" t="s">
        <v>848</v>
      </c>
      <c r="C229" s="245"/>
      <c r="D229" s="236">
        <f>D230+D232</f>
        <v>0</v>
      </c>
      <c r="E229" s="392"/>
    </row>
    <row r="230" spans="1:5" s="250" customFormat="1" ht="26.25" customHeight="1" hidden="1">
      <c r="A230" s="243" t="s">
        <v>849</v>
      </c>
      <c r="B230" s="234" t="s">
        <v>850</v>
      </c>
      <c r="C230" s="245"/>
      <c r="D230" s="236">
        <f>D231</f>
        <v>0</v>
      </c>
      <c r="E230" s="392"/>
    </row>
    <row r="231" spans="1:5" s="250" customFormat="1" ht="22.5" customHeight="1" hidden="1">
      <c r="A231" s="292" t="s">
        <v>720</v>
      </c>
      <c r="B231" s="234" t="s">
        <v>850</v>
      </c>
      <c r="C231" s="245" t="s">
        <v>721</v>
      </c>
      <c r="D231" s="236"/>
      <c r="E231" s="392"/>
    </row>
    <row r="232" spans="1:5" s="250" customFormat="1" ht="26.25" customHeight="1" hidden="1">
      <c r="A232" s="292" t="s">
        <v>851</v>
      </c>
      <c r="B232" s="234" t="s">
        <v>852</v>
      </c>
      <c r="C232" s="245"/>
      <c r="D232" s="236">
        <f>D234+D233</f>
        <v>0</v>
      </c>
      <c r="E232" s="392"/>
    </row>
    <row r="233" spans="1:5" s="250" customFormat="1" ht="26.25" customHeight="1" hidden="1">
      <c r="A233" s="243" t="s">
        <v>560</v>
      </c>
      <c r="B233" s="234" t="s">
        <v>852</v>
      </c>
      <c r="C233" s="245" t="s">
        <v>561</v>
      </c>
      <c r="D233" s="236"/>
      <c r="E233" s="392"/>
    </row>
    <row r="234" spans="1:5" s="250" customFormat="1" ht="26.25" customHeight="1" hidden="1">
      <c r="A234" s="292" t="s">
        <v>776</v>
      </c>
      <c r="B234" s="234" t="s">
        <v>852</v>
      </c>
      <c r="C234" s="245" t="s">
        <v>777</v>
      </c>
      <c r="D234" s="236"/>
      <c r="E234" s="392"/>
    </row>
    <row r="235" spans="1:5" s="250" customFormat="1" ht="29.25" customHeight="1">
      <c r="A235" s="255" t="s">
        <v>821</v>
      </c>
      <c r="B235" s="259" t="s">
        <v>822</v>
      </c>
      <c r="C235" s="245"/>
      <c r="D235" s="391">
        <f>D242+D236+D239</f>
        <v>1924427</v>
      </c>
      <c r="E235" s="392"/>
    </row>
    <row r="236" spans="1:5" s="250" customFormat="1" ht="51">
      <c r="A236" s="255" t="s">
        <v>823</v>
      </c>
      <c r="B236" s="259" t="s">
        <v>824</v>
      </c>
      <c r="C236" s="245"/>
      <c r="D236" s="391">
        <f>D238+D237</f>
        <v>1017730</v>
      </c>
      <c r="E236" s="392"/>
    </row>
    <row r="237" spans="1:5" s="250" customFormat="1" ht="26.25">
      <c r="A237" s="243" t="s">
        <v>560</v>
      </c>
      <c r="B237" s="259" t="s">
        <v>824</v>
      </c>
      <c r="C237" s="245" t="s">
        <v>561</v>
      </c>
      <c r="D237" s="236">
        <f>58130</f>
        <v>58130</v>
      </c>
      <c r="E237" s="392"/>
    </row>
    <row r="238" spans="1:5" s="250" customFormat="1" ht="15">
      <c r="A238" s="292" t="s">
        <v>720</v>
      </c>
      <c r="B238" s="259" t="s">
        <v>824</v>
      </c>
      <c r="C238" s="245" t="s">
        <v>721</v>
      </c>
      <c r="D238" s="236">
        <f>1017730-58130</f>
        <v>959600</v>
      </c>
      <c r="E238" s="392"/>
    </row>
    <row r="239" spans="1:5" s="250" customFormat="1" ht="30" customHeight="1">
      <c r="A239" s="255" t="s">
        <v>825</v>
      </c>
      <c r="B239" s="259" t="s">
        <v>826</v>
      </c>
      <c r="C239" s="245"/>
      <c r="D239" s="391">
        <f>D241+D240</f>
        <v>440322</v>
      </c>
      <c r="E239" s="392"/>
    </row>
    <row r="240" spans="1:5" s="250" customFormat="1" ht="26.25" customHeight="1">
      <c r="A240" s="243" t="s">
        <v>560</v>
      </c>
      <c r="B240" s="259" t="s">
        <v>826</v>
      </c>
      <c r="C240" s="245" t="s">
        <v>561</v>
      </c>
      <c r="D240" s="391">
        <f>29065</f>
        <v>29065</v>
      </c>
      <c r="E240" s="392"/>
    </row>
    <row r="241" spans="1:5" s="250" customFormat="1" ht="23.25" customHeight="1">
      <c r="A241" s="292" t="s">
        <v>720</v>
      </c>
      <c r="B241" s="259" t="s">
        <v>826</v>
      </c>
      <c r="C241" s="245" t="s">
        <v>721</v>
      </c>
      <c r="D241" s="236">
        <f>877632-466375</f>
        <v>411257</v>
      </c>
      <c r="E241" s="392"/>
    </row>
    <row r="242" spans="1:5" s="250" customFormat="1" ht="39">
      <c r="A242" s="292" t="s">
        <v>827</v>
      </c>
      <c r="B242" s="259" t="s">
        <v>828</v>
      </c>
      <c r="C242" s="245"/>
      <c r="D242" s="391">
        <f>D243</f>
        <v>466375</v>
      </c>
      <c r="E242" s="392"/>
    </row>
    <row r="243" spans="1:5" s="250" customFormat="1" ht="15">
      <c r="A243" s="292" t="s">
        <v>720</v>
      </c>
      <c r="B243" s="259" t="s">
        <v>828</v>
      </c>
      <c r="C243" s="245" t="s">
        <v>721</v>
      </c>
      <c r="D243" s="391">
        <f>466375</f>
        <v>466375</v>
      </c>
      <c r="E243" s="392"/>
    </row>
    <row r="244" spans="1:5" ht="45" customHeight="1">
      <c r="A244" s="255" t="s">
        <v>952</v>
      </c>
      <c r="B244" s="263" t="s">
        <v>953</v>
      </c>
      <c r="C244" s="235"/>
      <c r="D244" s="391">
        <f>D245+D250+D260</f>
        <v>4942663.39</v>
      </c>
      <c r="E244" s="390"/>
    </row>
    <row r="245" spans="1:5" s="250" customFormat="1" ht="63" customHeight="1">
      <c r="A245" s="255" t="s">
        <v>954</v>
      </c>
      <c r="B245" s="263" t="s">
        <v>955</v>
      </c>
      <c r="C245" s="270"/>
      <c r="D245" s="391">
        <f>D246</f>
        <v>105000</v>
      </c>
      <c r="E245" s="392"/>
    </row>
    <row r="246" spans="1:5" ht="45" customHeight="1">
      <c r="A246" s="255" t="s">
        <v>956</v>
      </c>
      <c r="B246" s="263" t="s">
        <v>957</v>
      </c>
      <c r="C246" s="270"/>
      <c r="D246" s="391">
        <f>D247</f>
        <v>105000</v>
      </c>
      <c r="E246" s="390"/>
    </row>
    <row r="247" spans="1:5" ht="15.75" customHeight="1">
      <c r="A247" s="255" t="s">
        <v>958</v>
      </c>
      <c r="B247" s="263" t="s">
        <v>959</v>
      </c>
      <c r="C247" s="270"/>
      <c r="D247" s="391">
        <f>D248+D249</f>
        <v>105000</v>
      </c>
      <c r="E247" s="390"/>
    </row>
    <row r="248" spans="1:5" s="250" customFormat="1" ht="26.25">
      <c r="A248" s="243" t="s">
        <v>560</v>
      </c>
      <c r="B248" s="263" t="s">
        <v>959</v>
      </c>
      <c r="C248" s="270" t="s">
        <v>561</v>
      </c>
      <c r="D248" s="391">
        <f>85000-20000+20000</f>
        <v>85000</v>
      </c>
      <c r="E248" s="392"/>
    </row>
    <row r="249" spans="1:5" s="250" customFormat="1" ht="15">
      <c r="A249" s="240" t="s">
        <v>733</v>
      </c>
      <c r="B249" s="263" t="s">
        <v>959</v>
      </c>
      <c r="C249" s="270" t="s">
        <v>734</v>
      </c>
      <c r="D249" s="391">
        <f>20000</f>
        <v>20000</v>
      </c>
      <c r="E249" s="392"/>
    </row>
    <row r="250" spans="1:5" s="250" customFormat="1" ht="68.25" customHeight="1">
      <c r="A250" s="280" t="s">
        <v>1076</v>
      </c>
      <c r="B250" s="263" t="s">
        <v>1077</v>
      </c>
      <c r="C250" s="235"/>
      <c r="D250" s="391">
        <f>D251+D255</f>
        <v>461440</v>
      </c>
      <c r="E250" s="392"/>
    </row>
    <row r="251" spans="1:5" s="250" customFormat="1" ht="44.25" customHeight="1">
      <c r="A251" s="280" t="s">
        <v>1078</v>
      </c>
      <c r="B251" s="263" t="s">
        <v>1079</v>
      </c>
      <c r="C251" s="235"/>
      <c r="D251" s="391">
        <f>D252</f>
        <v>150000</v>
      </c>
      <c r="E251" s="392"/>
    </row>
    <row r="252" spans="1:5" ht="39">
      <c r="A252" s="240" t="s">
        <v>1080</v>
      </c>
      <c r="B252" s="263" t="s">
        <v>1081</v>
      </c>
      <c r="C252" s="235"/>
      <c r="D252" s="391">
        <f>D254+D253</f>
        <v>150000</v>
      </c>
      <c r="E252" s="390"/>
    </row>
    <row r="253" spans="1:5" ht="0.75" customHeight="1" hidden="1">
      <c r="A253" s="243" t="s">
        <v>548</v>
      </c>
      <c r="B253" s="263" t="s">
        <v>1081</v>
      </c>
      <c r="C253" s="235" t="s">
        <v>549</v>
      </c>
      <c r="D253" s="391">
        <f>3195-3195</f>
        <v>0</v>
      </c>
      <c r="E253" s="390"/>
    </row>
    <row r="254" spans="1:5" s="250" customFormat="1" ht="25.5" customHeight="1">
      <c r="A254" s="243" t="s">
        <v>560</v>
      </c>
      <c r="B254" s="263" t="s">
        <v>1081</v>
      </c>
      <c r="C254" s="235" t="s">
        <v>561</v>
      </c>
      <c r="D254" s="391">
        <f>100000+50000</f>
        <v>150000</v>
      </c>
      <c r="E254" s="392"/>
    </row>
    <row r="255" spans="1:5" s="250" customFormat="1" ht="25.5">
      <c r="A255" s="266" t="s">
        <v>1082</v>
      </c>
      <c r="B255" s="263" t="s">
        <v>1083</v>
      </c>
      <c r="C255" s="235"/>
      <c r="D255" s="391">
        <f>D256</f>
        <v>311440</v>
      </c>
      <c r="E255" s="392"/>
    </row>
    <row r="256" spans="1:5" s="250" customFormat="1" ht="25.5">
      <c r="A256" s="255" t="s">
        <v>722</v>
      </c>
      <c r="B256" s="263" t="s">
        <v>1084</v>
      </c>
      <c r="C256" s="235"/>
      <c r="D256" s="391">
        <f>D257+D258+D259</f>
        <v>311440</v>
      </c>
      <c r="E256" s="392"/>
    </row>
    <row r="257" spans="1:5" ht="39">
      <c r="A257" s="243" t="s">
        <v>548</v>
      </c>
      <c r="B257" s="263" t="s">
        <v>1084</v>
      </c>
      <c r="C257" s="235" t="s">
        <v>549</v>
      </c>
      <c r="D257" s="275">
        <f>92350+27890+19000</f>
        <v>139240</v>
      </c>
      <c r="E257" s="390"/>
    </row>
    <row r="258" spans="1:5" ht="26.25">
      <c r="A258" s="243" t="s">
        <v>560</v>
      </c>
      <c r="B258" s="263" t="s">
        <v>1084</v>
      </c>
      <c r="C258" s="235" t="s">
        <v>561</v>
      </c>
      <c r="D258" s="275">
        <f>115000+160200-103000</f>
        <v>172200</v>
      </c>
      <c r="E258" s="390"/>
    </row>
    <row r="259" spans="1:5" ht="15">
      <c r="A259" s="255" t="s">
        <v>602</v>
      </c>
      <c r="B259" s="263" t="s">
        <v>1193</v>
      </c>
      <c r="C259" s="235" t="s">
        <v>603</v>
      </c>
      <c r="D259" s="391"/>
      <c r="E259" s="390"/>
    </row>
    <row r="260" spans="1:5" s="250" customFormat="1" ht="58.5" customHeight="1">
      <c r="A260" s="280" t="s">
        <v>960</v>
      </c>
      <c r="B260" s="263" t="s">
        <v>961</v>
      </c>
      <c r="C260" s="270"/>
      <c r="D260" s="391">
        <f>D261+D273+D270</f>
        <v>4376223.39</v>
      </c>
      <c r="E260" s="392"/>
    </row>
    <row r="261" spans="1:5" ht="25.5">
      <c r="A261" s="255" t="s">
        <v>962</v>
      </c>
      <c r="B261" s="263" t="s">
        <v>963</v>
      </c>
      <c r="C261" s="270"/>
      <c r="D261" s="391">
        <f>D262+D265+D268</f>
        <v>1733211</v>
      </c>
      <c r="E261" s="390"/>
    </row>
    <row r="262" spans="1:5" ht="15">
      <c r="A262" s="240" t="s">
        <v>964</v>
      </c>
      <c r="B262" s="263" t="s">
        <v>965</v>
      </c>
      <c r="C262" s="235"/>
      <c r="D262" s="391">
        <f>D263+D264</f>
        <v>615795</v>
      </c>
      <c r="E262" s="390"/>
    </row>
    <row r="263" spans="1:5" ht="26.25">
      <c r="A263" s="243" t="s">
        <v>560</v>
      </c>
      <c r="B263" s="263" t="s">
        <v>965</v>
      </c>
      <c r="C263" s="270" t="s">
        <v>561</v>
      </c>
      <c r="D263" s="236">
        <f>237417</f>
        <v>237417</v>
      </c>
      <c r="E263" s="390"/>
    </row>
    <row r="264" spans="1:5" ht="15">
      <c r="A264" s="240" t="s">
        <v>733</v>
      </c>
      <c r="B264" s="263" t="s">
        <v>965</v>
      </c>
      <c r="C264" s="270" t="s">
        <v>734</v>
      </c>
      <c r="D264" s="236">
        <f>378378</f>
        <v>378378</v>
      </c>
      <c r="E264" s="390"/>
    </row>
    <row r="265" spans="1:5" ht="18.75" customHeight="1">
      <c r="A265" s="339" t="s">
        <v>966</v>
      </c>
      <c r="B265" s="263" t="s">
        <v>967</v>
      </c>
      <c r="C265" s="235"/>
      <c r="D265" s="391">
        <f>D267+D266</f>
        <v>1102863</v>
      </c>
      <c r="E265" s="390"/>
    </row>
    <row r="266" spans="1:5" ht="29.25" customHeight="1">
      <c r="A266" s="243" t="s">
        <v>560</v>
      </c>
      <c r="B266" s="263" t="s">
        <v>967</v>
      </c>
      <c r="C266" s="270" t="s">
        <v>561</v>
      </c>
      <c r="D266" s="236">
        <v>520743</v>
      </c>
      <c r="E266" s="390"/>
    </row>
    <row r="267" spans="1:5" ht="21" customHeight="1">
      <c r="A267" s="240" t="s">
        <v>733</v>
      </c>
      <c r="B267" s="263" t="s">
        <v>967</v>
      </c>
      <c r="C267" s="270" t="s">
        <v>734</v>
      </c>
      <c r="D267" s="236">
        <f>618000-20412-15468</f>
        <v>582120</v>
      </c>
      <c r="E267" s="390"/>
    </row>
    <row r="268" spans="1:5" ht="21" customHeight="1">
      <c r="A268" s="339" t="s">
        <v>968</v>
      </c>
      <c r="B268" s="263" t="s">
        <v>969</v>
      </c>
      <c r="C268" s="235"/>
      <c r="D268" s="236">
        <f>D269</f>
        <v>14553</v>
      </c>
      <c r="E268" s="390"/>
    </row>
    <row r="269" spans="1:5" ht="21" customHeight="1">
      <c r="A269" s="240" t="s">
        <v>733</v>
      </c>
      <c r="B269" s="263" t="s">
        <v>969</v>
      </c>
      <c r="C269" s="270" t="s">
        <v>734</v>
      </c>
      <c r="D269" s="236">
        <f>14553</f>
        <v>14553</v>
      </c>
      <c r="E269" s="390"/>
    </row>
    <row r="270" spans="1:5" ht="15.75" customHeight="1">
      <c r="A270" s="255" t="s">
        <v>970</v>
      </c>
      <c r="B270" s="263" t="s">
        <v>971</v>
      </c>
      <c r="C270" s="270"/>
      <c r="D270" s="391">
        <f>D271</f>
        <v>36000</v>
      </c>
      <c r="E270" s="390"/>
    </row>
    <row r="271" spans="1:5" ht="15" customHeight="1">
      <c r="A271" s="243" t="s">
        <v>968</v>
      </c>
      <c r="B271" s="263" t="s">
        <v>972</v>
      </c>
      <c r="C271" s="270"/>
      <c r="D271" s="391">
        <f>D272</f>
        <v>36000</v>
      </c>
      <c r="E271" s="390"/>
    </row>
    <row r="272" spans="1:5" ht="22.5" customHeight="1">
      <c r="A272" s="304" t="s">
        <v>560</v>
      </c>
      <c r="B272" s="263" t="s">
        <v>972</v>
      </c>
      <c r="C272" s="270" t="s">
        <v>561</v>
      </c>
      <c r="D272" s="391">
        <v>36000</v>
      </c>
      <c r="E272" s="390"/>
    </row>
    <row r="273" spans="1:5" ht="39.75" customHeight="1">
      <c r="A273" s="255" t="s">
        <v>973</v>
      </c>
      <c r="B273" s="263" t="s">
        <v>974</v>
      </c>
      <c r="C273" s="270"/>
      <c r="D273" s="391">
        <f>D274</f>
        <v>2607012.3899999997</v>
      </c>
      <c r="E273" s="390"/>
    </row>
    <row r="274" spans="1:5" ht="24" customHeight="1">
      <c r="A274" s="241" t="s">
        <v>722</v>
      </c>
      <c r="B274" s="263" t="s">
        <v>975</v>
      </c>
      <c r="C274" s="270"/>
      <c r="D274" s="391">
        <f>D275+D276+D277</f>
        <v>2607012.3899999997</v>
      </c>
      <c r="E274" s="390"/>
    </row>
    <row r="275" spans="1:5" ht="30.75" customHeight="1">
      <c r="A275" s="240" t="s">
        <v>976</v>
      </c>
      <c r="B275" s="263" t="s">
        <v>975</v>
      </c>
      <c r="C275" s="235" t="s">
        <v>549</v>
      </c>
      <c r="D275" s="236">
        <v>616000</v>
      </c>
      <c r="E275" s="390"/>
    </row>
    <row r="276" spans="1:5" ht="27" customHeight="1">
      <c r="A276" s="243" t="s">
        <v>560</v>
      </c>
      <c r="B276" s="263" t="s">
        <v>975</v>
      </c>
      <c r="C276" s="270" t="s">
        <v>561</v>
      </c>
      <c r="D276" s="236">
        <v>1954002.39</v>
      </c>
      <c r="E276" s="390"/>
    </row>
    <row r="277" spans="1:5" ht="18.75" customHeight="1">
      <c r="A277" s="255" t="s">
        <v>602</v>
      </c>
      <c r="B277" s="263" t="s">
        <v>975</v>
      </c>
      <c r="C277" s="270" t="s">
        <v>603</v>
      </c>
      <c r="D277" s="236">
        <v>37010</v>
      </c>
      <c r="E277" s="390"/>
    </row>
    <row r="278" spans="1:5" ht="43.5" customHeight="1">
      <c r="A278" s="298" t="s">
        <v>1194</v>
      </c>
      <c r="B278" s="234" t="s">
        <v>665</v>
      </c>
      <c r="C278" s="245"/>
      <c r="D278" s="236">
        <f>D279</f>
        <v>1956076.33</v>
      </c>
      <c r="E278" s="390"/>
    </row>
    <row r="279" spans="1:5" s="250" customFormat="1" ht="57.75" customHeight="1">
      <c r="A279" s="280" t="s">
        <v>666</v>
      </c>
      <c r="B279" s="234" t="s">
        <v>667</v>
      </c>
      <c r="C279" s="245"/>
      <c r="D279" s="236">
        <f>D280</f>
        <v>1956076.33</v>
      </c>
      <c r="E279" s="392"/>
    </row>
    <row r="280" spans="1:5" s="250" customFormat="1" ht="27" customHeight="1">
      <c r="A280" s="280" t="s">
        <v>668</v>
      </c>
      <c r="B280" s="234" t="s">
        <v>669</v>
      </c>
      <c r="C280" s="245"/>
      <c r="D280" s="236">
        <f>D281</f>
        <v>1956076.33</v>
      </c>
      <c r="E280" s="392"/>
    </row>
    <row r="281" spans="1:5" ht="18" customHeight="1">
      <c r="A281" s="280" t="s">
        <v>670</v>
      </c>
      <c r="B281" s="234" t="s">
        <v>671</v>
      </c>
      <c r="C281" s="245"/>
      <c r="D281" s="236">
        <f>D283+D282</f>
        <v>1956076.33</v>
      </c>
      <c r="E281" s="390"/>
    </row>
    <row r="282" spans="1:5" ht="30.75" customHeight="1">
      <c r="A282" s="240" t="s">
        <v>976</v>
      </c>
      <c r="B282" s="234" t="s">
        <v>671</v>
      </c>
      <c r="C282" s="245" t="s">
        <v>549</v>
      </c>
      <c r="D282" s="275">
        <f>40000-10700</f>
        <v>29300</v>
      </c>
      <c r="E282" s="390"/>
    </row>
    <row r="283" spans="1:5" ht="27" customHeight="1">
      <c r="A283" s="243" t="s">
        <v>560</v>
      </c>
      <c r="B283" s="234" t="s">
        <v>671</v>
      </c>
      <c r="C283" s="235" t="s">
        <v>561</v>
      </c>
      <c r="D283" s="275">
        <f>567100+90000+30000+270000+37422+49551+640900+100000-504000+25000+560000+60803.33</f>
        <v>1926776.33</v>
      </c>
      <c r="E283" s="390"/>
    </row>
    <row r="284" spans="1:5" ht="33" customHeight="1">
      <c r="A284" s="233" t="s">
        <v>579</v>
      </c>
      <c r="B284" s="244" t="s">
        <v>580</v>
      </c>
      <c r="C284" s="235"/>
      <c r="D284" s="391">
        <f>D285</f>
        <v>409014</v>
      </c>
      <c r="E284" s="390"/>
    </row>
    <row r="285" spans="1:5" s="250" customFormat="1" ht="60" customHeight="1">
      <c r="A285" s="254" t="s">
        <v>581</v>
      </c>
      <c r="B285" s="244" t="s">
        <v>582</v>
      </c>
      <c r="C285" s="235"/>
      <c r="D285" s="391">
        <f>D286</f>
        <v>409014</v>
      </c>
      <c r="E285" s="392"/>
    </row>
    <row r="286" spans="1:5" s="250" customFormat="1" ht="29.25" customHeight="1">
      <c r="A286" s="255" t="s">
        <v>583</v>
      </c>
      <c r="B286" s="244" t="s">
        <v>584</v>
      </c>
      <c r="C286" s="235"/>
      <c r="D286" s="391">
        <f>D287+D290</f>
        <v>409014</v>
      </c>
      <c r="E286" s="392"/>
    </row>
    <row r="287" spans="1:5" ht="28.5" customHeight="1">
      <c r="A287" s="339" t="s">
        <v>585</v>
      </c>
      <c r="B287" s="244" t="s">
        <v>586</v>
      </c>
      <c r="C287" s="235"/>
      <c r="D287" s="391">
        <f>D288+D289</f>
        <v>329014</v>
      </c>
      <c r="E287" s="390"/>
    </row>
    <row r="288" spans="1:5" ht="42.75" customHeight="1">
      <c r="A288" s="243" t="s">
        <v>548</v>
      </c>
      <c r="B288" s="244" t="s">
        <v>586</v>
      </c>
      <c r="C288" s="245" t="s">
        <v>549</v>
      </c>
      <c r="D288" s="275">
        <f>295773+1540-810.64</f>
        <v>296502.36</v>
      </c>
      <c r="E288" s="390"/>
    </row>
    <row r="289" spans="1:5" ht="26.25">
      <c r="A289" s="243" t="s">
        <v>560</v>
      </c>
      <c r="B289" s="244" t="s">
        <v>586</v>
      </c>
      <c r="C289" s="245" t="s">
        <v>561</v>
      </c>
      <c r="D289" s="275">
        <f>33241-729.36</f>
        <v>32511.64</v>
      </c>
      <c r="E289" s="390"/>
    </row>
    <row r="290" spans="1:5" ht="26.25">
      <c r="A290" s="243" t="s">
        <v>674</v>
      </c>
      <c r="B290" s="244" t="s">
        <v>675</v>
      </c>
      <c r="C290" s="235"/>
      <c r="D290" s="236">
        <f>D291</f>
        <v>80000</v>
      </c>
      <c r="E290" s="390"/>
    </row>
    <row r="291" spans="1:5" ht="26.25">
      <c r="A291" s="243" t="s">
        <v>560</v>
      </c>
      <c r="B291" s="244" t="s">
        <v>675</v>
      </c>
      <c r="C291" s="245" t="s">
        <v>561</v>
      </c>
      <c r="D291" s="236">
        <f>80000</f>
        <v>80000</v>
      </c>
      <c r="E291" s="390"/>
    </row>
    <row r="292" spans="1:5" ht="44.25" customHeight="1">
      <c r="A292" s="279" t="s">
        <v>676</v>
      </c>
      <c r="B292" s="263" t="s">
        <v>677</v>
      </c>
      <c r="C292" s="235"/>
      <c r="D292" s="236">
        <f>D293+D308+D313</f>
        <v>17945187.88</v>
      </c>
      <c r="E292" s="390"/>
    </row>
    <row r="293" spans="1:5" s="250" customFormat="1" ht="51">
      <c r="A293" s="280" t="s">
        <v>766</v>
      </c>
      <c r="B293" s="263" t="s">
        <v>767</v>
      </c>
      <c r="C293" s="235"/>
      <c r="D293" s="236">
        <f>D294+D297</f>
        <v>15626587.879999999</v>
      </c>
      <c r="E293" s="392"/>
    </row>
    <row r="294" spans="1:4" s="250" customFormat="1" ht="25.5">
      <c r="A294" s="255" t="s">
        <v>768</v>
      </c>
      <c r="B294" s="263" t="s">
        <v>769</v>
      </c>
      <c r="C294" s="235"/>
      <c r="D294" s="236">
        <f>D295</f>
        <v>2107961.18</v>
      </c>
    </row>
    <row r="295" spans="1:4" ht="26.25">
      <c r="A295" s="243" t="s">
        <v>770</v>
      </c>
      <c r="B295" s="263" t="s">
        <v>771</v>
      </c>
      <c r="C295" s="235"/>
      <c r="D295" s="236">
        <f>D296</f>
        <v>2107961.18</v>
      </c>
    </row>
    <row r="296" spans="1:4" ht="18" customHeight="1">
      <c r="A296" s="243" t="s">
        <v>610</v>
      </c>
      <c r="B296" s="263" t="s">
        <v>771</v>
      </c>
      <c r="C296" s="235" t="s">
        <v>561</v>
      </c>
      <c r="D296" s="236">
        <f>200000+1263489.55+644471.63</f>
        <v>2107961.18</v>
      </c>
    </row>
    <row r="297" spans="1:4" ht="25.5">
      <c r="A297" s="255" t="s">
        <v>772</v>
      </c>
      <c r="B297" s="263" t="s">
        <v>773</v>
      </c>
      <c r="C297" s="235"/>
      <c r="D297" s="236">
        <f>D298+D304+D306+D302+D300</f>
        <v>13518626.7</v>
      </c>
    </row>
    <row r="298" spans="1:4" s="250" customFormat="1" ht="15">
      <c r="A298" s="243" t="s">
        <v>774</v>
      </c>
      <c r="B298" s="263" t="s">
        <v>775</v>
      </c>
      <c r="C298" s="235"/>
      <c r="D298" s="236">
        <f>D299</f>
        <v>1800000</v>
      </c>
    </row>
    <row r="299" spans="1:4" ht="22.5" customHeight="1">
      <c r="A299" s="281" t="s">
        <v>776</v>
      </c>
      <c r="B299" s="263" t="s">
        <v>775</v>
      </c>
      <c r="C299" s="235" t="s">
        <v>777</v>
      </c>
      <c r="D299" s="236">
        <f>1800000</f>
        <v>1800000</v>
      </c>
    </row>
    <row r="300" spans="1:4" ht="33" customHeight="1">
      <c r="A300" s="255" t="s">
        <v>780</v>
      </c>
      <c r="B300" s="263" t="s">
        <v>781</v>
      </c>
      <c r="C300" s="235"/>
      <c r="D300" s="236">
        <f>D301</f>
        <v>8950098.33</v>
      </c>
    </row>
    <row r="301" spans="1:4" ht="37.5" customHeight="1">
      <c r="A301" s="282" t="s">
        <v>776</v>
      </c>
      <c r="B301" s="263" t="s">
        <v>781</v>
      </c>
      <c r="C301" s="235" t="s">
        <v>777</v>
      </c>
      <c r="D301" s="275">
        <f>9060810-110711.67</f>
        <v>8950098.33</v>
      </c>
    </row>
    <row r="302" spans="1:4" ht="45.75" customHeight="1">
      <c r="A302" s="283" t="s">
        <v>782</v>
      </c>
      <c r="B302" s="263" t="s">
        <v>783</v>
      </c>
      <c r="C302" s="235"/>
      <c r="D302" s="236">
        <f>D303</f>
        <v>100000</v>
      </c>
    </row>
    <row r="303" spans="1:4" ht="36" customHeight="1">
      <c r="A303" s="282" t="s">
        <v>776</v>
      </c>
      <c r="B303" s="263" t="s">
        <v>783</v>
      </c>
      <c r="C303" s="235" t="s">
        <v>777</v>
      </c>
      <c r="D303" s="236">
        <f>100000</f>
        <v>100000</v>
      </c>
    </row>
    <row r="304" spans="1:4" ht="29.25" customHeight="1">
      <c r="A304" s="243" t="s">
        <v>784</v>
      </c>
      <c r="B304" s="263" t="s">
        <v>785</v>
      </c>
      <c r="C304" s="235"/>
      <c r="D304" s="236">
        <f>D305</f>
        <v>1105528.37</v>
      </c>
    </row>
    <row r="305" spans="1:4" ht="29.25" customHeight="1">
      <c r="A305" s="282" t="s">
        <v>776</v>
      </c>
      <c r="B305" s="263" t="s">
        <v>785</v>
      </c>
      <c r="C305" s="235" t="s">
        <v>777</v>
      </c>
      <c r="D305" s="236">
        <f>1850000-100000-644471.63</f>
        <v>1105528.37</v>
      </c>
    </row>
    <row r="306" spans="1:4" ht="15">
      <c r="A306" s="243" t="s">
        <v>778</v>
      </c>
      <c r="B306" s="263" t="s">
        <v>779</v>
      </c>
      <c r="C306" s="235"/>
      <c r="D306" s="236">
        <f>D307</f>
        <v>1563000</v>
      </c>
    </row>
    <row r="307" spans="1:4" ht="26.25">
      <c r="A307" s="281" t="s">
        <v>776</v>
      </c>
      <c r="B307" s="263" t="s">
        <v>779</v>
      </c>
      <c r="C307" s="235" t="s">
        <v>777</v>
      </c>
      <c r="D307" s="236">
        <f>1435043+127957</f>
        <v>1563000</v>
      </c>
    </row>
    <row r="308" spans="1:4" s="250" customFormat="1" ht="69.75" customHeight="1">
      <c r="A308" s="284" t="s">
        <v>759</v>
      </c>
      <c r="B308" s="263" t="s">
        <v>760</v>
      </c>
      <c r="C308" s="235"/>
      <c r="D308" s="391">
        <f>D309</f>
        <v>1975000</v>
      </c>
    </row>
    <row r="309" spans="1:4" s="250" customFormat="1" ht="30" customHeight="1">
      <c r="A309" s="255" t="s">
        <v>761</v>
      </c>
      <c r="B309" s="263" t="s">
        <v>762</v>
      </c>
      <c r="C309" s="235"/>
      <c r="D309" s="391">
        <f>D310</f>
        <v>1975000</v>
      </c>
    </row>
    <row r="310" spans="1:5" ht="15">
      <c r="A310" s="240" t="s">
        <v>763</v>
      </c>
      <c r="B310" s="263" t="s">
        <v>764</v>
      </c>
      <c r="C310" s="235"/>
      <c r="D310" s="391">
        <f>D312+D311</f>
        <v>1975000</v>
      </c>
      <c r="E310" s="390"/>
    </row>
    <row r="311" spans="1:5" ht="15">
      <c r="A311" s="243" t="s">
        <v>610</v>
      </c>
      <c r="B311" s="263" t="s">
        <v>764</v>
      </c>
      <c r="C311" s="235" t="s">
        <v>561</v>
      </c>
      <c r="D311" s="391">
        <v>10000</v>
      </c>
      <c r="E311" s="390"/>
    </row>
    <row r="312" spans="1:5" ht="15">
      <c r="A312" s="243" t="s">
        <v>602</v>
      </c>
      <c r="B312" s="263" t="s">
        <v>764</v>
      </c>
      <c r="C312" s="235" t="s">
        <v>603</v>
      </c>
      <c r="D312" s="391">
        <f>500000+565000+600000+300000</f>
        <v>1965000</v>
      </c>
      <c r="E312" s="390"/>
    </row>
    <row r="313" spans="1:5" s="250" customFormat="1" ht="63.75">
      <c r="A313" s="284" t="s">
        <v>678</v>
      </c>
      <c r="B313" s="263" t="s">
        <v>679</v>
      </c>
      <c r="C313" s="235"/>
      <c r="D313" s="391">
        <f>D314+D317</f>
        <v>343600</v>
      </c>
      <c r="E313" s="392"/>
    </row>
    <row r="314" spans="1:4" ht="25.5">
      <c r="A314" s="268" t="s">
        <v>786</v>
      </c>
      <c r="B314" s="263" t="s">
        <v>787</v>
      </c>
      <c r="C314" s="235"/>
      <c r="D314" s="391">
        <f>D315</f>
        <v>177800</v>
      </c>
    </row>
    <row r="315" spans="1:4" ht="15">
      <c r="A315" s="255" t="s">
        <v>788</v>
      </c>
      <c r="B315" s="263" t="s">
        <v>789</v>
      </c>
      <c r="C315" s="235"/>
      <c r="D315" s="391">
        <f>D316</f>
        <v>177800</v>
      </c>
    </row>
    <row r="316" spans="1:4" ht="26.25">
      <c r="A316" s="243" t="s">
        <v>560</v>
      </c>
      <c r="B316" s="263" t="s">
        <v>789</v>
      </c>
      <c r="C316" s="235" t="s">
        <v>561</v>
      </c>
      <c r="D316" s="391">
        <v>177800</v>
      </c>
    </row>
    <row r="317" spans="1:4" ht="57.75" customHeight="1">
      <c r="A317" s="351" t="s">
        <v>931</v>
      </c>
      <c r="B317" s="263" t="s">
        <v>932</v>
      </c>
      <c r="C317" s="235"/>
      <c r="D317" s="391">
        <f>D318</f>
        <v>165800</v>
      </c>
    </row>
    <row r="318" spans="1:4" ht="31.5" customHeight="1">
      <c r="A318" s="255" t="s">
        <v>682</v>
      </c>
      <c r="B318" s="263" t="s">
        <v>933</v>
      </c>
      <c r="C318" s="235"/>
      <c r="D318" s="391">
        <f>D319</f>
        <v>165800</v>
      </c>
    </row>
    <row r="319" spans="1:4" ht="27.75" customHeight="1">
      <c r="A319" s="243" t="s">
        <v>560</v>
      </c>
      <c r="B319" s="263" t="s">
        <v>933</v>
      </c>
      <c r="C319" s="235" t="s">
        <v>561</v>
      </c>
      <c r="D319" s="236">
        <f>167800-2000</f>
        <v>165800</v>
      </c>
    </row>
    <row r="320" spans="1:5" ht="43.5" customHeight="1">
      <c r="A320" s="240" t="s">
        <v>587</v>
      </c>
      <c r="B320" s="244" t="s">
        <v>588</v>
      </c>
      <c r="C320" s="245"/>
      <c r="D320" s="391">
        <f>D327+D321</f>
        <v>662000</v>
      </c>
      <c r="E320" s="242"/>
    </row>
    <row r="321" spans="1:5" ht="80.25" customHeight="1">
      <c r="A321" s="268" t="s">
        <v>684</v>
      </c>
      <c r="B321" s="244" t="s">
        <v>685</v>
      </c>
      <c r="C321" s="235"/>
      <c r="D321" s="236">
        <f>D322</f>
        <v>70000</v>
      </c>
      <c r="E321" s="242"/>
    </row>
    <row r="322" spans="1:5" ht="31.5" customHeight="1">
      <c r="A322" s="254" t="s">
        <v>686</v>
      </c>
      <c r="B322" s="259" t="s">
        <v>687</v>
      </c>
      <c r="C322" s="235"/>
      <c r="D322" s="236">
        <f>D323+D325</f>
        <v>70000</v>
      </c>
      <c r="E322" s="242"/>
    </row>
    <row r="323" spans="1:5" ht="32.25" customHeight="1">
      <c r="A323" s="243" t="s">
        <v>688</v>
      </c>
      <c r="B323" s="259" t="s">
        <v>689</v>
      </c>
      <c r="C323" s="235"/>
      <c r="D323" s="236">
        <f>D324</f>
        <v>30000</v>
      </c>
      <c r="E323" s="242"/>
    </row>
    <row r="324" spans="1:5" ht="28.5" customHeight="1">
      <c r="A324" s="243" t="s">
        <v>560</v>
      </c>
      <c r="B324" s="259" t="s">
        <v>689</v>
      </c>
      <c r="C324" s="235" t="s">
        <v>561</v>
      </c>
      <c r="D324" s="236">
        <v>30000</v>
      </c>
      <c r="E324" s="242"/>
    </row>
    <row r="325" spans="1:5" ht="23.25" customHeight="1">
      <c r="A325" s="243" t="s">
        <v>690</v>
      </c>
      <c r="B325" s="259" t="s">
        <v>691</v>
      </c>
      <c r="C325" s="235"/>
      <c r="D325" s="236">
        <f>D326</f>
        <v>40000</v>
      </c>
      <c r="E325" s="242"/>
    </row>
    <row r="326" spans="1:5" ht="28.5" customHeight="1">
      <c r="A326" s="243" t="s">
        <v>560</v>
      </c>
      <c r="B326" s="259" t="s">
        <v>691</v>
      </c>
      <c r="C326" s="235" t="s">
        <v>561</v>
      </c>
      <c r="D326" s="236">
        <f>40000</f>
        <v>40000</v>
      </c>
      <c r="E326" s="242"/>
    </row>
    <row r="327" spans="1:4" s="250" customFormat="1" ht="59.25" customHeight="1">
      <c r="A327" s="240" t="s">
        <v>589</v>
      </c>
      <c r="B327" s="244" t="s">
        <v>590</v>
      </c>
      <c r="C327" s="245"/>
      <c r="D327" s="391">
        <f>D329+D332</f>
        <v>592000</v>
      </c>
    </row>
    <row r="328" spans="1:4" ht="45.75" customHeight="1">
      <c r="A328" s="254" t="s">
        <v>591</v>
      </c>
      <c r="B328" s="244" t="s">
        <v>592</v>
      </c>
      <c r="C328" s="245"/>
      <c r="D328" s="391">
        <f>D329+D332</f>
        <v>592000</v>
      </c>
    </row>
    <row r="329" spans="1:4" ht="40.5" customHeight="1">
      <c r="A329" s="339" t="s">
        <v>593</v>
      </c>
      <c r="B329" s="234" t="s">
        <v>594</v>
      </c>
      <c r="C329" s="235"/>
      <c r="D329" s="391">
        <f>D330+D331</f>
        <v>296000</v>
      </c>
    </row>
    <row r="330" spans="1:4" ht="43.5" customHeight="1">
      <c r="A330" s="243" t="s">
        <v>548</v>
      </c>
      <c r="B330" s="234" t="s">
        <v>594</v>
      </c>
      <c r="C330" s="245" t="s">
        <v>549</v>
      </c>
      <c r="D330" s="236">
        <v>275583</v>
      </c>
    </row>
    <row r="331" spans="1:4" ht="26.25">
      <c r="A331" s="243" t="s">
        <v>560</v>
      </c>
      <c r="B331" s="234" t="s">
        <v>594</v>
      </c>
      <c r="C331" s="245" t="s">
        <v>561</v>
      </c>
      <c r="D331" s="236">
        <v>20417</v>
      </c>
    </row>
    <row r="332" spans="1:4" ht="33.75" customHeight="1">
      <c r="A332" s="339" t="s">
        <v>595</v>
      </c>
      <c r="B332" s="234" t="s">
        <v>596</v>
      </c>
      <c r="C332" s="235"/>
      <c r="D332" s="391">
        <f>D333+D334</f>
        <v>296000</v>
      </c>
    </row>
    <row r="333" spans="1:4" ht="39">
      <c r="A333" s="243" t="s">
        <v>548</v>
      </c>
      <c r="B333" s="234" t="s">
        <v>596</v>
      </c>
      <c r="C333" s="245" t="s">
        <v>549</v>
      </c>
      <c r="D333" s="236">
        <f>193920+58564+39716+3800</f>
        <v>296000</v>
      </c>
    </row>
    <row r="334" spans="1:4" ht="26.25" customHeight="1" hidden="1">
      <c r="A334" s="243" t="s">
        <v>560</v>
      </c>
      <c r="B334" s="234" t="s">
        <v>596</v>
      </c>
      <c r="C334" s="245" t="s">
        <v>561</v>
      </c>
      <c r="D334" s="236">
        <f>39716-39716</f>
        <v>0</v>
      </c>
    </row>
    <row r="335" spans="1:6" ht="59.25" customHeight="1">
      <c r="A335" s="254" t="s">
        <v>739</v>
      </c>
      <c r="B335" s="263" t="s">
        <v>740</v>
      </c>
      <c r="C335" s="245"/>
      <c r="D335" s="391">
        <f>D336</f>
        <v>51000</v>
      </c>
      <c r="E335" s="394"/>
      <c r="F335" s="395"/>
    </row>
    <row r="336" spans="1:6" ht="84.75" customHeight="1">
      <c r="A336" s="286" t="s">
        <v>741</v>
      </c>
      <c r="B336" s="263" t="s">
        <v>742</v>
      </c>
      <c r="C336" s="245"/>
      <c r="D336" s="391">
        <f>D337+D340+D343+D346</f>
        <v>51000</v>
      </c>
      <c r="E336" s="396"/>
      <c r="F336" s="395"/>
    </row>
    <row r="337" spans="1:6" ht="25.5" customHeight="1" hidden="1">
      <c r="A337" s="286" t="s">
        <v>743</v>
      </c>
      <c r="B337" s="263" t="s">
        <v>744</v>
      </c>
      <c r="C337" s="245"/>
      <c r="D337" s="391">
        <f>D338</f>
        <v>0</v>
      </c>
      <c r="E337" s="394"/>
      <c r="F337" s="395"/>
    </row>
    <row r="338" spans="1:6" ht="26.25" customHeight="1" hidden="1">
      <c r="A338" s="243" t="s">
        <v>745</v>
      </c>
      <c r="B338" s="263" t="s">
        <v>746</v>
      </c>
      <c r="C338" s="245"/>
      <c r="D338" s="391">
        <f>D339</f>
        <v>0</v>
      </c>
      <c r="E338" s="394"/>
      <c r="F338" s="395"/>
    </row>
    <row r="339" spans="1:6" ht="26.25" customHeight="1" hidden="1">
      <c r="A339" s="243" t="s">
        <v>560</v>
      </c>
      <c r="B339" s="263" t="s">
        <v>746</v>
      </c>
      <c r="C339" s="245" t="s">
        <v>561</v>
      </c>
      <c r="D339" s="391"/>
      <c r="E339" s="394"/>
      <c r="F339" s="395"/>
    </row>
    <row r="340" spans="1:6" ht="57" customHeight="1">
      <c r="A340" s="286" t="s">
        <v>747</v>
      </c>
      <c r="B340" s="263" t="s">
        <v>748</v>
      </c>
      <c r="C340" s="245"/>
      <c r="D340" s="391">
        <f>D341</f>
        <v>51000</v>
      </c>
      <c r="E340" s="394"/>
      <c r="F340" s="395"/>
    </row>
    <row r="341" spans="1:6" ht="26.25">
      <c r="A341" s="243" t="s">
        <v>745</v>
      </c>
      <c r="B341" s="263" t="s">
        <v>749</v>
      </c>
      <c r="C341" s="245"/>
      <c r="D341" s="391">
        <f>D342</f>
        <v>51000</v>
      </c>
      <c r="E341" s="394"/>
      <c r="F341" s="395"/>
    </row>
    <row r="342" spans="1:5" ht="26.25">
      <c r="A342" s="243" t="s">
        <v>560</v>
      </c>
      <c r="B342" s="263" t="s">
        <v>749</v>
      </c>
      <c r="C342" s="245" t="s">
        <v>561</v>
      </c>
      <c r="D342" s="236">
        <v>51000</v>
      </c>
      <c r="E342" s="394"/>
    </row>
    <row r="343" spans="1:5" ht="38.25" customHeight="1" hidden="1">
      <c r="A343" s="286" t="s">
        <v>750</v>
      </c>
      <c r="B343" s="263" t="s">
        <v>751</v>
      </c>
      <c r="C343" s="245"/>
      <c r="D343" s="391">
        <f>D344</f>
        <v>0</v>
      </c>
      <c r="E343" s="394"/>
    </row>
    <row r="344" spans="1:5" ht="26.25" customHeight="1" hidden="1">
      <c r="A344" s="243" t="s">
        <v>745</v>
      </c>
      <c r="B344" s="263" t="s">
        <v>752</v>
      </c>
      <c r="C344" s="245"/>
      <c r="D344" s="391">
        <f>D345</f>
        <v>0</v>
      </c>
      <c r="E344" s="394"/>
    </row>
    <row r="345" spans="1:5" ht="26.25" customHeight="1" hidden="1">
      <c r="A345" s="243" t="s">
        <v>560</v>
      </c>
      <c r="B345" s="263" t="s">
        <v>752</v>
      </c>
      <c r="C345" s="245" t="s">
        <v>561</v>
      </c>
      <c r="D345" s="391"/>
      <c r="E345" s="394"/>
    </row>
    <row r="346" spans="1:5" ht="25.5" customHeight="1" hidden="1">
      <c r="A346" s="286" t="s">
        <v>753</v>
      </c>
      <c r="B346" s="263" t="s">
        <v>754</v>
      </c>
      <c r="C346" s="245"/>
      <c r="D346" s="391">
        <f>D347</f>
        <v>0</v>
      </c>
      <c r="E346" s="394"/>
    </row>
    <row r="347" spans="1:5" ht="26.25" customHeight="1" hidden="1">
      <c r="A347" s="243" t="s">
        <v>745</v>
      </c>
      <c r="B347" s="263" t="s">
        <v>755</v>
      </c>
      <c r="C347" s="245"/>
      <c r="D347" s="391">
        <f>D348</f>
        <v>0</v>
      </c>
      <c r="E347" s="394"/>
    </row>
    <row r="348" spans="1:5" ht="26.25" customHeight="1" hidden="1">
      <c r="A348" s="243" t="s">
        <v>560</v>
      </c>
      <c r="B348" s="263" t="s">
        <v>755</v>
      </c>
      <c r="C348" s="245" t="s">
        <v>561</v>
      </c>
      <c r="D348" s="391"/>
      <c r="E348" s="394"/>
    </row>
    <row r="349" spans="1:5" ht="45.75" customHeight="1">
      <c r="A349" s="254" t="s">
        <v>1100</v>
      </c>
      <c r="B349" s="259" t="s">
        <v>1088</v>
      </c>
      <c r="C349" s="235"/>
      <c r="D349" s="388">
        <f>D350+D354</f>
        <v>7777933.76</v>
      </c>
      <c r="E349" s="242"/>
    </row>
    <row r="350" spans="1:5" s="250" customFormat="1" ht="57" customHeight="1">
      <c r="A350" s="233" t="s">
        <v>1089</v>
      </c>
      <c r="B350" s="259" t="s">
        <v>1090</v>
      </c>
      <c r="C350" s="235"/>
      <c r="D350" s="388">
        <f>D351</f>
        <v>9602.76</v>
      </c>
      <c r="E350" s="288"/>
    </row>
    <row r="351" spans="1:4" ht="48" customHeight="1">
      <c r="A351" s="233" t="s">
        <v>1091</v>
      </c>
      <c r="B351" s="259" t="s">
        <v>1092</v>
      </c>
      <c r="C351" s="235"/>
      <c r="D351" s="388">
        <f>D352</f>
        <v>9602.76</v>
      </c>
    </row>
    <row r="352" spans="1:4" ht="19.5" customHeight="1">
      <c r="A352" s="240" t="s">
        <v>1093</v>
      </c>
      <c r="B352" s="259" t="s">
        <v>1094</v>
      </c>
      <c r="C352" s="235"/>
      <c r="D352" s="388">
        <f>D353</f>
        <v>9602.76</v>
      </c>
    </row>
    <row r="353" spans="1:4" ht="19.5" customHeight="1">
      <c r="A353" s="233" t="s">
        <v>1095</v>
      </c>
      <c r="B353" s="259" t="s">
        <v>1094</v>
      </c>
      <c r="C353" s="235" t="s">
        <v>1096</v>
      </c>
      <c r="D353" s="388">
        <v>9602.76</v>
      </c>
    </row>
    <row r="354" spans="1:4" s="250" customFormat="1" ht="60" customHeight="1">
      <c r="A354" s="233" t="s">
        <v>1101</v>
      </c>
      <c r="B354" s="234" t="s">
        <v>1102</v>
      </c>
      <c r="C354" s="235"/>
      <c r="D354" s="388">
        <f>D355</f>
        <v>7768331</v>
      </c>
    </row>
    <row r="355" spans="1:4" s="250" customFormat="1" ht="36" customHeight="1">
      <c r="A355" s="254" t="s">
        <v>1103</v>
      </c>
      <c r="B355" s="234" t="s">
        <v>1104</v>
      </c>
      <c r="C355" s="235"/>
      <c r="D355" s="391">
        <f>D356</f>
        <v>7768331</v>
      </c>
    </row>
    <row r="356" spans="1:4" ht="29.25" customHeight="1">
      <c r="A356" s="339" t="s">
        <v>1105</v>
      </c>
      <c r="B356" s="234" t="s">
        <v>1106</v>
      </c>
      <c r="C356" s="235"/>
      <c r="D356" s="391">
        <f>D357</f>
        <v>7768331</v>
      </c>
    </row>
    <row r="357" spans="1:4" s="250" customFormat="1" ht="15">
      <c r="A357" s="292" t="s">
        <v>720</v>
      </c>
      <c r="B357" s="234" t="s">
        <v>1106</v>
      </c>
      <c r="C357" s="245" t="s">
        <v>721</v>
      </c>
      <c r="D357" s="236">
        <v>7768331</v>
      </c>
    </row>
    <row r="358" spans="1:5" ht="25.5">
      <c r="A358" s="280" t="s">
        <v>829</v>
      </c>
      <c r="B358" s="234" t="s">
        <v>830</v>
      </c>
      <c r="C358" s="245"/>
      <c r="D358" s="397">
        <f>D359+D363</f>
        <v>10000</v>
      </c>
      <c r="E358" s="331"/>
    </row>
    <row r="359" spans="1:5" s="250" customFormat="1" ht="54.75" customHeight="1">
      <c r="A359" s="351" t="s">
        <v>831</v>
      </c>
      <c r="B359" s="234" t="s">
        <v>832</v>
      </c>
      <c r="C359" s="245"/>
      <c r="D359" s="391">
        <f>D360</f>
        <v>10000</v>
      </c>
      <c r="E359" s="398"/>
    </row>
    <row r="360" spans="1:5" ht="26.25">
      <c r="A360" s="351" t="s">
        <v>833</v>
      </c>
      <c r="B360" s="234" t="s">
        <v>834</v>
      </c>
      <c r="C360" s="245"/>
      <c r="D360" s="391">
        <f>D361</f>
        <v>10000</v>
      </c>
      <c r="E360" s="399"/>
    </row>
    <row r="361" spans="1:5" ht="28.5">
      <c r="A361" s="241" t="s">
        <v>835</v>
      </c>
      <c r="B361" s="234" t="s">
        <v>836</v>
      </c>
      <c r="C361" s="245"/>
      <c r="D361" s="391">
        <f>D362</f>
        <v>10000</v>
      </c>
      <c r="E361" s="399"/>
    </row>
    <row r="362" spans="1:5" ht="28.5">
      <c r="A362" s="243" t="s">
        <v>560</v>
      </c>
      <c r="B362" s="234" t="s">
        <v>836</v>
      </c>
      <c r="C362" s="245" t="s">
        <v>561</v>
      </c>
      <c r="D362" s="391">
        <v>10000</v>
      </c>
      <c r="E362" s="399"/>
    </row>
    <row r="363" spans="1:5" ht="54.75" customHeight="1" hidden="1">
      <c r="A363" s="254" t="s">
        <v>837</v>
      </c>
      <c r="B363" s="234" t="s">
        <v>838</v>
      </c>
      <c r="C363" s="245"/>
      <c r="D363" s="391">
        <f>D364</f>
        <v>0</v>
      </c>
      <c r="E363" s="399"/>
    </row>
    <row r="364" spans="1:5" ht="43.5" customHeight="1" hidden="1">
      <c r="A364" s="351" t="s">
        <v>839</v>
      </c>
      <c r="B364" s="234" t="s">
        <v>840</v>
      </c>
      <c r="C364" s="245"/>
      <c r="D364" s="391">
        <f>D365</f>
        <v>0</v>
      </c>
      <c r="E364" s="399"/>
    </row>
    <row r="365" spans="1:5" ht="31.5" customHeight="1" hidden="1">
      <c r="A365" s="243" t="s">
        <v>841</v>
      </c>
      <c r="B365" s="234" t="s">
        <v>842</v>
      </c>
      <c r="C365" s="245"/>
      <c r="D365" s="391">
        <f>D366</f>
        <v>0</v>
      </c>
      <c r="E365" s="399"/>
    </row>
    <row r="366" spans="1:5" ht="28.5" customHeight="1" hidden="1">
      <c r="A366" s="243" t="s">
        <v>560</v>
      </c>
      <c r="B366" s="234" t="s">
        <v>842</v>
      </c>
      <c r="C366" s="245" t="s">
        <v>561</v>
      </c>
      <c r="D366" s="391">
        <v>0</v>
      </c>
      <c r="E366" s="399"/>
    </row>
    <row r="367" spans="1:5" ht="46.5" customHeight="1">
      <c r="A367" s="280" t="s">
        <v>790</v>
      </c>
      <c r="B367" s="263" t="s">
        <v>791</v>
      </c>
      <c r="C367" s="245"/>
      <c r="D367" s="391">
        <f>D368</f>
        <v>21784314.94</v>
      </c>
      <c r="E367" s="331"/>
    </row>
    <row r="368" spans="1:5" s="250" customFormat="1" ht="60">
      <c r="A368" s="355" t="s">
        <v>872</v>
      </c>
      <c r="B368" s="263" t="s">
        <v>793</v>
      </c>
      <c r="C368" s="245"/>
      <c r="D368" s="391">
        <f>D369+D380</f>
        <v>21784314.94</v>
      </c>
      <c r="E368" s="398"/>
    </row>
    <row r="369" spans="1:5" ht="26.25" customHeight="1">
      <c r="A369" s="292" t="s">
        <v>873</v>
      </c>
      <c r="B369" s="263" t="s">
        <v>874</v>
      </c>
      <c r="C369" s="245"/>
      <c r="D369" s="391">
        <f>D370+D372+D374+D376+D378</f>
        <v>8041989.94</v>
      </c>
      <c r="E369" s="399"/>
    </row>
    <row r="370" spans="1:5" ht="24" customHeight="1">
      <c r="A370" s="264" t="s">
        <v>875</v>
      </c>
      <c r="B370" s="263" t="s">
        <v>876</v>
      </c>
      <c r="C370" s="245"/>
      <c r="D370" s="391">
        <f>D371</f>
        <v>5578897</v>
      </c>
      <c r="E370" s="399"/>
    </row>
    <row r="371" spans="1:5" ht="26.25">
      <c r="A371" s="292" t="s">
        <v>720</v>
      </c>
      <c r="B371" s="263" t="s">
        <v>876</v>
      </c>
      <c r="C371" s="245" t="s">
        <v>721</v>
      </c>
      <c r="D371" s="236">
        <f>1615000-615000-163165+4742062</f>
        <v>5578897</v>
      </c>
      <c r="E371" s="399"/>
    </row>
    <row r="372" spans="1:5" ht="26.25" customHeight="1" hidden="1">
      <c r="A372" s="286" t="s">
        <v>877</v>
      </c>
      <c r="B372" s="263" t="s">
        <v>878</v>
      </c>
      <c r="C372" s="245"/>
      <c r="D372" s="391">
        <f>D373</f>
        <v>0</v>
      </c>
      <c r="E372" s="399"/>
    </row>
    <row r="373" spans="1:5" ht="26.25" customHeight="1" hidden="1">
      <c r="A373" s="292" t="s">
        <v>720</v>
      </c>
      <c r="B373" s="263" t="s">
        <v>878</v>
      </c>
      <c r="C373" s="245" t="s">
        <v>721</v>
      </c>
      <c r="D373" s="391">
        <f>15000-15000</f>
        <v>0</v>
      </c>
      <c r="E373" s="399"/>
    </row>
    <row r="374" spans="1:5" ht="44.25" customHeight="1">
      <c r="A374" s="241" t="s">
        <v>870</v>
      </c>
      <c r="B374" s="263" t="s">
        <v>883</v>
      </c>
      <c r="C374" s="245"/>
      <c r="D374" s="236">
        <f>D375</f>
        <v>931564.36</v>
      </c>
      <c r="E374" s="399"/>
    </row>
    <row r="375" spans="1:5" ht="26.25">
      <c r="A375" s="292" t="s">
        <v>720</v>
      </c>
      <c r="B375" s="263" t="s">
        <v>883</v>
      </c>
      <c r="C375" s="245" t="s">
        <v>721</v>
      </c>
      <c r="D375" s="236">
        <f>600000+15000+286364.36+30200</f>
        <v>931564.36</v>
      </c>
      <c r="E375" s="399"/>
    </row>
    <row r="376" spans="1:5" ht="38.25">
      <c r="A376" s="286" t="s">
        <v>879</v>
      </c>
      <c r="B376" s="263" t="s">
        <v>880</v>
      </c>
      <c r="C376" s="245"/>
      <c r="D376" s="236">
        <f>D377</f>
        <v>230676.58</v>
      </c>
      <c r="E376" s="399"/>
    </row>
    <row r="377" spans="1:5" ht="26.25">
      <c r="A377" s="292" t="s">
        <v>720</v>
      </c>
      <c r="B377" s="263" t="s">
        <v>880</v>
      </c>
      <c r="C377" s="245" t="s">
        <v>721</v>
      </c>
      <c r="D377" s="236">
        <f>229729.58+947</f>
        <v>230676.58</v>
      </c>
      <c r="E377" s="399"/>
    </row>
    <row r="378" spans="1:5" ht="26.25">
      <c r="A378" s="295" t="s">
        <v>881</v>
      </c>
      <c r="B378" s="263" t="s">
        <v>882</v>
      </c>
      <c r="C378" s="245"/>
      <c r="D378" s="236">
        <f>D379</f>
        <v>1300852</v>
      </c>
      <c r="E378" s="399"/>
    </row>
    <row r="379" spans="1:5" ht="26.25">
      <c r="A379" s="292" t="s">
        <v>720</v>
      </c>
      <c r="B379" s="263" t="s">
        <v>882</v>
      </c>
      <c r="C379" s="245" t="s">
        <v>721</v>
      </c>
      <c r="D379" s="236">
        <f>1300852</f>
        <v>1300852</v>
      </c>
      <c r="E379" s="399"/>
    </row>
    <row r="380" spans="1:5" ht="26.25">
      <c r="A380" s="255" t="s">
        <v>772</v>
      </c>
      <c r="B380" s="271" t="s">
        <v>794</v>
      </c>
      <c r="C380" s="235"/>
      <c r="D380" s="236">
        <f>D381</f>
        <v>13742325</v>
      </c>
      <c r="E380" s="399"/>
    </row>
    <row r="381" spans="1:5" ht="26.25">
      <c r="A381" s="286" t="s">
        <v>795</v>
      </c>
      <c r="B381" s="263" t="s">
        <v>796</v>
      </c>
      <c r="C381" s="235"/>
      <c r="D381" s="236">
        <f>D382</f>
        <v>13742325</v>
      </c>
      <c r="E381" s="399"/>
    </row>
    <row r="382" spans="1:5" ht="27.75" customHeight="1">
      <c r="A382" s="240" t="s">
        <v>776</v>
      </c>
      <c r="B382" s="263" t="s">
        <v>796</v>
      </c>
      <c r="C382" s="235" t="s">
        <v>777</v>
      </c>
      <c r="D382" s="236">
        <f>1569426+12172899</f>
        <v>13742325</v>
      </c>
      <c r="E382" s="399"/>
    </row>
    <row r="383" spans="1:5" ht="29.25" customHeight="1">
      <c r="A383" s="298" t="s">
        <v>934</v>
      </c>
      <c r="B383" s="234" t="s">
        <v>935</v>
      </c>
      <c r="C383" s="245"/>
      <c r="D383" s="391">
        <f>D384</f>
        <v>15000</v>
      </c>
      <c r="E383" s="331"/>
    </row>
    <row r="384" spans="1:5" ht="45.75" customHeight="1">
      <c r="A384" s="254" t="s">
        <v>936</v>
      </c>
      <c r="B384" s="234" t="s">
        <v>937</v>
      </c>
      <c r="C384" s="245"/>
      <c r="D384" s="391">
        <f>D385</f>
        <v>15000</v>
      </c>
      <c r="E384" s="399"/>
    </row>
    <row r="385" spans="1:5" ht="28.5" customHeight="1">
      <c r="A385" s="286" t="s">
        <v>938</v>
      </c>
      <c r="B385" s="234" t="s">
        <v>939</v>
      </c>
      <c r="C385" s="245"/>
      <c r="D385" s="391">
        <f>D386</f>
        <v>15000</v>
      </c>
      <c r="E385" s="399"/>
    </row>
    <row r="386" spans="1:5" ht="20.25" customHeight="1">
      <c r="A386" s="286" t="s">
        <v>940</v>
      </c>
      <c r="B386" s="234" t="s">
        <v>941</v>
      </c>
      <c r="C386" s="245"/>
      <c r="D386" s="391">
        <f>D387</f>
        <v>15000</v>
      </c>
      <c r="E386" s="399"/>
    </row>
    <row r="387" spans="1:5" ht="30" customHeight="1">
      <c r="A387" s="304" t="s">
        <v>560</v>
      </c>
      <c r="B387" s="234" t="s">
        <v>941</v>
      </c>
      <c r="C387" s="235" t="s">
        <v>561</v>
      </c>
      <c r="D387" s="391">
        <v>15000</v>
      </c>
      <c r="E387" s="399"/>
    </row>
    <row r="388" spans="1:5" ht="41.25" customHeight="1">
      <c r="A388" s="269" t="s">
        <v>692</v>
      </c>
      <c r="B388" s="263" t="s">
        <v>693</v>
      </c>
      <c r="C388" s="235"/>
      <c r="D388" s="236">
        <f>D389+D393</f>
        <v>704696.67</v>
      </c>
      <c r="E388" s="331"/>
    </row>
    <row r="389" spans="1:5" ht="38.25" customHeight="1" hidden="1">
      <c r="A389" s="286" t="s">
        <v>694</v>
      </c>
      <c r="B389" s="263" t="s">
        <v>695</v>
      </c>
      <c r="C389" s="235"/>
      <c r="D389" s="236">
        <f>D390</f>
        <v>0</v>
      </c>
      <c r="E389" s="399"/>
    </row>
    <row r="390" spans="1:5" ht="26.25" customHeight="1" hidden="1">
      <c r="A390" s="286" t="s">
        <v>696</v>
      </c>
      <c r="B390" s="263" t="s">
        <v>697</v>
      </c>
      <c r="C390" s="235"/>
      <c r="D390" s="236">
        <f>D391</f>
        <v>0</v>
      </c>
      <c r="E390" s="399"/>
    </row>
    <row r="391" spans="1:5" ht="28.5" customHeight="1" hidden="1">
      <c r="A391" s="243" t="s">
        <v>698</v>
      </c>
      <c r="B391" s="263" t="s">
        <v>699</v>
      </c>
      <c r="C391" s="235"/>
      <c r="D391" s="236">
        <f>D392</f>
        <v>0</v>
      </c>
      <c r="E391" s="399"/>
    </row>
    <row r="392" spans="1:5" ht="26.25" customHeight="1" hidden="1">
      <c r="A392" s="243" t="s">
        <v>560</v>
      </c>
      <c r="B392" s="263" t="s">
        <v>699</v>
      </c>
      <c r="C392" s="235" t="s">
        <v>561</v>
      </c>
      <c r="D392" s="236">
        <f>15000-15000</f>
        <v>0</v>
      </c>
      <c r="E392" s="400"/>
    </row>
    <row r="393" spans="1:5" ht="57.75" customHeight="1">
      <c r="A393" s="286" t="s">
        <v>700</v>
      </c>
      <c r="B393" s="263" t="s">
        <v>701</v>
      </c>
      <c r="C393" s="235"/>
      <c r="D393" s="236">
        <f>D394</f>
        <v>704696.67</v>
      </c>
      <c r="E393" s="399"/>
    </row>
    <row r="394" spans="1:5" ht="19.5" customHeight="1">
      <c r="A394" s="286" t="s">
        <v>702</v>
      </c>
      <c r="B394" s="263" t="s">
        <v>703</v>
      </c>
      <c r="C394" s="235"/>
      <c r="D394" s="236">
        <f>D395</f>
        <v>704696.67</v>
      </c>
      <c r="E394" s="399"/>
    </row>
    <row r="395" spans="1:5" ht="26.25">
      <c r="A395" s="286" t="s">
        <v>662</v>
      </c>
      <c r="B395" s="263" t="s">
        <v>704</v>
      </c>
      <c r="C395" s="235"/>
      <c r="D395" s="236">
        <f>D396</f>
        <v>704696.67</v>
      </c>
      <c r="E395" s="399"/>
    </row>
    <row r="396" spans="1:5" ht="26.25">
      <c r="A396" s="243" t="s">
        <v>560</v>
      </c>
      <c r="B396" s="263" t="s">
        <v>704</v>
      </c>
      <c r="C396" s="235" t="s">
        <v>561</v>
      </c>
      <c r="D396" s="236">
        <v>704696.67</v>
      </c>
      <c r="E396" s="400"/>
    </row>
    <row r="397" spans="1:5" ht="33" customHeight="1">
      <c r="A397" s="243" t="s">
        <v>1122</v>
      </c>
      <c r="B397" s="263" t="s">
        <v>706</v>
      </c>
      <c r="C397" s="270"/>
      <c r="D397" s="391">
        <f>D398</f>
        <v>2746541</v>
      </c>
      <c r="E397" s="331"/>
    </row>
    <row r="398" spans="1:4" s="250" customFormat="1" ht="61.5" customHeight="1">
      <c r="A398" s="243" t="s">
        <v>707</v>
      </c>
      <c r="B398" s="263" t="s">
        <v>708</v>
      </c>
      <c r="C398" s="270"/>
      <c r="D398" s="391">
        <f>D400</f>
        <v>2746541</v>
      </c>
    </row>
    <row r="399" spans="1:4" s="250" customFormat="1" ht="60" customHeight="1">
      <c r="A399" s="273" t="s">
        <v>709</v>
      </c>
      <c r="B399" s="263" t="s">
        <v>710</v>
      </c>
      <c r="C399" s="270"/>
      <c r="D399" s="391">
        <f>D400</f>
        <v>2746541</v>
      </c>
    </row>
    <row r="400" spans="1:4" s="250" customFormat="1" ht="36.75" customHeight="1">
      <c r="A400" s="241" t="s">
        <v>711</v>
      </c>
      <c r="B400" s="263" t="s">
        <v>712</v>
      </c>
      <c r="C400" s="270"/>
      <c r="D400" s="391">
        <f>D401+D402</f>
        <v>2746541</v>
      </c>
    </row>
    <row r="401" spans="1:4" ht="39">
      <c r="A401" s="243" t="s">
        <v>548</v>
      </c>
      <c r="B401" s="263" t="s">
        <v>712</v>
      </c>
      <c r="C401" s="270" t="s">
        <v>549</v>
      </c>
      <c r="D401" s="275">
        <f>765394+171128.44</f>
        <v>936522.44</v>
      </c>
    </row>
    <row r="402" spans="1:4" ht="26.25">
      <c r="A402" s="243" t="s">
        <v>560</v>
      </c>
      <c r="B402" s="263" t="s">
        <v>712</v>
      </c>
      <c r="C402" s="270" t="s">
        <v>561</v>
      </c>
      <c r="D402" s="275">
        <f>1981147-171128.44</f>
        <v>1810018.56</v>
      </c>
    </row>
    <row r="403" spans="1:5" ht="15.75">
      <c r="A403" s="243" t="s">
        <v>542</v>
      </c>
      <c r="B403" s="244" t="s">
        <v>543</v>
      </c>
      <c r="C403" s="235"/>
      <c r="D403" s="388">
        <f>D404</f>
        <v>1552000</v>
      </c>
      <c r="E403" s="242"/>
    </row>
    <row r="404" spans="1:5" s="250" customFormat="1" ht="15.75">
      <c r="A404" s="240" t="s">
        <v>544</v>
      </c>
      <c r="B404" s="244" t="s">
        <v>545</v>
      </c>
      <c r="C404" s="235"/>
      <c r="D404" s="388">
        <f>D405</f>
        <v>1552000</v>
      </c>
      <c r="E404" s="392"/>
    </row>
    <row r="405" spans="1:5" ht="26.25">
      <c r="A405" s="241" t="s">
        <v>546</v>
      </c>
      <c r="B405" s="244" t="s">
        <v>547</v>
      </c>
      <c r="C405" s="235"/>
      <c r="D405" s="388">
        <f>D406</f>
        <v>1552000</v>
      </c>
      <c r="E405" s="390"/>
    </row>
    <row r="406" spans="1:5" ht="39">
      <c r="A406" s="243" t="s">
        <v>548</v>
      </c>
      <c r="B406" s="244" t="s">
        <v>547</v>
      </c>
      <c r="C406" s="245" t="s">
        <v>549</v>
      </c>
      <c r="D406" s="236">
        <f>1537000+15000</f>
        <v>1552000</v>
      </c>
      <c r="E406" s="390"/>
    </row>
    <row r="407" spans="1:5" ht="15" customHeight="1">
      <c r="A407" s="243" t="s">
        <v>597</v>
      </c>
      <c r="B407" s="234" t="s">
        <v>598</v>
      </c>
      <c r="C407" s="235"/>
      <c r="D407" s="391">
        <f>D408</f>
        <v>17518044</v>
      </c>
      <c r="E407" s="390"/>
    </row>
    <row r="408" spans="1:5" s="250" customFormat="1" ht="15.75" customHeight="1">
      <c r="A408" s="241" t="s">
        <v>599</v>
      </c>
      <c r="B408" s="234" t="s">
        <v>600</v>
      </c>
      <c r="C408" s="235"/>
      <c r="D408" s="391">
        <f>D412+D409</f>
        <v>17518044</v>
      </c>
      <c r="E408" s="392"/>
    </row>
    <row r="409" spans="1:5" ht="27.75" customHeight="1">
      <c r="A409" s="262" t="s">
        <v>713</v>
      </c>
      <c r="B409" s="234" t="s">
        <v>714</v>
      </c>
      <c r="C409" s="270"/>
      <c r="D409" s="236">
        <f>D410+D411</f>
        <v>290000</v>
      </c>
      <c r="E409" s="390"/>
    </row>
    <row r="410" spans="1:5" ht="39">
      <c r="A410" s="243" t="s">
        <v>548</v>
      </c>
      <c r="B410" s="234" t="s">
        <v>714</v>
      </c>
      <c r="C410" s="270" t="s">
        <v>549</v>
      </c>
      <c r="D410" s="236">
        <v>206600</v>
      </c>
      <c r="E410" s="390"/>
    </row>
    <row r="411" spans="1:5" ht="26.25">
      <c r="A411" s="243" t="s">
        <v>560</v>
      </c>
      <c r="B411" s="234" t="s">
        <v>714</v>
      </c>
      <c r="C411" s="270" t="s">
        <v>561</v>
      </c>
      <c r="D411" s="236">
        <v>83400</v>
      </c>
      <c r="E411" s="390"/>
    </row>
    <row r="412" spans="1:5" ht="27.75" customHeight="1">
      <c r="A412" s="241" t="s">
        <v>546</v>
      </c>
      <c r="B412" s="234" t="s">
        <v>601</v>
      </c>
      <c r="C412" s="235"/>
      <c r="D412" s="391">
        <f>D413+D414+D415</f>
        <v>17228044</v>
      </c>
      <c r="E412" s="390"/>
    </row>
    <row r="413" spans="1:5" ht="39">
      <c r="A413" s="243" t="s">
        <v>548</v>
      </c>
      <c r="B413" s="234" t="s">
        <v>601</v>
      </c>
      <c r="C413" s="245" t="s">
        <v>549</v>
      </c>
      <c r="D413" s="275">
        <f>15918200+187388+172097+438498+311461</f>
        <v>17027644</v>
      </c>
      <c r="E413" s="390"/>
    </row>
    <row r="414" spans="1:5" ht="26.25">
      <c r="A414" s="243" t="s">
        <v>560</v>
      </c>
      <c r="B414" s="234" t="s">
        <v>601</v>
      </c>
      <c r="C414" s="245" t="s">
        <v>561</v>
      </c>
      <c r="D414" s="341">
        <v>58500</v>
      </c>
      <c r="E414" s="390"/>
    </row>
    <row r="415" spans="1:5" ht="15">
      <c r="A415" s="255" t="s">
        <v>602</v>
      </c>
      <c r="B415" s="234" t="s">
        <v>601</v>
      </c>
      <c r="C415" s="245" t="s">
        <v>603</v>
      </c>
      <c r="D415" s="275">
        <f>80900+6000+6000+51000-6000+15000-6000-5000</f>
        <v>141900</v>
      </c>
      <c r="E415" s="390"/>
    </row>
    <row r="416" spans="1:5" ht="26.25">
      <c r="A416" s="258" t="s">
        <v>621</v>
      </c>
      <c r="B416" s="259" t="s">
        <v>622</v>
      </c>
      <c r="C416" s="245"/>
      <c r="D416" s="391">
        <f>D417</f>
        <v>396700</v>
      </c>
      <c r="E416" s="390"/>
    </row>
    <row r="417" spans="1:5" s="250" customFormat="1" ht="17.25" customHeight="1">
      <c r="A417" s="258" t="s">
        <v>623</v>
      </c>
      <c r="B417" s="259" t="s">
        <v>624</v>
      </c>
      <c r="C417" s="245"/>
      <c r="D417" s="391">
        <f>D418</f>
        <v>396700</v>
      </c>
      <c r="E417" s="392"/>
    </row>
    <row r="418" spans="1:5" ht="26.25">
      <c r="A418" s="241" t="s">
        <v>546</v>
      </c>
      <c r="B418" s="259" t="s">
        <v>625</v>
      </c>
      <c r="C418" s="235"/>
      <c r="D418" s="391">
        <f>D419+D420+D421</f>
        <v>396700</v>
      </c>
      <c r="E418" s="390"/>
    </row>
    <row r="419" spans="1:5" ht="37.5" customHeight="1">
      <c r="A419" s="243" t="s">
        <v>548</v>
      </c>
      <c r="B419" s="259" t="s">
        <v>625</v>
      </c>
      <c r="C419" s="245" t="s">
        <v>549</v>
      </c>
      <c r="D419" s="275">
        <f>559000-151300-11000</f>
        <v>396700</v>
      </c>
      <c r="E419" s="390"/>
    </row>
    <row r="420" spans="1:5" ht="15" customHeight="1" hidden="1">
      <c r="A420" s="243" t="s">
        <v>610</v>
      </c>
      <c r="B420" s="259" t="s">
        <v>625</v>
      </c>
      <c r="C420" s="245" t="s">
        <v>561</v>
      </c>
      <c r="D420" s="236"/>
      <c r="E420" s="390"/>
    </row>
    <row r="421" spans="1:5" ht="15" customHeight="1" hidden="1">
      <c r="A421" s="255" t="s">
        <v>602</v>
      </c>
      <c r="B421" s="259" t="s">
        <v>625</v>
      </c>
      <c r="C421" s="245" t="s">
        <v>603</v>
      </c>
      <c r="D421" s="391"/>
      <c r="E421" s="390"/>
    </row>
    <row r="422" spans="1:5" ht="28.5" customHeight="1">
      <c r="A422" s="243" t="s">
        <v>552</v>
      </c>
      <c r="B422" s="244" t="s">
        <v>553</v>
      </c>
      <c r="C422" s="235"/>
      <c r="D422" s="391">
        <f>D423+D426</f>
        <v>2204792</v>
      </c>
      <c r="E422" s="242"/>
    </row>
    <row r="423" spans="1:4" s="250" customFormat="1" ht="19.5" customHeight="1">
      <c r="A423" s="240" t="s">
        <v>554</v>
      </c>
      <c r="B423" s="244" t="s">
        <v>555</v>
      </c>
      <c r="C423" s="235"/>
      <c r="D423" s="391">
        <f>D424</f>
        <v>986300</v>
      </c>
    </row>
    <row r="424" spans="1:4" ht="30.75" customHeight="1">
      <c r="A424" s="241" t="s">
        <v>546</v>
      </c>
      <c r="B424" s="244" t="s">
        <v>556</v>
      </c>
      <c r="C424" s="245"/>
      <c r="D424" s="391">
        <f>D425</f>
        <v>986300</v>
      </c>
    </row>
    <row r="425" spans="1:4" ht="39.75" customHeight="1">
      <c r="A425" s="243" t="s">
        <v>548</v>
      </c>
      <c r="B425" s="244" t="s">
        <v>556</v>
      </c>
      <c r="C425" s="245" t="s">
        <v>549</v>
      </c>
      <c r="D425" s="236">
        <v>986300</v>
      </c>
    </row>
    <row r="426" spans="1:5" s="250" customFormat="1" ht="15.75" customHeight="1">
      <c r="A426" s="240" t="s">
        <v>557</v>
      </c>
      <c r="B426" s="244" t="s">
        <v>558</v>
      </c>
      <c r="C426" s="245"/>
      <c r="D426" s="391">
        <f>D427</f>
        <v>1218492</v>
      </c>
      <c r="E426" s="392"/>
    </row>
    <row r="427" spans="1:5" ht="28.5" customHeight="1">
      <c r="A427" s="241" t="s">
        <v>546</v>
      </c>
      <c r="B427" s="244" t="s">
        <v>559</v>
      </c>
      <c r="C427" s="245"/>
      <c r="D427" s="391">
        <f>D428+D429+D430</f>
        <v>1218492</v>
      </c>
      <c r="E427" s="390"/>
    </row>
    <row r="428" spans="1:5" ht="39">
      <c r="A428" s="243" t="s">
        <v>548</v>
      </c>
      <c r="B428" s="244" t="s">
        <v>559</v>
      </c>
      <c r="C428" s="245" t="s">
        <v>549</v>
      </c>
      <c r="D428" s="275">
        <f>1062800+22915+10600+55000+21999+20178</f>
        <v>1193492</v>
      </c>
      <c r="E428" s="390"/>
    </row>
    <row r="429" spans="1:5" ht="15">
      <c r="A429" s="243" t="s">
        <v>610</v>
      </c>
      <c r="B429" s="244" t="s">
        <v>559</v>
      </c>
      <c r="C429" s="245" t="s">
        <v>561</v>
      </c>
      <c r="D429" s="275">
        <f>10000+15000</f>
        <v>25000</v>
      </c>
      <c r="E429" s="390"/>
    </row>
    <row r="430" spans="1:5" ht="15" customHeight="1" hidden="1">
      <c r="A430" s="255" t="s">
        <v>602</v>
      </c>
      <c r="B430" s="244" t="s">
        <v>559</v>
      </c>
      <c r="C430" s="245" t="s">
        <v>603</v>
      </c>
      <c r="D430" s="391"/>
      <c r="E430" s="390"/>
    </row>
    <row r="431" spans="1:5" ht="26.25" customHeight="1">
      <c r="A431" s="243" t="s">
        <v>715</v>
      </c>
      <c r="B431" s="244" t="s">
        <v>716</v>
      </c>
      <c r="C431" s="270"/>
      <c r="D431" s="391">
        <f>D432</f>
        <v>75142602.2</v>
      </c>
      <c r="E431" s="390"/>
    </row>
    <row r="432" spans="1:5" s="250" customFormat="1" ht="17.25" customHeight="1">
      <c r="A432" s="243" t="s">
        <v>717</v>
      </c>
      <c r="B432" s="244" t="s">
        <v>718</v>
      </c>
      <c r="C432" s="270"/>
      <c r="D432" s="391">
        <f>D433</f>
        <v>75142602.2</v>
      </c>
      <c r="E432" s="392"/>
    </row>
    <row r="433" spans="1:5" ht="17.25" customHeight="1">
      <c r="A433" s="240" t="s">
        <v>662</v>
      </c>
      <c r="B433" s="244" t="s">
        <v>719</v>
      </c>
      <c r="C433" s="270"/>
      <c r="D433" s="391">
        <f>D434+D436+D435</f>
        <v>75142602.2</v>
      </c>
      <c r="E433" s="390"/>
    </row>
    <row r="434" spans="1:4" ht="16.5" customHeight="1">
      <c r="A434" s="243" t="s">
        <v>610</v>
      </c>
      <c r="B434" s="244" t="s">
        <v>719</v>
      </c>
      <c r="C434" s="270" t="s">
        <v>561</v>
      </c>
      <c r="D434" s="236">
        <f>10000.24+50000</f>
        <v>60000.24</v>
      </c>
    </row>
    <row r="435" spans="1:4" ht="16.5" customHeight="1">
      <c r="A435" s="292" t="s">
        <v>720</v>
      </c>
      <c r="B435" s="244" t="s">
        <v>719</v>
      </c>
      <c r="C435" s="270" t="s">
        <v>721</v>
      </c>
      <c r="D435" s="236">
        <v>220000</v>
      </c>
    </row>
    <row r="436" spans="1:4" ht="17.25" customHeight="1">
      <c r="A436" s="255" t="s">
        <v>602</v>
      </c>
      <c r="B436" s="244" t="s">
        <v>719</v>
      </c>
      <c r="C436" s="270" t="s">
        <v>603</v>
      </c>
      <c r="D436" s="236">
        <v>74862601.96000001</v>
      </c>
    </row>
    <row r="437" spans="1:7" ht="18.75" customHeight="1">
      <c r="A437" s="240" t="s">
        <v>604</v>
      </c>
      <c r="B437" s="259" t="s">
        <v>605</v>
      </c>
      <c r="C437" s="245"/>
      <c r="D437" s="388">
        <f>D438+D442+D461</f>
        <v>23403048</v>
      </c>
      <c r="E437" s="242"/>
      <c r="F437" s="390"/>
      <c r="G437" s="390"/>
    </row>
    <row r="438" spans="1:6" s="250" customFormat="1" ht="30" customHeight="1">
      <c r="A438" s="254" t="s">
        <v>606</v>
      </c>
      <c r="B438" s="234" t="s">
        <v>607</v>
      </c>
      <c r="C438" s="235"/>
      <c r="D438" s="388">
        <f>D439</f>
        <v>296000</v>
      </c>
      <c r="F438" s="392"/>
    </row>
    <row r="439" spans="1:6" ht="26.25">
      <c r="A439" s="241" t="s">
        <v>608</v>
      </c>
      <c r="B439" s="234" t="s">
        <v>609</v>
      </c>
      <c r="C439" s="235"/>
      <c r="D439" s="391">
        <f>D440+D441</f>
        <v>296000</v>
      </c>
      <c r="F439" s="390"/>
    </row>
    <row r="440" spans="1:6" ht="38.25" customHeight="1">
      <c r="A440" s="243" t="s">
        <v>548</v>
      </c>
      <c r="B440" s="234" t="s">
        <v>609</v>
      </c>
      <c r="C440" s="245" t="s">
        <v>549</v>
      </c>
      <c r="D440" s="236">
        <f>208320+62913+20967+3800</f>
        <v>296000</v>
      </c>
      <c r="F440" s="390"/>
    </row>
    <row r="441" spans="1:6" ht="15" customHeight="1" hidden="1">
      <c r="A441" s="243" t="s">
        <v>610</v>
      </c>
      <c r="B441" s="234" t="s">
        <v>609</v>
      </c>
      <c r="C441" s="245" t="s">
        <v>561</v>
      </c>
      <c r="D441" s="236">
        <f>20967-20967</f>
        <v>0</v>
      </c>
      <c r="F441" s="390"/>
    </row>
    <row r="442" spans="1:6" ht="18" customHeight="1">
      <c r="A442" s="243" t="s">
        <v>611</v>
      </c>
      <c r="B442" s="234" t="s">
        <v>612</v>
      </c>
      <c r="C442" s="245"/>
      <c r="D442" s="391">
        <f>D443+D445+D447+D449+D453+D457+D451+D459</f>
        <v>23004048</v>
      </c>
      <c r="F442" s="390"/>
    </row>
    <row r="443" spans="1:6" ht="36.75" customHeight="1">
      <c r="A443" s="257" t="s">
        <v>1026</v>
      </c>
      <c r="B443" s="234" t="s">
        <v>1027</v>
      </c>
      <c r="C443" s="235"/>
      <c r="D443" s="391">
        <f>D444</f>
        <v>500197</v>
      </c>
      <c r="F443" s="390"/>
    </row>
    <row r="444" spans="1:6" ht="26.25" customHeight="1">
      <c r="A444" s="243" t="s">
        <v>560</v>
      </c>
      <c r="B444" s="234" t="s">
        <v>1027</v>
      </c>
      <c r="C444" s="245" t="s">
        <v>561</v>
      </c>
      <c r="D444" s="236">
        <v>500197</v>
      </c>
      <c r="F444" s="390"/>
    </row>
    <row r="445" spans="1:6" ht="44.25" customHeight="1">
      <c r="A445" s="257" t="s">
        <v>613</v>
      </c>
      <c r="B445" s="234" t="s">
        <v>614</v>
      </c>
      <c r="C445" s="235"/>
      <c r="D445" s="391">
        <f>D446</f>
        <v>29600</v>
      </c>
      <c r="F445" s="390"/>
    </row>
    <row r="446" spans="1:6" ht="26.25">
      <c r="A446" s="243" t="s">
        <v>560</v>
      </c>
      <c r="B446" s="234" t="s">
        <v>614</v>
      </c>
      <c r="C446" s="245" t="s">
        <v>549</v>
      </c>
      <c r="D446" s="236">
        <f>22442+6778+380</f>
        <v>29600</v>
      </c>
      <c r="F446" s="390"/>
    </row>
    <row r="447" spans="1:6" ht="39">
      <c r="A447" s="339" t="s">
        <v>617</v>
      </c>
      <c r="B447" s="234" t="s">
        <v>618</v>
      </c>
      <c r="C447" s="245"/>
      <c r="D447" s="391">
        <f>D448</f>
        <v>16600</v>
      </c>
      <c r="F447" s="390"/>
    </row>
    <row r="448" spans="1:6" ht="15.75" customHeight="1">
      <c r="A448" s="243" t="s">
        <v>610</v>
      </c>
      <c r="B448" s="234" t="s">
        <v>618</v>
      </c>
      <c r="C448" s="245" t="s">
        <v>561</v>
      </c>
      <c r="D448" s="391">
        <f>16600</f>
        <v>16600</v>
      </c>
      <c r="F448" s="390"/>
    </row>
    <row r="449" spans="1:6" ht="15" customHeight="1" hidden="1">
      <c r="A449" s="255" t="s">
        <v>1195</v>
      </c>
      <c r="B449" s="234" t="s">
        <v>1196</v>
      </c>
      <c r="C449" s="235"/>
      <c r="D449" s="391"/>
      <c r="F449" s="390"/>
    </row>
    <row r="450" spans="1:6" ht="26.25" customHeight="1" hidden="1">
      <c r="A450" s="243" t="s">
        <v>560</v>
      </c>
      <c r="B450" s="234" t="s">
        <v>1196</v>
      </c>
      <c r="C450" s="245" t="s">
        <v>561</v>
      </c>
      <c r="D450" s="391"/>
      <c r="F450" s="390"/>
    </row>
    <row r="451" spans="1:5" ht="26.25">
      <c r="A451" s="243" t="s">
        <v>726</v>
      </c>
      <c r="B451" s="234" t="s">
        <v>727</v>
      </c>
      <c r="C451" s="245"/>
      <c r="D451" s="391">
        <f>D452</f>
        <v>175320</v>
      </c>
      <c r="E451" s="390"/>
    </row>
    <row r="452" spans="1:5" ht="15">
      <c r="A452" s="243" t="s">
        <v>720</v>
      </c>
      <c r="B452" s="234" t="s">
        <v>727</v>
      </c>
      <c r="C452" s="245" t="s">
        <v>721</v>
      </c>
      <c r="D452" s="236">
        <f>175320</f>
        <v>175320</v>
      </c>
      <c r="E452" s="390"/>
    </row>
    <row r="453" spans="1:5" ht="25.5">
      <c r="A453" s="255" t="s">
        <v>722</v>
      </c>
      <c r="B453" s="234" t="s">
        <v>723</v>
      </c>
      <c r="C453" s="235"/>
      <c r="D453" s="391">
        <f>D454+D455+D456</f>
        <v>21882331</v>
      </c>
      <c r="E453" s="390"/>
    </row>
    <row r="454" spans="1:5" ht="39">
      <c r="A454" s="243" t="s">
        <v>548</v>
      </c>
      <c r="B454" s="234" t="s">
        <v>723</v>
      </c>
      <c r="C454" s="245" t="s">
        <v>549</v>
      </c>
      <c r="D454" s="275">
        <f>5520500+317090+83869+61258+34630+112438</f>
        <v>6129785</v>
      </c>
      <c r="E454" s="390"/>
    </row>
    <row r="455" spans="1:5" ht="26.25">
      <c r="A455" s="243" t="s">
        <v>560</v>
      </c>
      <c r="B455" s="234" t="s">
        <v>723</v>
      </c>
      <c r="C455" s="245" t="s">
        <v>561</v>
      </c>
      <c r="D455" s="275">
        <f>2631850+3275000+5851500+40000+102950+1487928+3551072-1436006+200000</f>
        <v>15704294</v>
      </c>
      <c r="E455" s="390"/>
    </row>
    <row r="456" spans="1:5" ht="15">
      <c r="A456" s="255" t="s">
        <v>602</v>
      </c>
      <c r="B456" s="234" t="s">
        <v>723</v>
      </c>
      <c r="C456" s="245" t="s">
        <v>603</v>
      </c>
      <c r="D456" s="275">
        <f>18140+8000+12787+9325</f>
        <v>48252</v>
      </c>
      <c r="E456" s="390"/>
    </row>
    <row r="457" spans="1:5" ht="15">
      <c r="A457" s="280" t="s">
        <v>724</v>
      </c>
      <c r="B457" s="234" t="s">
        <v>725</v>
      </c>
      <c r="C457" s="245"/>
      <c r="D457" s="391">
        <f>D458</f>
        <v>100000</v>
      </c>
      <c r="E457" s="390"/>
    </row>
    <row r="458" spans="1:5" ht="25.5" customHeight="1">
      <c r="A458" s="243" t="s">
        <v>560</v>
      </c>
      <c r="B458" s="234" t="s">
        <v>725</v>
      </c>
      <c r="C458" s="245" t="s">
        <v>561</v>
      </c>
      <c r="D458" s="391">
        <v>100000</v>
      </c>
      <c r="E458" s="390"/>
    </row>
    <row r="459" spans="1:5" ht="25.5" customHeight="1">
      <c r="A459" s="240" t="s">
        <v>886</v>
      </c>
      <c r="B459" s="234" t="s">
        <v>887</v>
      </c>
      <c r="C459" s="245"/>
      <c r="D459" s="391">
        <f>D460</f>
        <v>300000</v>
      </c>
      <c r="E459" s="390"/>
    </row>
    <row r="460" spans="1:5" ht="25.5" customHeight="1">
      <c r="A460" s="243" t="s">
        <v>560</v>
      </c>
      <c r="B460" s="234" t="s">
        <v>887</v>
      </c>
      <c r="C460" s="245" t="s">
        <v>561</v>
      </c>
      <c r="D460" s="391">
        <v>300000</v>
      </c>
      <c r="E460" s="390"/>
    </row>
    <row r="461" spans="1:5" s="250" customFormat="1" ht="15">
      <c r="A461" s="401" t="s">
        <v>628</v>
      </c>
      <c r="B461" s="367" t="s">
        <v>629</v>
      </c>
      <c r="C461" s="368"/>
      <c r="D461" s="397">
        <f>D462</f>
        <v>103000</v>
      </c>
      <c r="E461" s="392"/>
    </row>
    <row r="462" spans="1:5" ht="15">
      <c r="A462" s="240" t="s">
        <v>630</v>
      </c>
      <c r="B462" s="234" t="s">
        <v>1197</v>
      </c>
      <c r="C462" s="235"/>
      <c r="D462" s="391">
        <f>D463</f>
        <v>103000</v>
      </c>
      <c r="E462" s="390"/>
    </row>
    <row r="463" spans="1:5" ht="15">
      <c r="A463" s="243" t="s">
        <v>610</v>
      </c>
      <c r="B463" s="234" t="s">
        <v>1197</v>
      </c>
      <c r="C463" s="235" t="s">
        <v>603</v>
      </c>
      <c r="D463" s="391">
        <f>103000</f>
        <v>103000</v>
      </c>
      <c r="E463" s="390"/>
    </row>
    <row r="464" spans="1:5" ht="15">
      <c r="A464" s="243" t="s">
        <v>634</v>
      </c>
      <c r="B464" s="244" t="s">
        <v>635</v>
      </c>
      <c r="C464" s="261" t="s">
        <v>636</v>
      </c>
      <c r="D464" s="391">
        <f>D465</f>
        <v>0</v>
      </c>
      <c r="E464" s="390"/>
    </row>
    <row r="465" spans="1:4" s="250" customFormat="1" ht="15">
      <c r="A465" s="243" t="s">
        <v>632</v>
      </c>
      <c r="B465" s="244" t="s">
        <v>637</v>
      </c>
      <c r="C465" s="261" t="s">
        <v>636</v>
      </c>
      <c r="D465" s="391">
        <f>D466</f>
        <v>0</v>
      </c>
    </row>
    <row r="466" spans="1:4" ht="15">
      <c r="A466" s="241" t="s">
        <v>638</v>
      </c>
      <c r="B466" s="244" t="s">
        <v>639</v>
      </c>
      <c r="C466" s="261" t="s">
        <v>636</v>
      </c>
      <c r="D466" s="391">
        <f>D467</f>
        <v>0</v>
      </c>
    </row>
    <row r="467" spans="1:4" ht="15.75" customHeight="1">
      <c r="A467" s="243" t="s">
        <v>602</v>
      </c>
      <c r="B467" s="244" t="s">
        <v>639</v>
      </c>
      <c r="C467" s="261" t="s">
        <v>603</v>
      </c>
      <c r="D467" s="391">
        <f>50000-50000</f>
        <v>0</v>
      </c>
    </row>
    <row r="468" spans="1:4" ht="25.5">
      <c r="A468" s="303" t="s">
        <v>988</v>
      </c>
      <c r="B468" s="402" t="s">
        <v>989</v>
      </c>
      <c r="C468" s="403"/>
      <c r="D468" s="397">
        <f>D469</f>
        <v>100000</v>
      </c>
    </row>
    <row r="469" spans="1:4" ht="25.5">
      <c r="A469" s="303" t="s">
        <v>990</v>
      </c>
      <c r="B469" s="244" t="s">
        <v>991</v>
      </c>
      <c r="C469" s="403"/>
      <c r="D469" s="397">
        <f>D470</f>
        <v>100000</v>
      </c>
    </row>
    <row r="470" spans="1:4" ht="15">
      <c r="A470" s="243" t="s">
        <v>1012</v>
      </c>
      <c r="B470" s="244" t="s">
        <v>1013</v>
      </c>
      <c r="C470" s="403"/>
      <c r="D470" s="397">
        <f>D471</f>
        <v>100000</v>
      </c>
    </row>
    <row r="471" spans="1:4" ht="26.25">
      <c r="A471" s="243" t="s">
        <v>560</v>
      </c>
      <c r="B471" s="244" t="s">
        <v>1013</v>
      </c>
      <c r="C471" s="403">
        <v>200</v>
      </c>
      <c r="D471" s="397">
        <f>100000</f>
        <v>100000</v>
      </c>
    </row>
    <row r="472" spans="1:4" ht="15.75">
      <c r="A472" s="404" t="s">
        <v>728</v>
      </c>
      <c r="B472" s="405" t="s">
        <v>729</v>
      </c>
      <c r="C472" s="406"/>
      <c r="D472" s="407">
        <f>D473</f>
        <v>90000</v>
      </c>
    </row>
    <row r="473" spans="1:4" s="250" customFormat="1" ht="15.75">
      <c r="A473" s="243" t="s">
        <v>632</v>
      </c>
      <c r="B473" s="259" t="s">
        <v>730</v>
      </c>
      <c r="C473" s="245"/>
      <c r="D473" s="388">
        <f>D474</f>
        <v>90000</v>
      </c>
    </row>
    <row r="474" spans="1:5" ht="15.75">
      <c r="A474" s="243" t="s">
        <v>731</v>
      </c>
      <c r="B474" s="259" t="s">
        <v>732</v>
      </c>
      <c r="C474" s="245"/>
      <c r="D474" s="388">
        <f>D475</f>
        <v>90000</v>
      </c>
      <c r="E474" s="408"/>
    </row>
    <row r="475" spans="1:4" ht="16.5" thickBot="1">
      <c r="A475" s="409" t="s">
        <v>733</v>
      </c>
      <c r="B475" s="410" t="s">
        <v>732</v>
      </c>
      <c r="C475" s="411" t="s">
        <v>734</v>
      </c>
      <c r="D475" s="412">
        <f>30000+30000+30000</f>
        <v>90000</v>
      </c>
    </row>
    <row r="476" spans="1:3" ht="15.75">
      <c r="A476" s="216"/>
      <c r="B476" s="413"/>
      <c r="C476" s="214"/>
    </row>
    <row r="477" spans="1:5" ht="15.75">
      <c r="A477" s="216"/>
      <c r="B477" s="413"/>
      <c r="C477" s="214"/>
      <c r="E477" s="390"/>
    </row>
    <row r="478" spans="1:3" ht="15.75">
      <c r="A478" s="216"/>
      <c r="B478" s="413"/>
      <c r="C478" s="214"/>
    </row>
    <row r="479" spans="1:5" ht="15.75">
      <c r="A479" s="216"/>
      <c r="B479" s="413"/>
      <c r="C479" s="214"/>
      <c r="E479" s="390"/>
    </row>
  </sheetData>
  <sheetProtection/>
  <mergeCells count="8">
    <mergeCell ref="B5:D5"/>
    <mergeCell ref="B6:D6"/>
    <mergeCell ref="A8:D8"/>
    <mergeCell ref="F8:K8"/>
    <mergeCell ref="A10:A11"/>
    <mergeCell ref="B10:B11"/>
    <mergeCell ref="C10:C11"/>
    <mergeCell ref="D10:D11"/>
  </mergeCells>
  <hyperlinks>
    <hyperlink ref="A209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086614173228347" right="0.23" top="0.4" bottom="0.23" header="0.31496062992125984" footer="0.2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88</cp:lastModifiedBy>
  <cp:lastPrinted>2019-12-24T11:13:19Z</cp:lastPrinted>
  <dcterms:created xsi:type="dcterms:W3CDTF">2010-11-11T11:56:17Z</dcterms:created>
  <dcterms:modified xsi:type="dcterms:W3CDTF">2019-12-25T11:14:47Z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