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440" windowHeight="11640" activeTab="4"/>
  </bookViews>
  <sheets>
    <sheet name="прил 1" sheetId="1" r:id="rId1"/>
    <sheet name="прил 5" sheetId="2" r:id="rId2"/>
    <sheet name="прил 7 " sheetId="3" r:id="rId3"/>
    <sheet name="прил 9 " sheetId="4" r:id="rId4"/>
    <sheet name="прил 11 " sheetId="5" r:id="rId5"/>
  </sheets>
  <definedNames>
    <definedName name="_xlnm.Print_Area" localSheetId="0">'прил 1'!$A$1:$C$52</definedName>
    <definedName name="_xlnm.Print_Area" localSheetId="4">'прил 11 '!$A$1:$D$527</definedName>
    <definedName name="_xlnm.Print_Area" localSheetId="2">'прил 7 '!$A$1:$F$611</definedName>
    <definedName name="_xlnm.Print_Area" localSheetId="3">'прил 9 '!$A$1:$I$696</definedName>
  </definedNames>
  <calcPr fullCalcOnLoad="1"/>
</workbook>
</file>

<file path=xl/sharedStrings.xml><?xml version="1.0" encoding="utf-8"?>
<sst xmlns="http://schemas.openxmlformats.org/spreadsheetml/2006/main" count="7739" uniqueCount="1231">
  <si>
    <t>Приложение № 7</t>
  </si>
  <si>
    <t xml:space="preserve">к решению Представительного  собрания </t>
  </si>
  <si>
    <t xml:space="preserve"> Глушковского района Курской области</t>
  </si>
  <si>
    <t>руб.</t>
  </si>
  <si>
    <t xml:space="preserve"> Наименование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</si>
  <si>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</si>
  <si>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</si>
  <si>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</si>
  <si>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</si>
  <si>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</si>
  <si>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</si>
  <si>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</si>
  <si>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</si>
  <si>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5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</si>
  <si>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</si>
  <si>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</si>
  <si>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</si>
  <si>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</si>
  <si>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</si>
  <si>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</si>
  <si>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</si>
  <si>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</si>
  <si>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</si>
  <si>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</si>
  <si>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</si>
  <si>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</si>
  <si>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</si>
  <si>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</si>
  <si>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</si>
  <si>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</si>
  <si>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</si>
  <si>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</si>
  <si>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</si>
  <si>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</si>
  <si>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</si>
  <si>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</si>
  <si>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</si>
  <si>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</si>
  <si>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</si>
  <si>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</si>
  <si>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</si>
  <si>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</si>
  <si>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</si>
  <si>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</si>
  <si>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</si>
  <si>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</si>
  <si>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</si>
  <si>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</si>
  <si>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</si>
  <si>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</si>
  <si>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</si>
  <si>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</si>
  <si>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</si>
  <si>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</si>
  <si>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</si>
  <si>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</si>
  <si>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</si>
  <si>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</si>
  <si>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</si>
  <si>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</si>
  <si>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</si>
  <si>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</si>
  <si>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</si>
  <si>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</si>
  <si>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</si>
  <si>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</si>
  <si>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</si>
  <si>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</si>
  <si>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</si>
  <si>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</si>
  <si>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</si>
  <si>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</si>
  <si>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</si>
  <si>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</si>
  <si>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</si>
  <si>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</si>
  <si>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</si>
  <si>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</si>
  <si>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</si>
  <si>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Иные бюджетные ассигнования</t>
  </si>
  <si>
    <t>800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</si>
  <si>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</si>
  <si>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</si>
  <si>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</si>
  <si>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</si>
  <si>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</si>
  <si>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</si>
  <si>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</si>
  <si>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</si>
  <si>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</si>
  <si>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</si>
  <si>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</si>
  <si>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</si>
  <si>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</si>
  <si>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</si>
  <si>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</si>
  <si>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</si>
  <si>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</si>
  <si>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</si>
  <si>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</si>
  <si>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</si>
  <si>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</si>
  <si>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</si>
  <si>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</si>
  <si>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</si>
  <si>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</si>
  <si>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</si>
  <si>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</si>
  <si>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</si>
  <si>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</si>
  <si>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</si>
  <si>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</si>
  <si>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</si>
  <si>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</si>
  <si>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</si>
  <si>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</si>
  <si>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</si>
  <si>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</si>
  <si>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</si>
  <si>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</si>
  <si>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</si>
  <si>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</si>
  <si>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</si>
  <si>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</si>
  <si>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</si>
  <si>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</si>
  <si>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</si>
  <si>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</si>
  <si>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</si>
  <si>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</si>
  <si>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</si>
  <si>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</si>
  <si>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</si>
  <si>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</si>
  <si>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</si>
  <si>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</si>
  <si>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</si>
  <si>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</si>
  <si>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</si>
  <si>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Выполнение других (прочих) обязательств органа местного самоуправления</t>
  </si>
  <si>
    <t>02 3 02 С1404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</si>
  <si>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</si>
  <si>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</si>
  <si>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</si>
  <si>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</si>
  <si>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</si>
  <si>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</si>
  <si>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</si>
  <si>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</si>
  <si>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</si>
  <si>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</si>
  <si>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</si>
  <si>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</si>
  <si>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</si>
  <si>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</si>
  <si>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</si>
  <si>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</si>
  <si>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</si>
  <si>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</si>
  <si>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</si>
  <si>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</si>
  <si>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</si>
  <si>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</si>
  <si>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</si>
  <si>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</si>
  <si>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</si>
  <si>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</si>
  <si>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</si>
  <si>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</si>
  <si>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</si>
  <si>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</si>
  <si>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</si>
  <si>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</si>
  <si>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</si>
  <si>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</si>
  <si>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</si>
  <si>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</si>
  <si>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</si>
  <si>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</si>
  <si>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</si>
  <si>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</si>
  <si>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</si>
  <si>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</si>
  <si>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</si>
  <si>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</si>
  <si>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</si>
  <si>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</si>
  <si>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</si>
  <si>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</si>
  <si>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25 1 01 59300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</si>
  <si>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</si>
  <si>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</si>
  <si>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</si>
  <si>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</si>
  <si>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</si>
  <si>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</si>
  <si>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</si>
  <si>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Межбюджетные трансферты</t>
  </si>
  <si>
    <t>500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</si>
  <si>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</si>
  <si>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</si>
  <si>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распространению официальной информации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</si>
  <si>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</si>
  <si>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</si>
  <si>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</si>
  <si>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</si>
  <si>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</si>
  <si>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</si>
  <si>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</si>
  <si>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</si>
  <si>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</si>
  <si>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</si>
  <si>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</si>
  <si>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</si>
  <si>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</si>
  <si>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</si>
  <si>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</si>
  <si>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</si>
  <si>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</si>
  <si>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</si>
  <si>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</si>
  <si>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</si>
  <si>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</si>
  <si>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</si>
  <si>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</si>
  <si>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</si>
  <si>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</si>
  <si>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</si>
  <si>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</si>
  <si>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</si>
  <si>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</si>
  <si>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</si>
  <si>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</si>
  <si>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</si>
  <si>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</si>
  <si>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</si>
  <si>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</si>
  <si>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</si>
  <si>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</si>
  <si>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</si>
  <si>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</si>
  <si>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</si>
  <si>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</si>
  <si>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</si>
  <si>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</si>
  <si>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</si>
  <si>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</si>
  <si>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</si>
  <si>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</si>
  <si>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</si>
  <si>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</si>
  <si>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Реализация проекта "Народный бюджет"</t>
  </si>
  <si>
    <t>11 1 02 13604</t>
  </si>
  <si>
    <t>Капитальные вложения в объекты государственной (муниципальной) собственности</t>
  </si>
  <si>
    <t>400</t>
  </si>
  <si>
    <t>Мероприятия по реализации проекта "Народный бюджет"</t>
  </si>
  <si>
    <t>11 1 02 S3604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</si>
  <si>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</si>
  <si>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</si>
  <si>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</si>
  <si>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</si>
  <si>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</si>
  <si>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</si>
  <si>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</si>
  <si>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</si>
  <si>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</si>
  <si>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</si>
  <si>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</si>
  <si>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</si>
  <si>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</si>
  <si>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16 1 00 00000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</si>
  <si>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</si>
  <si>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</si>
  <si>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</si>
  <si>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</si>
  <si>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</si>
  <si>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</si>
  <si>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</si>
  <si>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</si>
  <si>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</si>
  <si>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</si>
  <si>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</si>
  <si>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</si>
  <si>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</si>
  <si>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</si>
  <si>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</si>
  <si>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</si>
  <si>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</si>
  <si>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</si>
  <si>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</si>
  <si>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</si>
  <si>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</si>
  <si>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</si>
  <si>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</si>
  <si>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</si>
  <si>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</si>
  <si>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</si>
  <si>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</si>
  <si>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</si>
  <si>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>07 2 05 13600</t>
  </si>
  <si>
    <t>07 2 05 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</si>
  <si>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</si>
  <si>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</si>
  <si>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</si>
  <si>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</si>
  <si>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</si>
  <si>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</si>
  <si>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</si>
  <si>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</si>
  <si>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</si>
  <si>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</si>
  <si>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</si>
  <si>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</si>
  <si>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</si>
  <si>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</si>
  <si>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</si>
  <si>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</si>
  <si>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</si>
  <si>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</si>
  <si>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</si>
  <si>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</si>
  <si>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</si>
  <si>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</si>
  <si>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</si>
  <si>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</si>
  <si>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</si>
  <si>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</si>
  <si>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</si>
  <si>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</si>
  <si>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</si>
  <si>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</si>
  <si>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</si>
  <si>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</si>
  <si>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</si>
  <si>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</si>
  <si>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</si>
  <si>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</si>
  <si>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</si>
  <si>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</si>
  <si>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</si>
  <si>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</si>
  <si>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</si>
  <si>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</si>
  <si>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</si>
  <si>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</si>
  <si>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</si>
  <si>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</si>
  <si>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>Основное мероприятие "Строительство локальных сетей водоснабжения"</t>
  </si>
  <si>
    <t>16 1 01 00000</t>
  </si>
  <si>
    <t xml:space="preserve">Обеспечение  устойчивого  развития  сельских территорий </t>
  </si>
  <si>
    <t>16 1 01  L5670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</si>
  <si>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</si>
  <si>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</si>
  <si>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</si>
  <si>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S5671</t>
  </si>
  <si>
    <t>Реализация мероприятий по устойчивому развитию сельских территорий за счет средств областного бюджета</t>
  </si>
  <si>
    <t>16 1 01  R5671</t>
  </si>
  <si>
    <t>16 1 01 П1417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</si>
  <si>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</si>
  <si>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</si>
  <si>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</si>
  <si>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77 2 00 С1469</t>
  </si>
  <si>
    <t>Образование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</si>
  <si>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</si>
  <si>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</si>
  <si>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</si>
  <si>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</si>
  <si>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</si>
  <si>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</si>
  <si>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</si>
  <si>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</si>
  <si>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</si>
  <si>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03 1 01 C1401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</si>
  <si>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</si>
  <si>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</si>
  <si>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</si>
  <si>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</si>
  <si>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</si>
  <si>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</si>
  <si>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Общее образование</t>
  </si>
  <si>
    <t>Региональный проект "Успех каждого ребенка"</t>
  </si>
  <si>
    <t>03 1 Е2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</si>
  <si>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</si>
  <si>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Е2 50970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</si>
  <si>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</si>
  <si>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</si>
  <si>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</si>
  <si>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</si>
  <si>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Проведение капитального ремонта муниципальных образовательных организаций</t>
  </si>
  <si>
    <t>03 1 02 13050</t>
  </si>
  <si>
    <t>Обеспечение проведения капитального ремонта муниципальных образовательных организаций</t>
  </si>
  <si>
    <t>03 1 02 S3050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</si>
  <si>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</si>
  <si>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</si>
  <si>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</si>
  <si>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</si>
  <si>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</si>
  <si>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</si>
  <si>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</si>
  <si>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03 1 02 C1401</t>
  </si>
  <si>
    <t>Мероприятия в области образования</t>
  </si>
  <si>
    <t>03 1 02 C1447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</si>
  <si>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</si>
  <si>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</si>
  <si>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</si>
  <si>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</si>
  <si>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</si>
  <si>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</si>
  <si>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</si>
  <si>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</si>
  <si>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</si>
  <si>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</si>
  <si>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</si>
  <si>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</si>
  <si>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</si>
  <si>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</si>
  <si>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</si>
  <si>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</si>
  <si>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</si>
  <si>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 xml:space="preserve">Молодежная политика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</si>
  <si>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</si>
  <si>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</si>
  <si>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</si>
  <si>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</si>
  <si>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</si>
  <si>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</si>
  <si>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</si>
  <si>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</si>
  <si>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</si>
  <si>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</si>
  <si>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</si>
  <si>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</si>
  <si>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</si>
  <si>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</si>
  <si>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</si>
  <si>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</si>
  <si>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Развитие системы оздоровления и отдыха детей</t>
  </si>
  <si>
    <t>08 3 01 С1458</t>
  </si>
  <si>
    <t>Основное мероприятие "Организация малозатратных форм детского отдыха"</t>
  </si>
  <si>
    <t>08 3 02 00000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</si>
  <si>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</si>
  <si>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</si>
  <si>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</si>
  <si>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</si>
  <si>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</si>
  <si>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</si>
  <si>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</si>
  <si>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</si>
  <si>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</si>
  <si>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</si>
  <si>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</si>
  <si>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</si>
  <si>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</si>
  <si>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</si>
  <si>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</si>
  <si>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</si>
  <si>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</si>
  <si>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</si>
  <si>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</si>
  <si>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</si>
  <si>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</si>
  <si>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</si>
  <si>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</si>
  <si>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</si>
  <si>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</si>
  <si>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</si>
  <si>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</si>
  <si>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</si>
  <si>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</si>
  <si>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</si>
  <si>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</si>
  <si>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</si>
  <si>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</si>
  <si>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</si>
  <si>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</si>
  <si>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</si>
  <si>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</si>
  <si>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</si>
  <si>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</si>
  <si>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</si>
  <si>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</si>
  <si>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</si>
  <si>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</si>
  <si>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</si>
  <si>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</si>
  <si>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</si>
  <si>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</si>
  <si>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</si>
  <si>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</si>
  <si>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</si>
  <si>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</si>
  <si>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</si>
  <si>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</si>
  <si>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</si>
  <si>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Социальная политика</t>
  </si>
  <si>
    <t>10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</si>
  <si>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</si>
  <si>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</si>
  <si>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</si>
  <si>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</si>
  <si>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</si>
  <si>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</si>
  <si>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</si>
  <si>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</si>
  <si>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</si>
  <si>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</si>
  <si>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</si>
  <si>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</si>
  <si>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</si>
  <si>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</si>
  <si>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</si>
  <si>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</si>
  <si>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</si>
  <si>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</si>
  <si>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</si>
  <si>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</si>
  <si>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</si>
  <si>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</si>
  <si>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</si>
  <si>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</si>
  <si>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</si>
  <si>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</si>
  <si>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</si>
  <si>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</si>
  <si>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</si>
  <si>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</si>
  <si>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</si>
  <si>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03 2 05 13070</t>
  </si>
  <si>
    <t xml:space="preserve">Охрана семьи и детства </t>
  </si>
  <si>
    <t>Ежемесячное пособие на ребенка</t>
  </si>
  <si>
    <t>02 1 01 11130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</si>
  <si>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</si>
  <si>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</si>
  <si>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</si>
  <si>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</si>
  <si>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</si>
  <si>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</si>
  <si>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</si>
  <si>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>03 1 01 13000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</si>
  <si>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</si>
  <si>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</si>
  <si>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</si>
  <si>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</si>
  <si>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</si>
  <si>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</si>
  <si>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</si>
  <si>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</si>
  <si>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</si>
  <si>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</si>
  <si>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</si>
  <si>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</si>
  <si>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</si>
  <si>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</si>
  <si>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</si>
  <si>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</si>
  <si>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</si>
  <si>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</si>
  <si>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</si>
  <si>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</si>
  <si>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</si>
  <si>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</si>
  <si>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</si>
  <si>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</si>
  <si>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</si>
  <si>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</si>
  <si>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</si>
  <si>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</si>
  <si>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</si>
  <si>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</si>
  <si>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</si>
  <si>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</si>
  <si>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</si>
  <si>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Региональный проект "Современная школа"</t>
  </si>
  <si>
    <t>03 1 E1 00000</t>
  </si>
  <si>
    <t>03 1 E1 51690</t>
  </si>
  <si>
    <t>03 1 Е2 54910</t>
  </si>
  <si>
    <t>Создание новых мест дополнительного образования детей</t>
  </si>
  <si>
    <t xml:space="preserve">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</si>
  <si>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03 2 Е2 00000</t>
  </si>
  <si>
    <t>03 2 Е2 54910</t>
  </si>
  <si>
    <t>03 1 01 С1401</t>
  </si>
  <si>
    <t>03 1 01 13040</t>
  </si>
  <si>
    <t>Приложение № 9</t>
  </si>
  <si>
    <t>ГРБС</t>
  </si>
  <si>
    <t>КБК 207 113</t>
  </si>
  <si>
    <t>6</t>
  </si>
  <si>
    <t>7</t>
  </si>
  <si>
    <t>Администрация Глушковского района    Курской области</t>
  </si>
  <si>
    <t>001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</si>
  <si>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</si>
  <si>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</si>
  <si>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</si>
  <si>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</si>
  <si>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</si>
  <si>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06 1 00 000000</t>
  </si>
  <si>
    <t>06 1 01 000000</t>
  </si>
  <si>
    <t xml:space="preserve">Молодежная политика  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</si>
  <si>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</si>
  <si>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</si>
  <si>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</si>
  <si>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</si>
  <si>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</si>
  <si>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03 1 01 13050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</si>
  <si>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</si>
  <si>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</si>
  <si>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L0270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</si>
  <si>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</si>
  <si>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</si>
  <si>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03 1 02 L0970</t>
  </si>
  <si>
    <t>03 1 02 S3060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</si>
  <si>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</si>
  <si>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</si>
  <si>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</si>
  <si>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</si>
  <si>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</si>
  <si>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</si>
  <si>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</si>
  <si>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</si>
  <si>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</si>
  <si>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</si>
  <si>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</si>
  <si>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</si>
  <si>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</si>
  <si>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</si>
  <si>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</si>
  <si>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</si>
  <si>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2020 год</t>
  </si>
  <si>
    <t>Бюджет 2020 год</t>
  </si>
  <si>
    <t>Приложение № 11</t>
  </si>
  <si>
    <t>Сумма</t>
  </si>
  <si>
    <t>01 0 0000000</t>
  </si>
  <si>
    <t xml:space="preserve"> 01 1 01 11820</t>
  </si>
  <si>
    <t xml:space="preserve"> 01 1 01 13320</t>
  </si>
  <si>
    <t xml:space="preserve"> 01 1 01 С1401</t>
  </si>
  <si>
    <t>Развитие библиотечного дела</t>
  </si>
  <si>
    <t xml:space="preserve"> 01 2 01 С1442</t>
  </si>
  <si>
    <t>Обеспечение условий реализации муниципальной программы</t>
  </si>
  <si>
    <t>01 3 1440</t>
  </si>
  <si>
    <t>02 1 02 С1445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</si>
  <si>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</si>
  <si>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</si>
  <si>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</si>
  <si>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</si>
  <si>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</si>
  <si>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</si>
  <si>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Реализация мероприятий государственной программы Российской Федерации "Доступная среда" на 2011-2020 годы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</si>
  <si>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</si>
  <si>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</si>
  <si>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</si>
  <si>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</si>
  <si>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</si>
  <si>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</si>
  <si>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</si>
  <si>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</si>
  <si>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</si>
  <si>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</si>
  <si>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</si>
  <si>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</si>
  <si>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</si>
  <si>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</si>
  <si>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</si>
  <si>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</si>
  <si>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Проведение Всероссийской сельскохозяйственной переписи в 2016 году</t>
  </si>
  <si>
    <t>77 2 00 53910</t>
  </si>
  <si>
    <t>77 3 00 С1441</t>
  </si>
  <si>
    <t xml:space="preserve">к  решению Представительного  собрания 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</si>
  <si>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2020 год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</si>
  <si>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2020 год</t>
  </si>
  <si>
    <t>"О  бюджета муниципального района "Глушковский район" Курской области на 2020 год и плановый период 2021 и 2022 г.г."</t>
  </si>
  <si>
    <t>"О  бюджете муниципального района "Глушковский район" Курской области на 2020 год и плановый период 2021 и 2022 г.г. "</t>
  </si>
  <si>
    <t>"О бюджете муниципального района "Глушковский район" Курской области на 2020 год и плановый период 2021 и 2022 г.г."</t>
  </si>
  <si>
    <t>Основное мероприятие "Ликвидация накопленного экологического ущерба"</t>
  </si>
  <si>
    <t>06 1 02 00000</t>
  </si>
  <si>
    <t>06 1 02 С1469</t>
  </si>
  <si>
    <t>03 2 04 00000</t>
  </si>
  <si>
    <t>03 2 04 13070</t>
  </si>
  <si>
    <t>Основное мероприятие "Проведение муниципальной политики в области имущественных и земельных отношений на территории Глушковского района Курской области "</t>
  </si>
  <si>
    <t>11 1 01 13604</t>
  </si>
  <si>
    <t>11 1 01 S3604</t>
  </si>
  <si>
    <t xml:space="preserve"> от  23 декабря    2019 г.  № 114</t>
  </si>
  <si>
    <t xml:space="preserve"> от 23 декабря   2019г.  № 114</t>
  </si>
  <si>
    <t xml:space="preserve"> от   23 декабря   2019 г.  № 114</t>
  </si>
  <si>
    <t xml:space="preserve">Мероприятия по внесению в  Единый государственный реестр недвижимости сведений о границах муниципальных образований и границах населенных пунктов
</t>
  </si>
  <si>
    <t xml:space="preserve">Внесение в  Единый государственный реестр недвижимости сведений о границах муниципальных образований и границах населенных пунктов
</t>
  </si>
  <si>
    <t>07 2 05 С1416</t>
  </si>
  <si>
    <t>Мероприятия по  разработке документов территориального планирования и градостроительного зонирования</t>
  </si>
  <si>
    <t>06 1 02 000000</t>
  </si>
  <si>
    <t>06 1 02 С 1469</t>
  </si>
  <si>
    <t>Основное мероприятие"Ликвидация накопленного экологического ущерба"</t>
  </si>
  <si>
    <t>18 0 00 00000</t>
  </si>
  <si>
    <t>18 1 00 00000</t>
  </si>
  <si>
    <t>18 1 01 00000</t>
  </si>
  <si>
    <t>Муниципальная программа Глушковского района Курской области «Формировние законопослушного поведения участников дорожного движения на территории Глушковского района Курской области на 2020-2022  годы»</t>
  </si>
  <si>
    <t>Подпрограмма" Повышение правового сознания и предупреждение опасного поведения участников дорожного движения" муниципальной программы Глушковского района Курской области «Формировние законопослушного поведения участников дорожного движения на территории Глушковского района Курской области на 2020-2022  годы»</t>
  </si>
  <si>
    <t>Основное мероприятие " Предупреждение опасного поведения участников дорожного движения и профилактика дорожнотранспортных проишествий"</t>
  </si>
  <si>
    <t>18 1 01 С1459</t>
  </si>
  <si>
    <t>77 2 00 С1404</t>
  </si>
  <si>
    <t>08 3 03 S0070</t>
  </si>
  <si>
    <t>08 3 03 10070</t>
  </si>
  <si>
    <t>Проведение капитального ремонта муниципальных организаций отдыха детей и их оздоровления Курской области</t>
  </si>
  <si>
    <t xml:space="preserve">Обеспечение расходных обязательств, связанных с проведением  капитального ремонта муниципальных организаций отдыха детей и их оздоровления  </t>
  </si>
  <si>
    <t>07 2 02 S1501</t>
  </si>
  <si>
    <t xml:space="preserve">Мероприятия, направленные на  развитие социальной и инженерной инфраструктуры муниципальных образований  Курской области  за счет средств бюджета  муниципального района </t>
  </si>
  <si>
    <t>02 3 02 13221</t>
  </si>
  <si>
    <t>13 1 05 00000</t>
  </si>
  <si>
    <t>13 1 05 С2002</t>
  </si>
  <si>
    <t>Основное мероприятие " Предупреждение опасного поведения участников дорожного движения и профилактика дорожно-транспортных проишествий"</t>
  </si>
  <si>
    <t>02 1 01 R3020</t>
  </si>
  <si>
    <t>02 1 01 R3021</t>
  </si>
  <si>
    <t>Ежемесячная выплата  на детей в возрасте от трех до семи лет включительно</t>
  </si>
  <si>
    <t>Ежемесячная выплата  на детей в возрасте от трех до семи лет включительно, за счет средств областного бюджета</t>
  </si>
  <si>
    <t>13 1 04 С1460</t>
  </si>
  <si>
    <t>Иные межбюджетные трансферты</t>
  </si>
  <si>
    <t xml:space="preserve">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   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</si>
  <si>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</si>
  <si>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направленностей.</t>
  </si>
  <si>
    <t>03 1 01 C2002</t>
  </si>
  <si>
    <t>03 1 02 C2002</t>
  </si>
  <si>
    <t>03 2 01 C2002</t>
  </si>
  <si>
    <t>08 2 03 С2002</t>
  </si>
  <si>
    <t>Государственная поддержка лучших работников сельских  учреждений культуры</t>
  </si>
  <si>
    <t>79 1 00 L5191</t>
  </si>
  <si>
    <t>03 1 01 С2002</t>
  </si>
  <si>
    <t>03 2 01 С2002</t>
  </si>
  <si>
    <t>Государственная поддержка лучших  работников  сельских учреждений  культуры</t>
  </si>
  <si>
    <t xml:space="preserve">Обеспечение мероприятий, связанных с  профилактикой и устранением  последствий распространения коронавирусной инфекции </t>
  </si>
  <si>
    <t>Основное мероприятие "Профилактика и устранение последствий распространения коронавирусной инфекции "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</si>
  <si>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</si>
  <si>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</si>
  <si>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Глушковского района Курской области</t>
  </si>
  <si>
    <t>"О бюджете  муниципального района "Глушковский  район" Курской области на 2020 год и плановый период 2021 и 2022 годов " от "23"  декабря 2019 года №114</t>
  </si>
  <si>
    <t>( в редакции решения Представительного  собрания Глушковского района Курской области</t>
  </si>
  <si>
    <t xml:space="preserve">                                    от "26"  сентября  2012г. № ___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</si>
  <si>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</si>
  <si>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</si>
  <si>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Курской области на 2020 год</t>
  </si>
  <si>
    <t>рублей</t>
  </si>
  <si>
    <t>Код бюджетной классификации Российской Федерации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</si>
  <si>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</si>
  <si>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</si>
  <si>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</si>
  <si>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</si>
  <si>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</si>
  <si>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01 02 00 00 00 0000 000</t>
  </si>
  <si>
    <t xml:space="preserve">Кредиты кредитных  организаций в валюте Российской Федерации </t>
  </si>
  <si>
    <t>01 02 00 00 00 0000 700</t>
  </si>
  <si>
    <t>Получение  кредитов  от кредитных организаций в валюте Российской Федерации</t>
  </si>
  <si>
    <t>01 02 00 00 05 0000 710</t>
  </si>
  <si>
    <t>Получение  кредитов 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</si>
  <si>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</si>
  <si>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 кредитными организациями в валюте Российской Федерации</t>
  </si>
  <si>
    <t>01 02 00 00 05 0000 810</t>
  </si>
  <si>
    <t>Погашение бюджетами муниципальных районов кредитов 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</si>
  <si>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</si>
  <si>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</si>
  <si>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01  03  01  00  00  0000  700</t>
  </si>
  <si>
    <t>Получение бюджетных кредитов от  других бюджетов бюджетной системы Российской  Федерации в валюте Российской Федерации</t>
  </si>
  <si>
    <t>01  03  01  00  05  0000  710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</si>
  <si>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</si>
  <si>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</si>
  <si>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</si>
  <si>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01  03  01  00  05  0000  810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</si>
  <si>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</si>
  <si>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</si>
  <si>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</si>
  <si>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</si>
  <si>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</si>
  <si>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</si>
  <si>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</si>
  <si>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</si>
  <si>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</si>
  <si>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</si>
  <si>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Увеличение прочих остатков денежных средств  бюджетов муниципальных районов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</si>
  <si>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</si>
  <si>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</si>
  <si>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</si>
  <si>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</si>
  <si>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</si>
  <si>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</si>
  <si>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</si>
  <si>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Уменьшение прочих остатков денежных средств  бюджетов муниципальных районов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</si>
  <si>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</si>
  <si>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</si>
  <si>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</si>
  <si>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</si>
  <si>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</si>
  <si>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</si>
  <si>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</si>
  <si>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</si>
  <si>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</si>
  <si>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</si>
  <si>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</si>
  <si>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</si>
  <si>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</si>
  <si>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</si>
  <si>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</si>
  <si>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</si>
  <si>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</si>
  <si>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</si>
  <si>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 xml:space="preserve">01  06  05  02  05  5000  640 </t>
  </si>
  <si>
    <t>Бюджетные кредиты представленные для частичного покрытия дефицитов  бюджетов муниципальных образований</t>
  </si>
  <si>
    <t>Бюджетные кредиты представленные для частичного покрытия дефицитов  бюджетов муниципальных образований, возврат которых осуществляется муниципальными образованиями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</si>
  <si>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</si>
  <si>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</si>
  <si>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</si>
  <si>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</si>
  <si>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</si>
  <si>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</si>
  <si>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01  06  05  02  05  2600  540</t>
  </si>
  <si>
    <t>01  06  05  02  05  2603  540</t>
  </si>
  <si>
    <t>01  06  05  02  05  5000  540</t>
  </si>
  <si>
    <t>Бюджетные кредиты, предоставленные для частичного покрытия дефицитов бюджетов муниципальных орбразований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</si>
  <si>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</si>
  <si>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</si>
  <si>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</si>
  <si>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</si>
  <si>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</si>
  <si>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 xml:space="preserve">"О бюджете муниципального района "Глушковский район"  </t>
  </si>
  <si>
    <t xml:space="preserve">  Курской области на 2020год и плановый период 2021 и 2022 годов. "</t>
  </si>
  <si>
    <t>от " _23_ "  декабря  2019г.  № 114</t>
  </si>
  <si>
    <t>( в редакции решения Представительного</t>
  </si>
  <si>
    <t>собрания Глушковского района  Курской области</t>
  </si>
  <si>
    <t>Поступление доходов  в  бюджет</t>
  </si>
  <si>
    <t xml:space="preserve">муниципального района "Глушковский район" Курской области </t>
  </si>
  <si>
    <t>на 2020 год</t>
  </si>
  <si>
    <t xml:space="preserve">  рублей</t>
  </si>
  <si>
    <t>Наименование доходов</t>
  </si>
  <si>
    <t>Сумма   на   2020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</si>
  <si>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</si>
  <si>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</si>
  <si>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</si>
  <si>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</si>
  <si>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</si>
  <si>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</si>
  <si>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</si>
  <si>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</si>
  <si>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</si>
  <si>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</si>
  <si>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</si>
  <si>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</si>
  <si>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</si>
  <si>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</si>
  <si>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</si>
  <si>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</si>
  <si>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</si>
  <si>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</si>
  <si>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</si>
  <si>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</si>
  <si>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</si>
  <si>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</si>
  <si>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</si>
  <si>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</si>
  <si>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</si>
  <si>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</si>
  <si>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</si>
  <si>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</si>
  <si>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</si>
  <si>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</si>
  <si>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</si>
  <si>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</si>
  <si>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</si>
  <si>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</si>
  <si>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</si>
  <si>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</si>
  <si>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</si>
  <si>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</si>
  <si>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</si>
  <si>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</si>
  <si>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</si>
  <si>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</si>
  <si>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</si>
  <si>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</si>
  <si>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</si>
  <si>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</si>
  <si>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</si>
  <si>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</si>
  <si>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</si>
  <si>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</si>
  <si>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</si>
  <si>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</si>
  <si>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</si>
  <si>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</si>
  <si>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</si>
  <si>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</si>
  <si>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</si>
  <si>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</si>
  <si>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</si>
  <si>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</si>
  <si>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</si>
  <si>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</si>
  <si>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</si>
  <si>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</si>
  <si>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</si>
  <si>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</si>
  <si>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</si>
  <si>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</si>
  <si>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</si>
  <si>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</si>
  <si>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</si>
  <si>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</si>
  <si>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</si>
  <si>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</si>
  <si>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</si>
  <si>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</si>
  <si>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</si>
  <si>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</si>
  <si>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</si>
  <si>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</si>
  <si>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</si>
  <si>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</si>
  <si>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</si>
  <si>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</si>
  <si>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</si>
  <si>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</si>
  <si>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</si>
  <si>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</si>
  <si>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</si>
  <si>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</si>
  <si>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</si>
  <si>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</si>
  <si>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</si>
  <si>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</si>
  <si>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</si>
  <si>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</si>
  <si>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</si>
  <si>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</si>
  <si>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</si>
  <si>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</si>
  <si>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</si>
  <si>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</si>
  <si>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</si>
  <si>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</si>
  <si>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</si>
  <si>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</si>
  <si>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</si>
  <si>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</si>
  <si>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</si>
  <si>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</si>
  <si>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</si>
  <si>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</si>
  <si>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</si>
  <si>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</si>
  <si>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</si>
  <si>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</si>
  <si>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</si>
  <si>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</si>
  <si>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</si>
  <si>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</si>
  <si>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</si>
  <si>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</si>
  <si>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</si>
  <si>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</si>
  <si>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</si>
  <si>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</si>
  <si>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</si>
  <si>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</si>
  <si>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</si>
  <si>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</si>
  <si>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</si>
  <si>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</si>
  <si>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</si>
  <si>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</si>
  <si>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</si>
  <si>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</si>
  <si>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</si>
  <si>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</si>
  <si>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 И КОМПЕНСАЦИИ ЗАТРАТ ГОСУДАРСТВА</t>
  </si>
  <si>
    <t>113 01000 00 0000 130</t>
  </si>
  <si>
    <t xml:space="preserve">Доходы от оказания платных услуг (работ) 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</si>
  <si>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</si>
  <si>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</si>
  <si>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</si>
  <si>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</si>
  <si>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</si>
  <si>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</si>
  <si>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</si>
  <si>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</si>
  <si>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</si>
  <si>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</si>
  <si>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</si>
  <si>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</si>
  <si>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</si>
  <si>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</si>
  <si>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</si>
  <si>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</si>
  <si>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</si>
  <si>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</si>
  <si>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</si>
  <si>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</si>
  <si>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</si>
  <si>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</si>
  <si>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</si>
  <si>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</si>
  <si>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</si>
  <si>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</si>
  <si>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</si>
  <si>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</si>
  <si>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</si>
  <si>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</si>
  <si>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</si>
  <si>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</si>
  <si>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</si>
  <si>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</si>
  <si>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</si>
  <si>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</si>
  <si>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</si>
  <si>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</si>
  <si>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</si>
  <si>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</si>
  <si>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</si>
  <si>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</si>
  <si>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</si>
  <si>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</si>
  <si>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</si>
  <si>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</si>
  <si>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</si>
  <si>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</si>
  <si>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</si>
  <si>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</si>
  <si>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116 01000 01 0000 140</t>
  </si>
  <si>
    <t>Административные штрафы, установленные Кодексом Российской Федерации об административных правонарушениях</t>
  </si>
  <si>
    <t>116 01050 01 0000 140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</si>
  <si>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</si>
  <si>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</si>
  <si>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</si>
  <si>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</si>
  <si>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</si>
  <si>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</si>
  <si>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</si>
  <si>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</si>
  <si>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</si>
  <si>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</si>
  <si>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</si>
  <si>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</si>
  <si>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</si>
  <si>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</si>
  <si>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</si>
  <si>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</si>
  <si>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</si>
  <si>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</si>
  <si>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</si>
  <si>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</si>
  <si>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</si>
  <si>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</si>
  <si>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</si>
  <si>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</si>
  <si>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</si>
  <si>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</si>
  <si>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</si>
  <si>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</si>
  <si>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</si>
  <si>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</si>
  <si>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</si>
  <si>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</si>
  <si>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</si>
  <si>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</si>
  <si>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</si>
  <si>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</si>
  <si>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</si>
  <si>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116 10000 00 0000 140</t>
  </si>
  <si>
    <t>Платежи в целях возмещения причиненного ущерба (убытков)</t>
  </si>
  <si>
    <t>116 10120 00 0000 140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</si>
  <si>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</si>
  <si>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</si>
  <si>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</si>
  <si>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</si>
  <si>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</si>
  <si>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</si>
  <si>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</si>
  <si>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</si>
  <si>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</si>
  <si>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</si>
  <si>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</si>
  <si>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</si>
  <si>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</si>
  <si>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</si>
  <si>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</si>
  <si>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</si>
  <si>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</si>
  <si>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</si>
  <si>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</si>
  <si>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</si>
  <si>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</si>
  <si>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</si>
  <si>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</si>
  <si>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</si>
  <si>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</si>
  <si>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</si>
  <si>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</si>
  <si>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</si>
  <si>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</si>
  <si>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</si>
  <si>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</si>
  <si>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</si>
  <si>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</si>
  <si>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</si>
  <si>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</si>
  <si>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</si>
  <si>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</si>
  <si>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</si>
  <si>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</si>
  <si>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</si>
  <si>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</si>
  <si>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</si>
  <si>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</si>
  <si>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</si>
  <si>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</si>
  <si>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</si>
  <si>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</si>
  <si>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2 02 25491 00 0000 150</t>
  </si>
  <si>
    <t>Субсидии бюджетам на создание новых мест дополнительного образования детей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</si>
  <si>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</si>
  <si>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</si>
  <si>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</si>
  <si>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</si>
  <si>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</si>
  <si>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(водоснабжение с. Самарка)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</si>
  <si>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(дорога в д. Колодежи)</t>
  </si>
  <si>
    <r>
      <t xml:space="preserve">Субсидии бюджетам муниципальных образований на софинансирование расходов, связанных с реализацией мероприятий по </t>
    </r>
    <r>
      <rPr>
        <b/>
        <sz val="10"/>
        <rFont val="Times New Roman"/>
        <family val="1"/>
      </rPr>
      <t>обустройству</t>
    </r>
    <r>
      <rPr>
        <sz val="10"/>
        <rFont val="Times New Roman"/>
        <family val="1"/>
      </rPr>
      <t xml:space="preserve"> сельских территорий объектами </t>
    </r>
    <r>
      <rPr>
        <b/>
        <sz val="10"/>
        <rFont val="Times New Roman"/>
        <family val="1"/>
      </rPr>
      <t>социальной и инженерной инфраструктуры (водоснабжение)</t>
    </r>
  </si>
  <si>
    <t>202 29999 00 0000 150</t>
  </si>
  <si>
    <t>Прочие субсидии</t>
  </si>
  <si>
    <t>202 29999 05 0000 151</t>
  </si>
  <si>
    <t>202 29999 05 0000 150</t>
  </si>
  <si>
    <t>Субсидии местным бюджетам  на реализацию проекта "Народный бюджет" в Курской области"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</si>
  <si>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организаций </t>
    </r>
    <r>
      <rPr>
        <b/>
        <sz val="10"/>
        <rFont val="Times New Roman"/>
        <family val="1"/>
      </rPr>
      <t>отдыха детей и их оздоровления</t>
    </r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</si>
  <si>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</si>
  <si>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</si>
  <si>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9"/>
        <rFont val="Times New Roman"/>
        <family val="1"/>
      </rPr>
      <t>питания обучающихся из малообеспеченных</t>
    </r>
    <r>
      <rPr>
        <sz val="9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</si>
  <si>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9"/>
        <rFont val="Times New Roman"/>
        <family val="1"/>
      </rPr>
      <t>горюче-смазочных</t>
    </r>
    <r>
      <rPr>
        <sz val="9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</si>
  <si>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</si>
  <si>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</si>
  <si>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</si>
  <si>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(д. Урусы Марковского сельсовета)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</si>
  <si>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</si>
  <si>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</si>
  <si>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</si>
  <si>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</si>
  <si>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</si>
  <si>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</si>
  <si>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</si>
  <si>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</si>
  <si>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</si>
  <si>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</si>
  <si>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</si>
  <si>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</si>
  <si>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</si>
  <si>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</si>
  <si>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202 39998 00 0000 150</t>
  </si>
  <si>
    <t>Единая субвенция местным бюджетам</t>
  </si>
  <si>
    <t>202 39998 05 0000 150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</si>
  <si>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</si>
  <si>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</si>
  <si>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</si>
  <si>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</si>
  <si>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</si>
  <si>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</si>
  <si>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</si>
  <si>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</si>
  <si>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</si>
  <si>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</si>
  <si>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</si>
  <si>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</si>
  <si>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</si>
  <si>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</si>
  <si>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</si>
  <si>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</si>
  <si>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</si>
  <si>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</si>
  <si>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</si>
  <si>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</si>
  <si>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</si>
  <si>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r>
      <t xml:space="preserve">Субвенции местным бюджетам на оплату труда работников </t>
    </r>
    <r>
      <rPr>
        <b/>
        <sz val="9"/>
        <rFont val="Times New Roman"/>
        <family val="1"/>
      </rPr>
      <t>общеобразовательных</t>
    </r>
    <r>
      <rPr>
        <sz val="9"/>
        <rFont val="Times New Roman"/>
        <family val="1"/>
      </rPr>
      <t xml:space="preserve">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</si>
  <si>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9"/>
        <rFont val="Times New Roman"/>
        <family val="1"/>
      </rPr>
      <t>образовательных учреждений</t>
    </r>
    <r>
      <rPr>
        <sz val="9"/>
        <rFont val="Times New Roman"/>
        <family val="1"/>
      </rPr>
      <t xml:space="preserve"> </t>
    </r>
  </si>
  <si>
    <t>202 39999 05 0000 151</t>
  </si>
  <si>
    <r>
      <t xml:space="preserve">Субвенции местным бюджетам на оплату труда работников общеобразовательных </t>
    </r>
    <r>
      <rPr>
        <b/>
        <sz val="9"/>
        <rFont val="Times New Roman"/>
        <family val="1"/>
      </rPr>
      <t>дошкольных учреждений,</t>
    </r>
    <r>
      <rPr>
        <sz val="9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</si>
  <si>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</si>
  <si>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r>
      <t xml:space="preserve">Субвенции местным бюджетам на </t>
    </r>
    <r>
      <rPr>
        <b/>
        <sz val="9"/>
        <rFont val="Times New Roman"/>
        <family val="1"/>
      </rPr>
      <t>содержание работников</t>
    </r>
    <r>
      <rPr>
        <sz val="9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9"/>
        <rFont val="Times New Roman"/>
        <family val="1"/>
      </rPr>
      <t>дошкольного</t>
    </r>
    <r>
      <rPr>
        <sz val="9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</si>
  <si>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</si>
  <si>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r>
      <t xml:space="preserve">Субвенции местным бюджетам  на </t>
    </r>
    <r>
      <rPr>
        <b/>
        <sz val="9"/>
        <rFont val="Times New Roman"/>
        <family val="1"/>
      </rPr>
      <t>содержание работников,</t>
    </r>
    <r>
      <rPr>
        <sz val="9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9"/>
        <rFont val="Times New Roman"/>
        <family val="1"/>
      </rPr>
      <t>культуры</t>
    </r>
    <r>
      <rPr>
        <sz val="9"/>
        <rFont val="Times New Roman"/>
        <family val="1"/>
      </rPr>
      <t xml:space="preserve">  мер социальной поддержки</t>
    </r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</si>
  <si>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</si>
  <si>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</si>
  <si>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</si>
  <si>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</si>
  <si>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</si>
  <si>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</si>
  <si>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</si>
  <si>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</si>
  <si>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</si>
  <si>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местным бюджетам  на содержание работников, осуществляющих отдельные  государственные полномочия  по назначению и выплате ежемесячной выплаты на детей в возрасте от трех до семи лет включительно</t>
  </si>
  <si>
    <t xml:space="preserve">Субвенции местным бюджетам  на осуществление отдельных  государственных полномочий  по  выплате ежемесячной денежной выплаты на ребенка в возрасте от трех до семи лет включительно </t>
  </si>
  <si>
    <t xml:space="preserve">Субвенции местным бюджетам  на осуществление отдельных  государственных полномочий  по оплате услуг по доставке и пересылке ежемесячной денежной выплаты на ребенка в возрасте от трех до семи лет включительно </t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</si>
  <si>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</si>
  <si>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обращению с животными без владельцев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</si>
  <si>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</si>
  <si>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</si>
  <si>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</si>
  <si>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</si>
  <si>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</si>
  <si>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</si>
  <si>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</si>
  <si>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</si>
  <si>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</si>
  <si>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</si>
  <si>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</si>
  <si>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</si>
  <si>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</si>
  <si>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бюджетам  муниципальных районов на поддержку отрасли культуры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</si>
  <si>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</si>
  <si>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</si>
  <si>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</si>
  <si>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</si>
  <si>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</si>
  <si>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</si>
  <si>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</si>
  <si>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</si>
  <si>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</si>
  <si>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</si>
  <si>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</si>
  <si>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</si>
  <si>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</si>
  <si>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</si>
  <si>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</si>
  <si>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</si>
  <si>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</si>
  <si>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</si>
  <si>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</si>
  <si>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(в редакции Решения Представительного собрания Глушковского района Курской области от " 30"    июля   2020 г.№  137)</t>
  </si>
  <si>
    <t>от " 30 "  июля  2020г. № 137 )</t>
  </si>
  <si>
    <t xml:space="preserve">( в редакции решения Представительного собрания Глушковского   р-на Курской области  от   " 30 "  июля  2020г.  № 137 )    </t>
  </si>
  <si>
    <t>( в редакции решения Представительного собрания Глушковского   р-на Курской области  от   " 30 "  июля  2020 г.  №  137  )</t>
  </si>
  <si>
    <t>( в редакции решения Представительного собрания Глушковского   р-на Курской обл. от  " 30  "  июля  2020г.  № 137 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</si>
</sst>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0"/>
    <numFmt numFmtId="174" formatCode="#,##0.0"/>
    <numFmt numFmtId="175" formatCode="[$-FC19]d\ mmmm\ yyyy\ &quot;г.&quot;"/>
    <numFmt numFmtId="176" formatCode="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 Ci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8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14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0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9" fontId="2" fillId="33" borderId="0" xfId="7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 wrapText="1"/>
    </xf>
    <xf numFmtId="49" fontId="6" fillId="33" borderId="14" xfId="60" applyNumberFormat="1" applyFont="1" applyFill="1" applyBorder="1" applyAlignment="1">
      <alignment horizontal="right" wrapText="1"/>
      <protection/>
    </xf>
    <xf numFmtId="49" fontId="11" fillId="33" borderId="14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wrapText="1"/>
    </xf>
    <xf numFmtId="49" fontId="11" fillId="33" borderId="14" xfId="60" applyNumberFormat="1" applyFont="1" applyFill="1" applyBorder="1" applyAlignment="1">
      <alignment horizontal="right" wrapText="1"/>
      <protection/>
    </xf>
    <xf numFmtId="4" fontId="11" fillId="33" borderId="15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49" fontId="2" fillId="33" borderId="13" xfId="0" applyNumberFormat="1" applyFont="1" applyFill="1" applyBorder="1" applyAlignment="1">
      <alignment horizontal="left" vertical="top" wrapText="1"/>
    </xf>
    <xf numFmtId="173" fontId="2" fillId="33" borderId="13" xfId="0" applyNumberFormat="1" applyFont="1" applyFill="1" applyBorder="1" applyAlignment="1" applyProtection="1">
      <alignment horizontal="left" wrapText="1"/>
      <protection hidden="1"/>
    </xf>
    <xf numFmtId="49" fontId="11" fillId="33" borderId="14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4" fontId="6" fillId="33" borderId="15" xfId="60" applyNumberFormat="1" applyFont="1" applyFill="1" applyBorder="1" applyAlignment="1">
      <alignment horizontal="right" wrapText="1"/>
      <protection/>
    </xf>
    <xf numFmtId="0" fontId="2" fillId="33" borderId="13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right" wrapText="1"/>
    </xf>
    <xf numFmtId="0" fontId="8" fillId="33" borderId="13" xfId="0" applyFont="1" applyFill="1" applyBorder="1" applyAlignment="1">
      <alignment vertical="top" wrapText="1"/>
    </xf>
    <xf numFmtId="49" fontId="6" fillId="33" borderId="14" xfId="0" applyNumberFormat="1" applyFont="1" applyFill="1" applyBorder="1" applyAlignment="1">
      <alignment horizontal="center" wrapText="1"/>
    </xf>
    <xf numFmtId="173" fontId="2" fillId="33" borderId="13" xfId="0" applyNumberFormat="1" applyFont="1" applyFill="1" applyBorder="1" applyAlignment="1" applyProtection="1">
      <alignment horizontal="left" vertical="top" wrapText="1"/>
      <protection hidden="1"/>
    </xf>
    <xf numFmtId="2" fontId="8" fillId="33" borderId="13" xfId="0" applyNumberFormat="1" applyFont="1" applyFill="1" applyBorder="1" applyAlignment="1">
      <alignment vertical="center" wrapText="1"/>
    </xf>
    <xf numFmtId="2" fontId="8" fillId="33" borderId="13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right" wrapText="1"/>
    </xf>
    <xf numFmtId="49" fontId="11" fillId="33" borderId="14" xfId="0" applyNumberFormat="1" applyFont="1" applyFill="1" applyBorder="1" applyAlignment="1">
      <alignment horizontal="center" wrapText="1"/>
    </xf>
    <xf numFmtId="49" fontId="11" fillId="33" borderId="14" xfId="0" applyNumberFormat="1" applyFont="1" applyFill="1" applyBorder="1" applyAlignment="1">
      <alignment horizontal="right" wrapText="1"/>
    </xf>
    <xf numFmtId="0" fontId="2" fillId="33" borderId="17" xfId="0" applyFont="1" applyFill="1" applyBorder="1" applyAlignment="1">
      <alignment vertical="center" wrapText="1"/>
    </xf>
    <xf numFmtId="49" fontId="6" fillId="33" borderId="14" xfId="60" applyNumberFormat="1" applyFont="1" applyFill="1" applyBorder="1" applyAlignment="1">
      <alignment horizontal="center" wrapText="1"/>
      <protection/>
    </xf>
    <xf numFmtId="4" fontId="6" fillId="33" borderId="14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2" fontId="8" fillId="33" borderId="13" xfId="0" applyNumberFormat="1" applyFont="1" applyFill="1" applyBorder="1" applyAlignment="1">
      <alignment vertical="top" wrapText="1"/>
    </xf>
    <xf numFmtId="2" fontId="8" fillId="33" borderId="13" xfId="0" applyNumberFormat="1" applyFont="1" applyFill="1" applyBorder="1" applyAlignment="1">
      <alignment horizontal="left" vertical="top" wrapText="1"/>
    </xf>
    <xf numFmtId="2" fontId="8" fillId="33" borderId="13" xfId="73" applyNumberFormat="1" applyFont="1" applyFill="1" applyBorder="1" applyAlignment="1">
      <alignment vertical="top" wrapText="1"/>
      <protection/>
    </xf>
    <xf numFmtId="2" fontId="8" fillId="33" borderId="13" xfId="73" applyNumberFormat="1" applyFont="1" applyFill="1" applyBorder="1" applyAlignment="1">
      <alignment horizontal="left" vertical="center" wrapText="1"/>
      <protection/>
    </xf>
    <xf numFmtId="0" fontId="2" fillId="33" borderId="18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horizontal="left" wrapText="1"/>
    </xf>
    <xf numFmtId="2" fontId="8" fillId="33" borderId="13" xfId="73" applyNumberFormat="1" applyFont="1" applyFill="1" applyBorder="1" applyAlignment="1">
      <alignment horizontal="left" vertical="top" wrapText="1"/>
      <protection/>
    </xf>
    <xf numFmtId="2" fontId="12" fillId="33" borderId="13" xfId="73" applyNumberFormat="1" applyFont="1" applyFill="1" applyBorder="1" applyAlignment="1">
      <alignment horizontal="left" vertical="center" wrapText="1"/>
      <protection/>
    </xf>
    <xf numFmtId="173" fontId="2" fillId="33" borderId="13" xfId="55" applyNumberFormat="1" applyFont="1" applyFill="1" applyBorder="1" applyAlignment="1" applyProtection="1">
      <alignment horizontal="left" vertical="top" wrapText="1"/>
      <protection hidden="1"/>
    </xf>
    <xf numFmtId="2" fontId="2" fillId="33" borderId="13" xfId="0" applyNumberFormat="1" applyFont="1" applyFill="1" applyBorder="1" applyAlignment="1">
      <alignment horizontal="left" vertical="center" wrapText="1"/>
    </xf>
    <xf numFmtId="4" fontId="13" fillId="33" borderId="0" xfId="0" applyNumberFormat="1" applyFont="1" applyFill="1" applyAlignment="1">
      <alignment/>
    </xf>
    <xf numFmtId="2" fontId="8" fillId="33" borderId="13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49" fontId="11" fillId="33" borderId="14" xfId="60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justify"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>
      <alignment horizontal="justify" vertical="top"/>
    </xf>
    <xf numFmtId="173" fontId="16" fillId="33" borderId="13" xfId="55" applyNumberFormat="1" applyFont="1" applyFill="1" applyBorder="1" applyAlignment="1" applyProtection="1">
      <alignment horizontal="left" vertical="top" wrapText="1"/>
      <protection hidden="1"/>
    </xf>
    <xf numFmtId="0" fontId="8" fillId="33" borderId="13" xfId="0" applyFont="1" applyFill="1" applyBorder="1" applyAlignment="1">
      <alignment vertical="center" wrapText="1"/>
    </xf>
    <xf numFmtId="2" fontId="8" fillId="33" borderId="13" xfId="73" applyNumberFormat="1" applyFont="1" applyFill="1" applyBorder="1" applyAlignment="1">
      <alignment vertical="center" wrapText="1"/>
      <protection/>
    </xf>
    <xf numFmtId="0" fontId="2" fillId="33" borderId="13" xfId="67" applyFont="1" applyFill="1" applyBorder="1" applyAlignment="1">
      <alignment horizontal="left" wrapText="1"/>
      <protection/>
    </xf>
    <xf numFmtId="173" fontId="16" fillId="33" borderId="13" xfId="55" applyNumberFormat="1" applyFont="1" applyFill="1" applyBorder="1" applyAlignment="1" applyProtection="1">
      <alignment horizontal="left" wrapText="1"/>
      <protection hidden="1"/>
    </xf>
    <xf numFmtId="0" fontId="8" fillId="33" borderId="19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horizontal="left" wrapText="1"/>
    </xf>
    <xf numFmtId="49" fontId="8" fillId="33" borderId="13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wrapText="1"/>
    </xf>
    <xf numFmtId="0" fontId="2" fillId="33" borderId="18" xfId="0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 wrapText="1"/>
    </xf>
    <xf numFmtId="0" fontId="2" fillId="33" borderId="20" xfId="0" applyFont="1" applyFill="1" applyBorder="1" applyAlignment="1">
      <alignment horizontal="justify"/>
    </xf>
    <xf numFmtId="49" fontId="6" fillId="33" borderId="21" xfId="0" applyNumberFormat="1" applyFont="1" applyFill="1" applyBorder="1" applyAlignment="1">
      <alignment horizontal="center"/>
    </xf>
    <xf numFmtId="49" fontId="6" fillId="33" borderId="21" xfId="60" applyNumberFormat="1" applyFont="1" applyFill="1" applyBorder="1" applyAlignment="1">
      <alignment horizontal="right" wrapText="1"/>
      <protection/>
    </xf>
    <xf numFmtId="4" fontId="6" fillId="33" borderId="22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172" fontId="3" fillId="33" borderId="0" xfId="0" applyNumberFormat="1" applyFont="1" applyFill="1" applyAlignment="1">
      <alignment/>
    </xf>
    <xf numFmtId="0" fontId="15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4" fontId="2" fillId="33" borderId="0" xfId="0" applyNumberFormat="1" applyFont="1" applyFill="1" applyAlignment="1">
      <alignment horizontal="right" wrapText="1"/>
    </xf>
    <xf numFmtId="4" fontId="6" fillId="33" borderId="0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wrapText="1"/>
    </xf>
    <xf numFmtId="4" fontId="6" fillId="33" borderId="14" xfId="0" applyNumberFormat="1" applyFont="1" applyFill="1" applyBorder="1" applyAlignment="1">
      <alignment horizontal="center"/>
    </xf>
    <xf numFmtId="173" fontId="2" fillId="33" borderId="13" xfId="55" applyNumberFormat="1" applyFont="1" applyFill="1" applyBorder="1" applyAlignment="1" applyProtection="1">
      <alignment horizontal="left" wrapText="1"/>
      <protection hidden="1"/>
    </xf>
    <xf numFmtId="0" fontId="2" fillId="33" borderId="13" xfId="60" applyFont="1" applyFill="1" applyBorder="1" applyAlignment="1">
      <alignment horizontal="justify" vertical="top" wrapText="1"/>
      <protection/>
    </xf>
    <xf numFmtId="4" fontId="6" fillId="33" borderId="23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2" fontId="2" fillId="33" borderId="13" xfId="73" applyNumberFormat="1" applyFont="1" applyFill="1" applyBorder="1" applyAlignment="1">
      <alignment horizontal="left" vertical="top" wrapText="1"/>
      <protection/>
    </xf>
    <xf numFmtId="4" fontId="6" fillId="33" borderId="14" xfId="0" applyNumberFormat="1" applyFont="1" applyFill="1" applyBorder="1" applyAlignment="1">
      <alignment/>
    </xf>
    <xf numFmtId="2" fontId="2" fillId="33" borderId="13" xfId="73" applyNumberFormat="1" applyFont="1" applyFill="1" applyBorder="1" applyAlignment="1">
      <alignment horizontal="left" vertical="center" wrapText="1"/>
      <protection/>
    </xf>
    <xf numFmtId="2" fontId="8" fillId="33" borderId="13" xfId="73" applyNumberFormat="1" applyFont="1" applyFill="1" applyBorder="1" applyAlignment="1">
      <alignment wrapText="1"/>
      <protection/>
    </xf>
    <xf numFmtId="0" fontId="2" fillId="33" borderId="13" xfId="43" applyFont="1" applyFill="1" applyBorder="1" applyAlignment="1" applyProtection="1">
      <alignment horizontal="left" wrapText="1"/>
      <protection/>
    </xf>
    <xf numFmtId="2" fontId="9" fillId="33" borderId="13" xfId="73" applyNumberFormat="1" applyFont="1" applyFill="1" applyBorder="1" applyAlignment="1">
      <alignment horizontal="left" vertical="center" wrapText="1"/>
      <protection/>
    </xf>
    <xf numFmtId="4" fontId="6" fillId="33" borderId="24" xfId="0" applyNumberFormat="1" applyFont="1" applyFill="1" applyBorder="1" applyAlignment="1">
      <alignment horizontal="right"/>
    </xf>
    <xf numFmtId="2" fontId="8" fillId="33" borderId="17" xfId="73" applyNumberFormat="1" applyFont="1" applyFill="1" applyBorder="1" applyAlignment="1">
      <alignment horizontal="left" vertical="center" wrapText="1"/>
      <protection/>
    </xf>
    <xf numFmtId="4" fontId="6" fillId="33" borderId="23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justify"/>
    </xf>
    <xf numFmtId="0" fontId="17" fillId="33" borderId="13" xfId="0" applyFont="1" applyFill="1" applyBorder="1" applyAlignment="1">
      <alignment wrapText="1"/>
    </xf>
    <xf numFmtId="4" fontId="6" fillId="33" borderId="14" xfId="0" applyNumberFormat="1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Border="1" applyAlignment="1">
      <alignment horizontal="right"/>
    </xf>
    <xf numFmtId="4" fontId="5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right"/>
    </xf>
    <xf numFmtId="172" fontId="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4" fontId="6" fillId="33" borderId="15" xfId="0" applyNumberFormat="1" applyFont="1" applyFill="1" applyBorder="1" applyAlignment="1">
      <alignment/>
    </xf>
    <xf numFmtId="172" fontId="13" fillId="33" borderId="0" xfId="0" applyNumberFormat="1" applyFont="1" applyFill="1" applyAlignment="1">
      <alignment/>
    </xf>
    <xf numFmtId="0" fontId="2" fillId="33" borderId="13" xfId="43" applyFont="1" applyFill="1" applyBorder="1" applyAlignment="1" applyProtection="1">
      <alignment horizontal="justify"/>
      <protection/>
    </xf>
    <xf numFmtId="4" fontId="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49" fontId="6" fillId="33" borderId="11" xfId="60" applyNumberFormat="1" applyFont="1" applyFill="1" applyBorder="1" applyAlignment="1">
      <alignment horizontal="right" wrapText="1"/>
      <protection/>
    </xf>
    <xf numFmtId="0" fontId="2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/>
    </xf>
    <xf numFmtId="0" fontId="6" fillId="33" borderId="26" xfId="0" applyFont="1" applyFill="1" applyBorder="1" applyAlignment="1">
      <alignment horizontal="center" wrapText="1"/>
    </xf>
    <xf numFmtId="49" fontId="6" fillId="33" borderId="26" xfId="60" applyNumberFormat="1" applyFont="1" applyFill="1" applyBorder="1" applyAlignment="1">
      <alignment horizontal="right" wrapText="1"/>
      <protection/>
    </xf>
    <xf numFmtId="0" fontId="2" fillId="33" borderId="13" xfId="0" applyFont="1" applyFill="1" applyBorder="1" applyAlignment="1">
      <alignment vertical="center" wrapText="1"/>
    </xf>
    <xf numFmtId="4" fontId="6" fillId="33" borderId="15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 wrapText="1"/>
    </xf>
    <xf numFmtId="49" fontId="6" fillId="33" borderId="21" xfId="0" applyNumberFormat="1" applyFont="1" applyFill="1" applyBorder="1" applyAlignment="1">
      <alignment horizontal="right"/>
    </xf>
    <xf numFmtId="4" fontId="6" fillId="33" borderId="2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right" wrapText="1"/>
    </xf>
    <xf numFmtId="4" fontId="6" fillId="33" borderId="22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4" fontId="6" fillId="33" borderId="14" xfId="60" applyNumberFormat="1" applyFont="1" applyFill="1" applyBorder="1" applyAlignment="1">
      <alignment horizontal="right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73" fillId="34" borderId="13" xfId="0" applyNumberFormat="1" applyFont="1" applyFill="1" applyBorder="1" applyAlignment="1">
      <alignment vertical="top" wrapText="1"/>
    </xf>
    <xf numFmtId="0" fontId="73" fillId="34" borderId="29" xfId="0" applyNumberFormat="1" applyFont="1" applyFill="1" applyBorder="1" applyAlignment="1">
      <alignment vertical="top" wrapText="1"/>
    </xf>
    <xf numFmtId="0" fontId="6" fillId="33" borderId="18" xfId="0" applyFont="1" applyFill="1" applyBorder="1" applyAlignment="1">
      <alignment/>
    </xf>
    <xf numFmtId="0" fontId="8" fillId="33" borderId="14" xfId="0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wrapText="1"/>
    </xf>
    <xf numFmtId="2" fontId="8" fillId="0" borderId="13" xfId="73" applyNumberFormat="1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left" wrapText="1"/>
    </xf>
    <xf numFmtId="4" fontId="6" fillId="0" borderId="2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173" fontId="2" fillId="33" borderId="14" xfId="55" applyNumberFormat="1" applyFont="1" applyFill="1" applyBorder="1" applyAlignment="1" applyProtection="1">
      <alignment horizontal="left" vertical="top" wrapText="1"/>
      <protection hidden="1"/>
    </xf>
    <xf numFmtId="0" fontId="8" fillId="33" borderId="14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49" fontId="27" fillId="0" borderId="14" xfId="61" applyNumberFormat="1" applyFont="1" applyBorder="1" applyAlignment="1">
      <alignment horizontal="center" vertical="center" wrapText="1"/>
      <protection/>
    </xf>
    <xf numFmtId="0" fontId="27" fillId="0" borderId="14" xfId="61" applyFont="1" applyBorder="1" applyAlignment="1">
      <alignment vertical="top" wrapText="1"/>
      <protection/>
    </xf>
    <xf numFmtId="2" fontId="27" fillId="0" borderId="14" xfId="61" applyNumberFormat="1" applyFont="1" applyFill="1" applyBorder="1" applyAlignment="1">
      <alignment/>
      <protection/>
    </xf>
    <xf numFmtId="172" fontId="27" fillId="0" borderId="14" xfId="61" applyNumberFormat="1" applyFont="1" applyBorder="1" applyAlignment="1">
      <alignment/>
      <protection/>
    </xf>
    <xf numFmtId="0" fontId="27" fillId="0" borderId="0" xfId="0" applyFont="1" applyAlignment="1">
      <alignment/>
    </xf>
    <xf numFmtId="176" fontId="27" fillId="0" borderId="0" xfId="0" applyNumberFormat="1" applyFont="1" applyAlignment="1">
      <alignment/>
    </xf>
    <xf numFmtId="172" fontId="0" fillId="0" borderId="14" xfId="61" applyNumberFormat="1" applyFont="1" applyBorder="1" applyAlignment="1">
      <alignment/>
      <protection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172" fontId="28" fillId="0" borderId="0" xfId="0" applyNumberFormat="1" applyFont="1" applyAlignment="1">
      <alignment horizontal="right" vertical="center"/>
    </xf>
    <xf numFmtId="172" fontId="2" fillId="0" borderId="3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right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wrapText="1"/>
    </xf>
    <xf numFmtId="0" fontId="30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9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vertical="top" wrapText="1"/>
    </xf>
    <xf numFmtId="0" fontId="34" fillId="0" borderId="0" xfId="0" applyFont="1" applyAlignment="1">
      <alignment/>
    </xf>
    <xf numFmtId="4" fontId="32" fillId="0" borderId="14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5" fillId="0" borderId="14" xfId="33" applyNumberFormat="1" applyFont="1" applyFill="1" applyBorder="1" applyAlignment="1">
      <alignment horizontal="center" wrapText="1" readingOrder="1"/>
      <protection/>
    </xf>
    <xf numFmtId="0" fontId="8" fillId="0" borderId="14" xfId="33" applyNumberFormat="1" applyFont="1" applyFill="1" applyBorder="1" applyAlignment="1">
      <alignment horizontal="left" vertical="top" wrapText="1" readingOrder="1"/>
      <protection/>
    </xf>
    <xf numFmtId="4" fontId="30" fillId="0" borderId="14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left" wrapText="1" readingOrder="1"/>
      <protection/>
    </xf>
    <xf numFmtId="0" fontId="36" fillId="0" borderId="14" xfId="33" applyNumberFormat="1" applyFont="1" applyFill="1" applyBorder="1" applyAlignment="1">
      <alignment horizontal="left" wrapText="1" readingOrder="1"/>
      <protection/>
    </xf>
    <xf numFmtId="0" fontId="35" fillId="0" borderId="14" xfId="33" applyNumberFormat="1" applyFont="1" applyFill="1" applyBorder="1" applyAlignment="1">
      <alignment horizontal="center" vertical="center" wrapText="1" readingOrder="1"/>
      <protection/>
    </xf>
    <xf numFmtId="0" fontId="17" fillId="0" borderId="14" xfId="33" applyNumberFormat="1" applyFont="1" applyFill="1" applyBorder="1" applyAlignment="1">
      <alignment horizontal="left" vertical="top" wrapText="1" readingOrder="1"/>
      <protection/>
    </xf>
    <xf numFmtId="0" fontId="37" fillId="0" borderId="14" xfId="33" applyNumberFormat="1" applyFont="1" applyFill="1" applyBorder="1" applyAlignment="1">
      <alignment horizontal="center" wrapText="1" readingOrder="1"/>
      <protection/>
    </xf>
    <xf numFmtId="0" fontId="37" fillId="0" borderId="14" xfId="33" applyNumberFormat="1" applyFont="1" applyFill="1" applyBorder="1" applyAlignment="1">
      <alignment horizontal="left" wrapText="1" readingOrder="1"/>
      <protection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32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30" fillId="0" borderId="14" xfId="57" applyNumberFormat="1" applyFont="1" applyBorder="1" applyAlignment="1">
      <alignment horizontal="center" vertical="center" wrapText="1"/>
      <protection/>
    </xf>
    <xf numFmtId="0" fontId="30" fillId="0" borderId="14" xfId="57" applyFont="1" applyBorder="1" applyAlignment="1">
      <alignment vertical="top" wrapText="1"/>
      <protection/>
    </xf>
    <xf numFmtId="49" fontId="2" fillId="0" borderId="14" xfId="57" applyNumberFormat="1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32" fillId="0" borderId="14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wrapText="1"/>
    </xf>
    <xf numFmtId="0" fontId="24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38" fillId="0" borderId="14" xfId="0" applyFont="1" applyBorder="1" applyAlignment="1">
      <alignment vertical="center" wrapText="1"/>
    </xf>
    <xf numFmtId="0" fontId="31" fillId="0" borderId="14" xfId="33" applyNumberFormat="1" applyFont="1" applyFill="1" applyBorder="1" applyAlignment="1">
      <alignment horizontal="left" readingOrder="1"/>
      <protection/>
    </xf>
    <xf numFmtId="0" fontId="17" fillId="0" borderId="1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36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74" fillId="0" borderId="32" xfId="0" applyFont="1" applyBorder="1" applyAlignment="1">
      <alignment wrapText="1"/>
    </xf>
    <xf numFmtId="0" fontId="74" fillId="0" borderId="32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center" wrapText="1"/>
    </xf>
    <xf numFmtId="0" fontId="75" fillId="0" borderId="32" xfId="0" applyFont="1" applyBorder="1" applyAlignment="1">
      <alignment wrapText="1"/>
    </xf>
    <xf numFmtId="0" fontId="75" fillId="0" borderId="32" xfId="0" applyFont="1" applyBorder="1" applyAlignment="1">
      <alignment vertical="top" wrapText="1"/>
    </xf>
    <xf numFmtId="0" fontId="74" fillId="0" borderId="32" xfId="0" applyFont="1" applyBorder="1" applyAlignment="1">
      <alignment vertical="center"/>
    </xf>
    <xf numFmtId="0" fontId="76" fillId="0" borderId="32" xfId="0" applyFont="1" applyBorder="1" applyAlignment="1">
      <alignment vertical="center"/>
    </xf>
    <xf numFmtId="0" fontId="77" fillId="0" borderId="0" xfId="0" applyFont="1" applyAlignment="1">
      <alignment/>
    </xf>
    <xf numFmtId="0" fontId="64" fillId="0" borderId="0" xfId="0" applyFont="1" applyAlignment="1">
      <alignment/>
    </xf>
    <xf numFmtId="0" fontId="76" fillId="0" borderId="32" xfId="0" applyFont="1" applyBorder="1" applyAlignment="1">
      <alignment/>
    </xf>
    <xf numFmtId="4" fontId="32" fillId="0" borderId="14" xfId="0" applyNumberFormat="1" applyFont="1" applyBorder="1" applyAlignment="1">
      <alignment horizontal="right" wrapText="1"/>
    </xf>
    <xf numFmtId="0" fontId="3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49" fontId="32" fillId="0" borderId="14" xfId="65" applyNumberFormat="1" applyFont="1" applyBorder="1" applyAlignment="1">
      <alignment horizontal="center"/>
      <protection/>
    </xf>
    <xf numFmtId="0" fontId="30" fillId="0" borderId="14" xfId="65" applyFont="1" applyBorder="1" applyAlignment="1">
      <alignment wrapText="1"/>
      <protection/>
    </xf>
    <xf numFmtId="4" fontId="30" fillId="0" borderId="14" xfId="0" applyNumberFormat="1" applyFont="1" applyBorder="1" applyAlignment="1">
      <alignment horizontal="right" wrapText="1"/>
    </xf>
    <xf numFmtId="49" fontId="2" fillId="0" borderId="14" xfId="65" applyNumberFormat="1" applyFont="1" applyBorder="1" applyAlignment="1">
      <alignment horizontal="center" vertical="center"/>
      <protection/>
    </xf>
    <xf numFmtId="0" fontId="2" fillId="0" borderId="14" xfId="65" applyFont="1" applyBorder="1" applyAlignment="1">
      <alignment vertical="top" wrapText="1"/>
      <protection/>
    </xf>
    <xf numFmtId="0" fontId="8" fillId="0" borderId="14" xfId="33" applyNumberFormat="1" applyFont="1" applyFill="1" applyBorder="1" applyAlignment="1">
      <alignment horizontal="center" vertical="center" wrapText="1" readingOrder="1"/>
      <protection/>
    </xf>
    <xf numFmtId="0" fontId="8" fillId="0" borderId="14" xfId="33" applyNumberFormat="1" applyFont="1" applyFill="1" applyBorder="1" applyAlignment="1">
      <alignment horizontal="left" vertical="center" wrapText="1" readingOrder="1"/>
      <protection/>
    </xf>
    <xf numFmtId="49" fontId="2" fillId="0" borderId="14" xfId="0" applyNumberFormat="1" applyFont="1" applyFill="1" applyBorder="1" applyAlignment="1">
      <alignment horizontal="center" vertical="center"/>
    </xf>
    <xf numFmtId="4" fontId="31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32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wrapText="1"/>
    </xf>
    <xf numFmtId="0" fontId="30" fillId="0" borderId="14" xfId="0" applyFont="1" applyFill="1" applyBorder="1" applyAlignment="1">
      <alignment horizontal="left" vertical="top" wrapText="1"/>
    </xf>
    <xf numFmtId="4" fontId="30" fillId="0" borderId="14" xfId="0" applyNumberFormat="1" applyFont="1" applyFill="1" applyBorder="1" applyAlignment="1">
      <alignment wrapText="1"/>
    </xf>
    <xf numFmtId="49" fontId="32" fillId="0" borderId="14" xfId="63" applyNumberFormat="1" applyFont="1" applyBorder="1" applyAlignment="1">
      <alignment horizontal="center" vertical="center"/>
      <protection/>
    </xf>
    <xf numFmtId="0" fontId="30" fillId="0" borderId="14" xfId="0" applyFont="1" applyBorder="1" applyAlignment="1">
      <alignment horizontal="left" vertical="center" wrapText="1"/>
    </xf>
    <xf numFmtId="4" fontId="30" fillId="0" borderId="14" xfId="0" applyNumberFormat="1" applyFont="1" applyBorder="1" applyAlignment="1">
      <alignment wrapText="1"/>
    </xf>
    <xf numFmtId="0" fontId="30" fillId="0" borderId="14" xfId="64" applyFont="1" applyBorder="1" applyAlignment="1">
      <alignment vertical="top" wrapText="1"/>
      <protection/>
    </xf>
    <xf numFmtId="49" fontId="2" fillId="0" borderId="14" xfId="63" applyNumberFormat="1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vertical="top" wrapText="1"/>
      <protection/>
    </xf>
    <xf numFmtId="4" fontId="2" fillId="0" borderId="14" xfId="0" applyNumberFormat="1" applyFont="1" applyFill="1" applyBorder="1" applyAlignment="1">
      <alignment wrapText="1"/>
    </xf>
    <xf numFmtId="0" fontId="30" fillId="0" borderId="14" xfId="58" applyFont="1" applyBorder="1" applyAlignment="1">
      <alignment vertical="center" wrapText="1"/>
      <protection/>
    </xf>
    <xf numFmtId="49" fontId="2" fillId="0" borderId="14" xfId="63" applyNumberFormat="1" applyFont="1" applyBorder="1" applyAlignment="1">
      <alignment horizontal="center" vertical="center"/>
      <protection/>
    </xf>
    <xf numFmtId="0" fontId="2" fillId="0" borderId="14" xfId="58" applyFont="1" applyBorder="1" applyAlignment="1">
      <alignment vertical="top" wrapText="1"/>
      <protection/>
    </xf>
    <xf numFmtId="0" fontId="30" fillId="0" borderId="14" xfId="0" applyFont="1" applyBorder="1" applyAlignment="1">
      <alignment horizontal="left" vertical="top" wrapText="1"/>
    </xf>
    <xf numFmtId="0" fontId="36" fillId="0" borderId="14" xfId="0" applyFont="1" applyBorder="1" applyAlignment="1">
      <alignment/>
    </xf>
    <xf numFmtId="0" fontId="31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center"/>
    </xf>
    <xf numFmtId="0" fontId="36" fillId="0" borderId="14" xfId="0" applyFont="1" applyFill="1" applyBorder="1" applyAlignment="1">
      <alignment/>
    </xf>
    <xf numFmtId="0" fontId="36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36" fillId="0" borderId="31" xfId="0" applyFont="1" applyBorder="1" applyAlignment="1">
      <alignment horizontal="center" vertical="center"/>
    </xf>
    <xf numFmtId="0" fontId="74" fillId="0" borderId="33" xfId="0" applyFont="1" applyBorder="1" applyAlignment="1">
      <alignment wrapText="1"/>
    </xf>
    <xf numFmtId="4" fontId="30" fillId="0" borderId="31" xfId="0" applyNumberFormat="1" applyFont="1" applyFill="1" applyBorder="1" applyAlignment="1">
      <alignment wrapText="1"/>
    </xf>
    <xf numFmtId="0" fontId="75" fillId="0" borderId="14" xfId="0" applyFont="1" applyBorder="1" applyAlignment="1">
      <alignment wrapText="1"/>
    </xf>
    <xf numFmtId="0" fontId="36" fillId="0" borderId="14" xfId="33" applyNumberFormat="1" applyFont="1" applyFill="1" applyBorder="1" applyAlignment="1">
      <alignment horizontal="left" vertical="top" wrapText="1" readingOrder="1"/>
      <protection/>
    </xf>
    <xf numFmtId="0" fontId="17" fillId="0" borderId="11" xfId="0" applyFont="1" applyBorder="1" applyAlignment="1">
      <alignment horizontal="center" vertical="center"/>
    </xf>
    <xf numFmtId="0" fontId="17" fillId="0" borderId="34" xfId="33" applyNumberFormat="1" applyFont="1" applyFill="1" applyBorder="1" applyAlignment="1">
      <alignment horizontal="left" vertical="top" wrapText="1" readingOrder="1"/>
      <protection/>
    </xf>
    <xf numFmtId="4" fontId="2" fillId="0" borderId="11" xfId="0" applyNumberFormat="1" applyFont="1" applyFill="1" applyBorder="1" applyAlignment="1">
      <alignment wrapText="1"/>
    </xf>
    <xf numFmtId="0" fontId="76" fillId="0" borderId="32" xfId="0" applyFont="1" applyBorder="1" applyAlignment="1">
      <alignment wrapText="1"/>
    </xf>
    <xf numFmtId="0" fontId="36" fillId="0" borderId="35" xfId="33" applyNumberFormat="1" applyFont="1" applyFill="1" applyBorder="1" applyAlignment="1">
      <alignment horizontal="left" vertical="top" wrapText="1" readingOrder="1"/>
      <protection/>
    </xf>
    <xf numFmtId="0" fontId="17" fillId="0" borderId="35" xfId="33" applyNumberFormat="1" applyFont="1" applyFill="1" applyBorder="1" applyAlignment="1">
      <alignment horizontal="left" vertical="top" wrapText="1" readingOrder="1"/>
      <protection/>
    </xf>
    <xf numFmtId="0" fontId="8" fillId="0" borderId="35" xfId="33" applyNumberFormat="1" applyFont="1" applyFill="1" applyBorder="1" applyAlignment="1">
      <alignment horizontal="left" vertical="top" wrapText="1" readingOrder="1"/>
      <protection/>
    </xf>
    <xf numFmtId="0" fontId="2" fillId="0" borderId="14" xfId="0" applyFont="1" applyFill="1" applyBorder="1" applyAlignment="1">
      <alignment horizontal="left" vertical="top" wrapText="1"/>
    </xf>
    <xf numFmtId="49" fontId="32" fillId="0" borderId="14" xfId="64" applyNumberFormat="1" applyFont="1" applyBorder="1" applyAlignment="1">
      <alignment horizontal="center"/>
      <protection/>
    </xf>
    <xf numFmtId="0" fontId="30" fillId="0" borderId="14" xfId="64" applyFont="1" applyBorder="1" applyAlignment="1">
      <alignment horizontal="left" vertical="center" wrapText="1"/>
      <protection/>
    </xf>
    <xf numFmtId="49" fontId="2" fillId="0" borderId="14" xfId="64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top" wrapText="1"/>
    </xf>
    <xf numFmtId="0" fontId="2" fillId="0" borderId="14" xfId="63" applyFont="1" applyBorder="1" applyAlignment="1">
      <alignment horizontal="left" vertical="top" wrapText="1"/>
      <protection/>
    </xf>
    <xf numFmtId="4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16" fillId="0" borderId="14" xfId="63" applyFont="1" applyFill="1" applyBorder="1" applyAlignment="1">
      <alignment horizontal="left" vertical="top" wrapText="1"/>
      <protection/>
    </xf>
    <xf numFmtId="4" fontId="2" fillId="0" borderId="14" xfId="0" applyNumberFormat="1" applyFont="1" applyFill="1" applyBorder="1" applyAlignment="1">
      <alignment vertical="center"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 horizontal="left" vertical="top" wrapText="1"/>
    </xf>
    <xf numFmtId="4" fontId="30" fillId="0" borderId="14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 vertical="top" wrapText="1"/>
    </xf>
    <xf numFmtId="49" fontId="32" fillId="0" borderId="14" xfId="60" applyNumberFormat="1" applyFont="1" applyFill="1" applyBorder="1" applyAlignment="1">
      <alignment horizontal="center" vertical="center" wrapText="1"/>
      <protection/>
    </xf>
    <xf numFmtId="49" fontId="2" fillId="0" borderId="14" xfId="60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justify" vertical="top" wrapText="1"/>
    </xf>
    <xf numFmtId="49" fontId="2" fillId="35" borderId="14" xfId="63" applyNumberFormat="1" applyFont="1" applyFill="1" applyBorder="1" applyAlignment="1">
      <alignment horizontal="center" vertical="center"/>
      <protection/>
    </xf>
    <xf numFmtId="0" fontId="2" fillId="35" borderId="14" xfId="0" applyFont="1" applyFill="1" applyBorder="1" applyAlignment="1">
      <alignment vertical="top" wrapText="1"/>
    </xf>
    <xf numFmtId="4" fontId="2" fillId="35" borderId="14" xfId="0" applyNumberFormat="1" applyFont="1" applyFill="1" applyBorder="1" applyAlignment="1">
      <alignment wrapText="1"/>
    </xf>
    <xf numFmtId="0" fontId="30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3" fontId="2" fillId="0" borderId="14" xfId="0" applyNumberFormat="1" applyFont="1" applyBorder="1" applyAlignment="1">
      <alignment horizontal="center" vertical="center" wrapText="1"/>
    </xf>
    <xf numFmtId="3" fontId="2" fillId="35" borderId="14" xfId="0" applyNumberFormat="1" applyFont="1" applyFill="1" applyBorder="1" applyAlignment="1">
      <alignment horizontal="center" vertical="center" wrapText="1"/>
    </xf>
    <xf numFmtId="0" fontId="2" fillId="35" borderId="14" xfId="64" applyFont="1" applyFill="1" applyBorder="1" applyAlignment="1">
      <alignment vertical="top" wrapText="1"/>
      <protection/>
    </xf>
    <xf numFmtId="49" fontId="2" fillId="0" borderId="14" xfId="62" applyNumberFormat="1" applyFont="1" applyBorder="1" applyAlignment="1">
      <alignment horizontal="center" vertical="center"/>
      <protection/>
    </xf>
    <xf numFmtId="0" fontId="2" fillId="0" borderId="14" xfId="56" applyFont="1" applyBorder="1" applyAlignment="1">
      <alignment vertical="top" wrapText="1"/>
      <protection/>
    </xf>
    <xf numFmtId="0" fontId="2" fillId="0" borderId="14" xfId="62" applyFont="1" applyBorder="1" applyAlignment="1">
      <alignment vertical="top" wrapText="1"/>
      <protection/>
    </xf>
    <xf numFmtId="0" fontId="2" fillId="0" borderId="14" xfId="66" applyFont="1" applyBorder="1" applyAlignment="1">
      <alignment vertical="top" wrapText="1"/>
      <protection/>
    </xf>
    <xf numFmtId="0" fontId="30" fillId="0" borderId="14" xfId="0" applyFont="1" applyFill="1" applyBorder="1" applyAlignment="1">
      <alignment horizontal="justify" wrapText="1"/>
    </xf>
    <xf numFmtId="0" fontId="27" fillId="0" borderId="0" xfId="0" applyFont="1" applyFill="1" applyAlignment="1">
      <alignment/>
    </xf>
    <xf numFmtId="0" fontId="2" fillId="0" borderId="14" xfId="63" applyFont="1" applyBorder="1" applyAlignment="1">
      <alignment horizontal="left" wrapText="1"/>
      <protection/>
    </xf>
    <xf numFmtId="0" fontId="16" fillId="0" borderId="14" xfId="0" applyFont="1" applyFill="1" applyBorder="1" applyAlignment="1">
      <alignment vertical="top" wrapText="1"/>
    </xf>
    <xf numFmtId="4" fontId="2" fillId="36" borderId="14" xfId="0" applyNumberFormat="1" applyFont="1" applyFill="1" applyBorder="1" applyAlignment="1">
      <alignment vertical="center" wrapText="1"/>
    </xf>
    <xf numFmtId="0" fontId="16" fillId="0" borderId="14" xfId="64" applyFont="1" applyFill="1" applyBorder="1" applyAlignment="1">
      <alignment horizontal="left" vertical="top" wrapText="1"/>
      <protection/>
    </xf>
    <xf numFmtId="0" fontId="2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vertical="top" wrapText="1"/>
    </xf>
    <xf numFmtId="49" fontId="32" fillId="0" borderId="14" xfId="59" applyNumberFormat="1" applyFont="1" applyBorder="1" applyAlignment="1">
      <alignment horizontal="center"/>
      <protection/>
    </xf>
    <xf numFmtId="0" fontId="30" fillId="0" borderId="14" xfId="59" applyFont="1" applyBorder="1" applyAlignment="1">
      <alignment/>
      <protection/>
    </xf>
    <xf numFmtId="0" fontId="36" fillId="0" borderId="36" xfId="0" applyFont="1" applyBorder="1" applyAlignment="1">
      <alignment vertical="center"/>
    </xf>
    <xf numFmtId="0" fontId="36" fillId="0" borderId="36" xfId="0" applyFont="1" applyBorder="1" applyAlignment="1">
      <alignment vertical="top" wrapText="1"/>
    </xf>
    <xf numFmtId="0" fontId="17" fillId="0" borderId="36" xfId="0" applyFont="1" applyBorder="1" applyAlignment="1">
      <alignment vertical="center"/>
    </xf>
    <xf numFmtId="0" fontId="8" fillId="0" borderId="36" xfId="0" applyFont="1" applyBorder="1" applyAlignment="1">
      <alignment vertical="top" wrapText="1"/>
    </xf>
    <xf numFmtId="4" fontId="30" fillId="36" borderId="14" xfId="0" applyNumberFormat="1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4" fontId="2" fillId="36" borderId="14" xfId="0" applyNumberFormat="1" applyFont="1" applyFill="1" applyBorder="1" applyAlignment="1">
      <alignment wrapText="1"/>
    </xf>
    <xf numFmtId="0" fontId="36" fillId="0" borderId="36" xfId="0" applyFont="1" applyBorder="1" applyAlignment="1">
      <alignment wrapText="1"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4" fontId="32" fillId="0" borderId="14" xfId="0" applyNumberFormat="1" applyFont="1" applyFill="1" applyBorder="1" applyAlignment="1">
      <alignment horizontal="right" vertical="center" wrapText="1"/>
    </xf>
    <xf numFmtId="49" fontId="32" fillId="0" borderId="14" xfId="0" applyNumberFormat="1" applyFont="1" applyBorder="1" applyAlignment="1">
      <alignment horizontal="center"/>
    </xf>
    <xf numFmtId="0" fontId="32" fillId="0" borderId="14" xfId="0" applyFont="1" applyBorder="1" applyAlignment="1">
      <alignment wrapText="1"/>
    </xf>
    <xf numFmtId="4" fontId="32" fillId="36" borderId="14" xfId="0" applyNumberFormat="1" applyFont="1" applyFill="1" applyBorder="1" applyAlignment="1">
      <alignment wrapText="1"/>
    </xf>
    <xf numFmtId="49" fontId="16" fillId="0" borderId="1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top" wrapText="1"/>
    </xf>
    <xf numFmtId="4" fontId="16" fillId="36" borderId="14" xfId="0" applyNumberFormat="1" applyFont="1" applyFill="1" applyBorder="1" applyAlignment="1">
      <alignment vertical="center" wrapText="1"/>
    </xf>
    <xf numFmtId="49" fontId="16" fillId="0" borderId="14" xfId="0" applyNumberFormat="1" applyFont="1" applyBorder="1" applyAlignment="1">
      <alignment horizontal="center"/>
    </xf>
    <xf numFmtId="4" fontId="16" fillId="0" borderId="14" xfId="0" applyNumberFormat="1" applyFont="1" applyFill="1" applyBorder="1" applyAlignment="1">
      <alignment wrapText="1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vertical="top" wrapText="1"/>
    </xf>
    <xf numFmtId="4" fontId="32" fillId="0" borderId="11" xfId="0" applyNumberFormat="1" applyFont="1" applyFill="1" applyBorder="1" applyAlignment="1">
      <alignment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wrapText="1"/>
    </xf>
    <xf numFmtId="0" fontId="36" fillId="0" borderId="38" xfId="0" applyNumberFormat="1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left" vertical="top" wrapText="1"/>
    </xf>
    <xf numFmtId="4" fontId="31" fillId="0" borderId="14" xfId="0" applyNumberFormat="1" applyFont="1" applyFill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vertical="top" wrapText="1"/>
    </xf>
    <xf numFmtId="4" fontId="8" fillId="0" borderId="14" xfId="0" applyNumberFormat="1" applyFont="1" applyFill="1" applyBorder="1" applyAlignment="1">
      <alignment vertical="center" wrapText="1"/>
    </xf>
    <xf numFmtId="172" fontId="0" fillId="0" borderId="0" xfId="0" applyNumberFormat="1" applyAlignment="1">
      <alignment horizontal="right" vertical="center"/>
    </xf>
    <xf numFmtId="49" fontId="73" fillId="0" borderId="14" xfId="61" applyNumberFormat="1" applyFont="1" applyBorder="1" applyAlignment="1">
      <alignment horizontal="center" vertical="center" wrapText="1"/>
      <protection/>
    </xf>
    <xf numFmtId="0" fontId="73" fillId="0" borderId="14" xfId="61" applyFont="1" applyBorder="1" applyAlignment="1">
      <alignment horizontal="center" vertical="top" wrapText="1"/>
      <protection/>
    </xf>
    <xf numFmtId="2" fontId="73" fillId="0" borderId="14" xfId="61" applyNumberFormat="1" applyFont="1" applyFill="1" applyBorder="1" applyAlignment="1">
      <alignment/>
      <protection/>
    </xf>
    <xf numFmtId="49" fontId="30" fillId="0" borderId="14" xfId="61" applyNumberFormat="1" applyFont="1" applyBorder="1" applyAlignment="1">
      <alignment horizontal="center" vertical="center" wrapText="1"/>
      <protection/>
    </xf>
    <xf numFmtId="0" fontId="30" fillId="0" borderId="14" xfId="61" applyFont="1" applyBorder="1" applyAlignment="1">
      <alignment horizontal="center" vertical="top" wrapText="1"/>
      <protection/>
    </xf>
    <xf numFmtId="0" fontId="30" fillId="0" borderId="14" xfId="61" applyFont="1" applyBorder="1" applyAlignment="1">
      <alignment wrapText="1"/>
      <protection/>
    </xf>
    <xf numFmtId="2" fontId="30" fillId="0" borderId="14" xfId="61" applyNumberFormat="1" applyFont="1" applyFill="1" applyBorder="1" applyAlignment="1">
      <alignment/>
      <protection/>
    </xf>
    <xf numFmtId="0" fontId="73" fillId="0" borderId="14" xfId="61" applyFont="1" applyBorder="1" applyAlignment="1">
      <alignment vertical="top" wrapText="1"/>
      <protection/>
    </xf>
    <xf numFmtId="0" fontId="30" fillId="0" borderId="14" xfId="61" applyFont="1" applyBorder="1" applyAlignment="1">
      <alignment vertical="top" wrapText="1"/>
      <protection/>
    </xf>
    <xf numFmtId="0" fontId="73" fillId="0" borderId="39" xfId="61" applyFont="1" applyFill="1" applyBorder="1" applyAlignment="1">
      <alignment vertical="center" wrapText="1"/>
      <protection/>
    </xf>
    <xf numFmtId="0" fontId="73" fillId="0" borderId="39" xfId="61" applyFont="1" applyFill="1" applyBorder="1" applyAlignment="1">
      <alignment vertical="top" wrapText="1"/>
      <protection/>
    </xf>
    <xf numFmtId="0" fontId="30" fillId="0" borderId="14" xfId="0" applyFont="1" applyBorder="1" applyAlignment="1">
      <alignment horizontal="center"/>
    </xf>
    <xf numFmtId="2" fontId="30" fillId="0" borderId="14" xfId="0" applyNumberFormat="1" applyFont="1" applyFill="1" applyBorder="1" applyAlignment="1">
      <alignment/>
    </xf>
    <xf numFmtId="0" fontId="73" fillId="0" borderId="14" xfId="0" applyFont="1" applyBorder="1" applyAlignment="1">
      <alignment horizontal="center"/>
    </xf>
    <xf numFmtId="0" fontId="73" fillId="0" borderId="14" xfId="0" applyFont="1" applyBorder="1" applyAlignment="1">
      <alignment wrapText="1"/>
    </xf>
    <xf numFmtId="2" fontId="73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justify" wrapText="1"/>
    </xf>
    <xf numFmtId="0" fontId="73" fillId="0" borderId="14" xfId="0" applyFont="1" applyFill="1" applyBorder="1" applyAlignment="1">
      <alignment horizontal="justify" wrapText="1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2" fontId="7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right" wrapText="1"/>
      <protection/>
    </xf>
    <xf numFmtId="0" fontId="29" fillId="0" borderId="0" xfId="0" applyFont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9" fillId="0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" fontId="3" fillId="33" borderId="4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6" fillId="33" borderId="41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4" fontId="6" fillId="33" borderId="41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43" xfId="0" applyNumberFormat="1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  <xf numFmtId="170" fontId="19" fillId="33" borderId="0" xfId="44" applyFont="1" applyFill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right" vertical="center"/>
    </xf>
    <xf numFmtId="49" fontId="4" fillId="33" borderId="26" xfId="0" applyNumberFormat="1" applyFont="1" applyFill="1" applyBorder="1" applyAlignment="1">
      <alignment horizontal="righ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1 30.04." xfId="61"/>
    <cellStyle name="Обычный_Пр.4 30.05.08г." xfId="62"/>
    <cellStyle name="Обычный_Прил.4" xfId="63"/>
    <cellStyle name="Обычный_Прил.4." xfId="64"/>
    <cellStyle name="Обычный_сент." xfId="65"/>
    <cellStyle name="Обычный_Ут. на остатки" xfId="66"/>
    <cellStyle name="Обычный_уточненное прилож№1 б-та2002г.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60" zoomScalePageLayoutView="0" workbookViewId="0" topLeftCell="A1">
      <selection activeCell="O9" sqref="O9"/>
    </sheetView>
  </sheetViews>
  <sheetFormatPr defaultColWidth="9.140625" defaultRowHeight="15"/>
  <cols>
    <col min="1" max="1" width="28.140625" style="0" customWidth="1"/>
    <col min="2" max="2" width="44.57421875" style="0" customWidth="1"/>
    <col min="3" max="3" width="18.421875" style="234" customWidth="1"/>
    <col min="4" max="4" width="0.13671875" style="0" hidden="1" customWidth="1"/>
    <col min="5" max="5" width="8.421875" style="0" customWidth="1"/>
    <col min="6" max="6" width="9.140625" style="0" hidden="1" customWidth="1"/>
    <col min="7" max="7" width="10.140625" style="0" hidden="1" customWidth="1"/>
    <col min="8" max="8" width="15.421875" style="0" customWidth="1"/>
    <col min="9" max="9" width="19.140625" style="218" customWidth="1"/>
    <col min="10" max="10" width="12.28125" style="0" customWidth="1"/>
    <col min="11" max="11" width="18.140625" style="218" customWidth="1"/>
    <col min="12" max="12" width="11.8515625" style="0" customWidth="1"/>
  </cols>
  <sheetData>
    <row r="1" spans="1:11" s="212" customFormat="1" ht="15">
      <c r="A1" s="457" t="s">
        <v>727</v>
      </c>
      <c r="B1" s="457"/>
      <c r="C1" s="457"/>
      <c r="D1" s="211"/>
      <c r="I1" s="213"/>
      <c r="K1" s="213"/>
    </row>
    <row r="2" spans="1:11" s="212" customFormat="1" ht="12.75">
      <c r="A2" s="458" t="s">
        <v>728</v>
      </c>
      <c r="B2" s="458"/>
      <c r="C2" s="458"/>
      <c r="D2" s="214"/>
      <c r="I2" s="213"/>
      <c r="K2" s="213"/>
    </row>
    <row r="3" spans="1:11" s="212" customFormat="1" ht="12.75">
      <c r="A3" s="458" t="s">
        <v>729</v>
      </c>
      <c r="B3" s="458"/>
      <c r="C3" s="458"/>
      <c r="D3" s="214"/>
      <c r="I3" s="213"/>
      <c r="K3" s="213"/>
    </row>
    <row r="4" spans="1:11" s="215" customFormat="1" ht="39.75" customHeight="1">
      <c r="A4" s="214"/>
      <c r="B4" s="459" t="s">
        <v>730</v>
      </c>
      <c r="C4" s="459"/>
      <c r="D4" s="214"/>
      <c r="I4" s="216"/>
      <c r="K4" s="216"/>
    </row>
    <row r="5" spans="1:11" s="215" customFormat="1" ht="28.5" customHeight="1" hidden="1">
      <c r="A5" s="214"/>
      <c r="B5" s="459" t="s">
        <v>731</v>
      </c>
      <c r="C5" s="459"/>
      <c r="D5" s="214"/>
      <c r="I5" s="216"/>
      <c r="K5" s="216"/>
    </row>
    <row r="6" spans="1:11" s="215" customFormat="1" ht="12.75" hidden="1">
      <c r="A6" s="214"/>
      <c r="B6" s="460" t="s">
        <v>732</v>
      </c>
      <c r="C6" s="460"/>
      <c r="I6" s="216"/>
      <c r="K6" s="216"/>
    </row>
    <row r="7" spans="1:4" ht="28.5" customHeight="1">
      <c r="A7" s="454"/>
      <c r="B7" s="461" t="s">
        <v>1226</v>
      </c>
      <c r="C7" s="461"/>
      <c r="D7" s="454"/>
    </row>
    <row r="8" spans="1:4" ht="9.75" customHeight="1" hidden="1">
      <c r="A8" s="462" t="s">
        <v>733</v>
      </c>
      <c r="B8" s="462"/>
      <c r="C8" s="462"/>
      <c r="D8" s="462"/>
    </row>
    <row r="9" spans="1:4" ht="38.25" customHeight="1">
      <c r="A9" s="463" t="s">
        <v>734</v>
      </c>
      <c r="B9" s="463"/>
      <c r="C9" s="463"/>
      <c r="D9" s="463"/>
    </row>
    <row r="10" spans="1:4" ht="15.75" customHeight="1">
      <c r="A10" s="462" t="s">
        <v>735</v>
      </c>
      <c r="B10" s="462"/>
      <c r="C10" s="462"/>
      <c r="D10" s="462"/>
    </row>
    <row r="11" spans="1:4" ht="13.5" customHeight="1">
      <c r="A11" s="455"/>
      <c r="B11" s="455"/>
      <c r="C11" s="456" t="s">
        <v>736</v>
      </c>
      <c r="D11" s="455"/>
    </row>
    <row r="12" spans="1:4" ht="38.25" customHeight="1">
      <c r="A12" s="220" t="s">
        <v>737</v>
      </c>
      <c r="B12" s="220" t="s">
        <v>738</v>
      </c>
      <c r="C12" s="221" t="s">
        <v>629</v>
      </c>
      <c r="D12" s="219"/>
    </row>
    <row r="13" spans="1:4" ht="12.75" customHeight="1">
      <c r="A13" s="220">
        <v>1</v>
      </c>
      <c r="B13" s="220">
        <v>2</v>
      </c>
      <c r="C13" s="222">
        <v>3</v>
      </c>
      <c r="D13" s="219"/>
    </row>
    <row r="14" spans="1:11" s="227" customFormat="1" ht="1.5" customHeight="1" hidden="1">
      <c r="A14" s="223" t="s">
        <v>739</v>
      </c>
      <c r="B14" s="224" t="s">
        <v>740</v>
      </c>
      <c r="C14" s="225">
        <f>C15+C35</f>
        <v>84047176.98000002</v>
      </c>
      <c r="D14" s="226" t="e">
        <f>D15</f>
        <v>#REF!</v>
      </c>
      <c r="I14" s="228"/>
      <c r="K14" s="228"/>
    </row>
    <row r="15" spans="1:4" ht="26.25" customHeight="1">
      <c r="A15" s="436" t="s">
        <v>741</v>
      </c>
      <c r="B15" s="437" t="s">
        <v>742</v>
      </c>
      <c r="C15" s="438">
        <f>C21+C26+C16+C35</f>
        <v>84547176.98000002</v>
      </c>
      <c r="D15" s="229" t="e">
        <f>#REF!+D21+D26</f>
        <v>#REF!</v>
      </c>
    </row>
    <row r="16" spans="1:4" ht="26.25">
      <c r="A16" s="439" t="s">
        <v>743</v>
      </c>
      <c r="B16" s="440" t="s">
        <v>744</v>
      </c>
      <c r="C16" s="438">
        <f>C17+C20</f>
        <v>0</v>
      </c>
      <c r="D16" s="229"/>
    </row>
    <row r="17" spans="1:4" ht="27">
      <c r="A17" s="436" t="s">
        <v>745</v>
      </c>
      <c r="B17" s="437" t="s">
        <v>746</v>
      </c>
      <c r="C17" s="438">
        <f>C18</f>
        <v>0</v>
      </c>
      <c r="D17" s="229"/>
    </row>
    <row r="18" spans="1:4" ht="41.25">
      <c r="A18" s="436" t="s">
        <v>747</v>
      </c>
      <c r="B18" s="437" t="s">
        <v>748</v>
      </c>
      <c r="C18" s="438">
        <v>0</v>
      </c>
      <c r="D18" s="229"/>
    </row>
    <row r="19" spans="1:4" ht="41.25">
      <c r="A19" s="436" t="s">
        <v>749</v>
      </c>
      <c r="B19" s="437" t="s">
        <v>750</v>
      </c>
      <c r="C19" s="438">
        <v>0</v>
      </c>
      <c r="D19" s="229"/>
    </row>
    <row r="20" spans="1:4" ht="33" customHeight="1">
      <c r="A20" s="436" t="s">
        <v>751</v>
      </c>
      <c r="B20" s="437" t="s">
        <v>752</v>
      </c>
      <c r="C20" s="438">
        <v>0</v>
      </c>
      <c r="D20" s="229"/>
    </row>
    <row r="21" spans="1:11" ht="30" customHeight="1">
      <c r="A21" s="439" t="s">
        <v>753</v>
      </c>
      <c r="B21" s="441" t="s">
        <v>754</v>
      </c>
      <c r="C21" s="442">
        <f>C22+C24</f>
        <v>0</v>
      </c>
      <c r="D21" s="229">
        <f>D22+D24</f>
        <v>-3544.7309999999998</v>
      </c>
      <c r="H21" s="230"/>
      <c r="J21" s="464"/>
      <c r="K21" s="464"/>
    </row>
    <row r="22" spans="1:11" ht="2.25" customHeight="1" hidden="1">
      <c r="A22" s="436" t="s">
        <v>755</v>
      </c>
      <c r="B22" s="443" t="s">
        <v>756</v>
      </c>
      <c r="C22" s="438">
        <f>C23</f>
        <v>0</v>
      </c>
      <c r="D22" s="229">
        <f>D23</f>
        <v>21657</v>
      </c>
      <c r="H22" s="230"/>
      <c r="J22" s="465"/>
      <c r="K22" s="465"/>
    </row>
    <row r="23" spans="1:12" ht="52.5" customHeight="1" hidden="1">
      <c r="A23" s="436" t="s">
        <v>757</v>
      </c>
      <c r="B23" s="443" t="s">
        <v>758</v>
      </c>
      <c r="C23" s="438"/>
      <c r="D23" s="229">
        <v>21657</v>
      </c>
      <c r="G23" s="231"/>
      <c r="H23" s="230"/>
      <c r="I23" s="232"/>
      <c r="J23" s="232"/>
      <c r="K23" s="232"/>
      <c r="L23" s="217"/>
    </row>
    <row r="24" spans="1:10" ht="39.75" customHeight="1" hidden="1">
      <c r="A24" s="436" t="s">
        <v>759</v>
      </c>
      <c r="B24" s="443" t="s">
        <v>760</v>
      </c>
      <c r="C24" s="438"/>
      <c r="D24" s="229">
        <f>D25</f>
        <v>-25201.731</v>
      </c>
      <c r="H24" s="230"/>
      <c r="J24" s="218"/>
    </row>
    <row r="25" spans="1:11" ht="54.75" hidden="1">
      <c r="A25" s="436" t="s">
        <v>761</v>
      </c>
      <c r="B25" s="443" t="s">
        <v>762</v>
      </c>
      <c r="C25" s="438"/>
      <c r="D25" s="229">
        <v>-25201.731</v>
      </c>
      <c r="H25" s="230"/>
      <c r="K25"/>
    </row>
    <row r="26" spans="1:8" ht="25.5" customHeight="1">
      <c r="A26" s="439" t="s">
        <v>763</v>
      </c>
      <c r="B26" s="444" t="s">
        <v>764</v>
      </c>
      <c r="C26" s="442">
        <f>C27+C31</f>
        <v>85047176.98000002</v>
      </c>
      <c r="D26" s="229" t="e">
        <f>D27+D31</f>
        <v>#REF!</v>
      </c>
      <c r="H26" s="230"/>
    </row>
    <row r="27" spans="1:10" ht="14.25">
      <c r="A27" s="436" t="s">
        <v>765</v>
      </c>
      <c r="B27" s="443" t="s">
        <v>766</v>
      </c>
      <c r="C27" s="438">
        <f>C28</f>
        <v>-585200456.11</v>
      </c>
      <c r="D27" s="229">
        <f>D32</f>
        <v>0</v>
      </c>
      <c r="H27" s="230"/>
      <c r="I27" s="230"/>
      <c r="J27" s="230"/>
    </row>
    <row r="28" spans="1:8" ht="21" customHeight="1">
      <c r="A28" s="436" t="s">
        <v>767</v>
      </c>
      <c r="B28" s="445" t="s">
        <v>768</v>
      </c>
      <c r="C28" s="438">
        <f>C29</f>
        <v>-585200456.11</v>
      </c>
      <c r="D28" s="229"/>
      <c r="H28" s="230"/>
    </row>
    <row r="29" spans="1:8" ht="27">
      <c r="A29" s="436" t="s">
        <v>769</v>
      </c>
      <c r="B29" s="443" t="s">
        <v>770</v>
      </c>
      <c r="C29" s="438">
        <f>C30</f>
        <v>-585200456.11</v>
      </c>
      <c r="D29" s="229"/>
      <c r="H29" s="230"/>
    </row>
    <row r="30" spans="1:8" ht="27">
      <c r="A30" s="436" t="s">
        <v>771</v>
      </c>
      <c r="B30" s="443" t="s">
        <v>772</v>
      </c>
      <c r="C30" s="438">
        <f>-585200456.11-C37</f>
        <v>-585200456.11</v>
      </c>
      <c r="D30" s="229"/>
      <c r="H30" s="231"/>
    </row>
    <row r="31" spans="1:4" ht="14.25" customHeight="1">
      <c r="A31" s="436" t="s">
        <v>773</v>
      </c>
      <c r="B31" s="443" t="s">
        <v>774</v>
      </c>
      <c r="C31" s="438">
        <f>C32</f>
        <v>670247633.09</v>
      </c>
      <c r="D31" s="229" t="e">
        <f>#REF!</f>
        <v>#REF!</v>
      </c>
    </row>
    <row r="32" spans="1:8" ht="14.25">
      <c r="A32" s="436" t="s">
        <v>775</v>
      </c>
      <c r="B32" s="446" t="s">
        <v>776</v>
      </c>
      <c r="C32" s="438">
        <f>C33</f>
        <v>670247633.09</v>
      </c>
      <c r="D32" s="229"/>
      <c r="H32" s="231"/>
    </row>
    <row r="33" spans="1:4" ht="27">
      <c r="A33" s="436" t="s">
        <v>777</v>
      </c>
      <c r="B33" s="443" t="s">
        <v>778</v>
      </c>
      <c r="C33" s="438">
        <f>C34</f>
        <v>670247633.09</v>
      </c>
      <c r="D33" s="229"/>
    </row>
    <row r="34" spans="1:10" ht="27">
      <c r="A34" s="436" t="s">
        <v>779</v>
      </c>
      <c r="B34" s="443" t="s">
        <v>780</v>
      </c>
      <c r="C34" s="438">
        <f>669747633.09-C46</f>
        <v>670247633.09</v>
      </c>
      <c r="D34" s="229">
        <v>274680.758</v>
      </c>
      <c r="H34" s="231"/>
      <c r="J34" s="227"/>
    </row>
    <row r="35" spans="1:4" ht="27">
      <c r="A35" s="447" t="s">
        <v>781</v>
      </c>
      <c r="B35" s="249" t="s">
        <v>782</v>
      </c>
      <c r="C35" s="448">
        <f>C36</f>
        <v>-500000</v>
      </c>
      <c r="D35" s="219"/>
    </row>
    <row r="36" spans="1:4" ht="27">
      <c r="A36" s="447" t="s">
        <v>783</v>
      </c>
      <c r="B36" s="249" t="s">
        <v>784</v>
      </c>
      <c r="C36" s="448">
        <f>C37+C46</f>
        <v>-500000</v>
      </c>
      <c r="D36" s="219"/>
    </row>
    <row r="37" spans="1:4" ht="27.75" customHeight="1">
      <c r="A37" s="449" t="s">
        <v>785</v>
      </c>
      <c r="B37" s="450" t="s">
        <v>786</v>
      </c>
      <c r="C37" s="451">
        <f>C44+C45</f>
        <v>0</v>
      </c>
      <c r="D37" s="219"/>
    </row>
    <row r="38" spans="1:4" ht="55.5" customHeight="1">
      <c r="A38" s="449" t="s">
        <v>787</v>
      </c>
      <c r="B38" s="450" t="s">
        <v>788</v>
      </c>
      <c r="C38" s="451">
        <f>C39</f>
        <v>0</v>
      </c>
      <c r="D38" s="219"/>
    </row>
    <row r="39" spans="1:4" ht="55.5">
      <c r="A39" s="449" t="s">
        <v>789</v>
      </c>
      <c r="B39" s="450" t="s">
        <v>790</v>
      </c>
      <c r="C39" s="451">
        <f>C40</f>
        <v>0</v>
      </c>
      <c r="D39" s="219"/>
    </row>
    <row r="40" spans="1:4" ht="27.75">
      <c r="A40" s="449" t="s">
        <v>791</v>
      </c>
      <c r="B40" s="450" t="s">
        <v>792</v>
      </c>
      <c r="C40" s="451">
        <v>0</v>
      </c>
      <c r="D40" s="219"/>
    </row>
    <row r="41" spans="1:4" ht="83.25">
      <c r="A41" s="449" t="s">
        <v>793</v>
      </c>
      <c r="B41" s="450" t="s">
        <v>794</v>
      </c>
      <c r="C41" s="451">
        <v>0</v>
      </c>
      <c r="D41" s="219"/>
    </row>
    <row r="42" spans="1:4" ht="42" hidden="1">
      <c r="A42" s="449" t="s">
        <v>795</v>
      </c>
      <c r="B42" s="452" t="s">
        <v>796</v>
      </c>
      <c r="C42" s="451">
        <v>0</v>
      </c>
      <c r="D42" s="219"/>
    </row>
    <row r="43" spans="1:4" ht="69" hidden="1">
      <c r="A43" s="449" t="s">
        <v>797</v>
      </c>
      <c r="B43" s="452" t="s">
        <v>798</v>
      </c>
      <c r="C43" s="451">
        <v>0</v>
      </c>
      <c r="D43" s="219"/>
    </row>
    <row r="44" spans="1:4" ht="42">
      <c r="A44" s="449" t="s">
        <v>799</v>
      </c>
      <c r="B44" s="453" t="s">
        <v>800</v>
      </c>
      <c r="C44" s="451">
        <v>0</v>
      </c>
      <c r="D44" s="219"/>
    </row>
    <row r="45" spans="1:4" ht="49.5" customHeight="1">
      <c r="A45" s="449" t="s">
        <v>797</v>
      </c>
      <c r="B45" s="453" t="s">
        <v>801</v>
      </c>
      <c r="C45" s="451">
        <v>0</v>
      </c>
      <c r="D45" s="219"/>
    </row>
    <row r="46" spans="1:4" ht="27.75">
      <c r="A46" s="449" t="s">
        <v>802</v>
      </c>
      <c r="B46" s="450" t="s">
        <v>803</v>
      </c>
      <c r="C46" s="451">
        <f>C47</f>
        <v>-500000</v>
      </c>
      <c r="D46" s="219"/>
    </row>
    <row r="47" spans="1:4" ht="42">
      <c r="A47" s="449" t="s">
        <v>804</v>
      </c>
      <c r="B47" s="450" t="s">
        <v>805</v>
      </c>
      <c r="C47" s="451">
        <f>C48</f>
        <v>-500000</v>
      </c>
      <c r="D47" s="219"/>
    </row>
    <row r="48" spans="1:4" ht="63" customHeight="1">
      <c r="A48" s="449" t="s">
        <v>806</v>
      </c>
      <c r="B48" s="450" t="s">
        <v>807</v>
      </c>
      <c r="C48" s="451">
        <f>C49+C51</f>
        <v>-500000</v>
      </c>
      <c r="D48" s="219"/>
    </row>
    <row r="49" spans="1:4" ht="32.25" customHeight="1">
      <c r="A49" s="449" t="s">
        <v>808</v>
      </c>
      <c r="B49" s="450" t="s">
        <v>792</v>
      </c>
      <c r="C49" s="451">
        <v>0</v>
      </c>
      <c r="D49" s="219"/>
    </row>
    <row r="50" spans="1:4" ht="31.5" customHeight="1">
      <c r="A50" s="449" t="s">
        <v>809</v>
      </c>
      <c r="B50" s="450" t="s">
        <v>792</v>
      </c>
      <c r="C50" s="451">
        <v>0</v>
      </c>
      <c r="D50" s="219"/>
    </row>
    <row r="51" spans="1:4" ht="48" customHeight="1">
      <c r="A51" s="449" t="s">
        <v>810</v>
      </c>
      <c r="B51" s="450" t="s">
        <v>811</v>
      </c>
      <c r="C51" s="451">
        <f>C52</f>
        <v>-500000</v>
      </c>
      <c r="D51" s="219"/>
    </row>
    <row r="52" spans="1:4" ht="61.5" customHeight="1">
      <c r="A52" s="449" t="s">
        <v>812</v>
      </c>
      <c r="B52" s="450" t="s">
        <v>813</v>
      </c>
      <c r="C52" s="451">
        <v>-500000</v>
      </c>
      <c r="D52" s="219"/>
    </row>
    <row r="53" spans="1:4" ht="14.25">
      <c r="A53" s="219"/>
      <c r="B53" s="219"/>
      <c r="C53" s="233"/>
      <c r="D53" s="219"/>
    </row>
    <row r="54" spans="1:4" ht="14.25">
      <c r="A54" s="219"/>
      <c r="B54" s="219"/>
      <c r="C54" s="233"/>
      <c r="D54" s="219"/>
    </row>
    <row r="55" spans="1:4" ht="14.25">
      <c r="A55" s="219"/>
      <c r="B55" s="219"/>
      <c r="C55" s="233"/>
      <c r="D55" s="219"/>
    </row>
    <row r="56" spans="1:4" ht="14.25">
      <c r="A56" s="219"/>
      <c r="B56" s="219"/>
      <c r="C56" s="233"/>
      <c r="D56" s="219"/>
    </row>
    <row r="57" spans="1:4" ht="14.25">
      <c r="A57" s="219"/>
      <c r="B57" s="219"/>
      <c r="C57" s="233"/>
      <c r="D57" s="219"/>
    </row>
    <row r="58" spans="1:4" ht="14.25">
      <c r="A58" s="219"/>
      <c r="B58" s="219"/>
      <c r="C58" s="233"/>
      <c r="D58" s="219"/>
    </row>
    <row r="59" spans="1:4" ht="14.25">
      <c r="A59" s="219"/>
      <c r="B59" s="219"/>
      <c r="C59" s="233"/>
      <c r="D59" s="219"/>
    </row>
    <row r="60" spans="1:4" ht="14.25">
      <c r="A60" s="219"/>
      <c r="B60" s="219"/>
      <c r="C60" s="233"/>
      <c r="D60" s="219"/>
    </row>
    <row r="61" spans="1:4" ht="14.25">
      <c r="A61" s="219"/>
      <c r="B61" s="219"/>
      <c r="C61" s="233"/>
      <c r="D61" s="219"/>
    </row>
    <row r="63" ht="14.25">
      <c r="B63" s="227"/>
    </row>
    <row r="64" ht="14.25">
      <c r="B64" s="227"/>
    </row>
    <row r="71" ht="14.25">
      <c r="B71" s="227"/>
    </row>
  </sheetData>
  <sheetProtection/>
  <mergeCells count="12">
    <mergeCell ref="B7:C7"/>
    <mergeCell ref="A8:D8"/>
    <mergeCell ref="A9:D9"/>
    <mergeCell ref="A10:D10"/>
    <mergeCell ref="J21:K21"/>
    <mergeCell ref="J22:K22"/>
    <mergeCell ref="A1:C1"/>
    <mergeCell ref="A2:C2"/>
    <mergeCell ref="A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2"/>
  <sheetViews>
    <sheetView view="pageBreakPreview" zoomScale="60" zoomScalePageLayoutView="0" workbookViewId="0" topLeftCell="A1">
      <selection activeCell="C21" sqref="C21"/>
    </sheetView>
  </sheetViews>
  <sheetFormatPr defaultColWidth="9.140625" defaultRowHeight="15"/>
  <cols>
    <col min="1" max="1" width="18.421875" style="0" customWidth="1"/>
    <col min="2" max="2" width="60.28125" style="0" customWidth="1"/>
    <col min="3" max="3" width="14.57421875" style="435" customWidth="1"/>
  </cols>
  <sheetData>
    <row r="1" spans="1:3" ht="14.25" customHeight="1">
      <c r="A1" s="217"/>
      <c r="B1" s="466" t="s">
        <v>814</v>
      </c>
      <c r="C1" s="466"/>
    </row>
    <row r="2" spans="1:3" ht="11.25" customHeight="1">
      <c r="A2" s="217"/>
      <c r="B2" s="466" t="s">
        <v>815</v>
      </c>
      <c r="C2" s="466"/>
    </row>
    <row r="3" spans="1:3" ht="12.75" customHeight="1">
      <c r="A3" s="217"/>
      <c r="B3" s="466" t="s">
        <v>816</v>
      </c>
      <c r="C3" s="466"/>
    </row>
    <row r="4" spans="1:3" ht="14.25">
      <c r="A4" s="217"/>
      <c r="B4" s="466" t="s">
        <v>817</v>
      </c>
      <c r="C4" s="466"/>
    </row>
    <row r="5" spans="1:3" ht="14.25">
      <c r="A5" s="217"/>
      <c r="B5" s="467" t="s">
        <v>818</v>
      </c>
      <c r="C5" s="467"/>
    </row>
    <row r="6" spans="1:3" ht="14.25">
      <c r="A6" s="217"/>
      <c r="B6" s="466" t="s">
        <v>819</v>
      </c>
      <c r="C6" s="466"/>
    </row>
    <row r="7" spans="1:3" ht="14.25">
      <c r="A7" s="217"/>
      <c r="B7" s="466" t="s">
        <v>820</v>
      </c>
      <c r="C7" s="466"/>
    </row>
    <row r="8" spans="1:3" ht="14.25">
      <c r="A8" s="217"/>
      <c r="B8" s="466" t="s">
        <v>821</v>
      </c>
      <c r="C8" s="466"/>
    </row>
    <row r="9" spans="1:3" ht="14.25">
      <c r="A9" s="217"/>
      <c r="B9" s="466" t="s">
        <v>1227</v>
      </c>
      <c r="C9" s="466"/>
    </row>
    <row r="10" spans="1:3" ht="12" customHeight="1">
      <c r="A10" s="470"/>
      <c r="B10" s="470"/>
      <c r="C10" s="470"/>
    </row>
    <row r="11" spans="2:3" ht="14.25" hidden="1">
      <c r="B11" s="235"/>
      <c r="C11" s="235"/>
    </row>
    <row r="12" spans="1:3" ht="15" customHeight="1">
      <c r="A12" s="471" t="s">
        <v>822</v>
      </c>
      <c r="B12" s="471"/>
      <c r="C12" s="471"/>
    </row>
    <row r="13" spans="1:3" ht="14.25" customHeight="1">
      <c r="A13" s="471" t="s">
        <v>823</v>
      </c>
      <c r="B13" s="471"/>
      <c r="C13" s="471"/>
    </row>
    <row r="14" spans="1:3" ht="15" customHeight="1">
      <c r="A14" s="468" t="s">
        <v>824</v>
      </c>
      <c r="B14" s="468"/>
      <c r="C14" s="468"/>
    </row>
    <row r="15" spans="1:3" ht="14.25" hidden="1">
      <c r="A15" s="236"/>
      <c r="B15" s="237"/>
      <c r="C15" s="238"/>
    </row>
    <row r="16" spans="1:3" ht="13.5" customHeight="1">
      <c r="A16" s="236"/>
      <c r="B16" s="237"/>
      <c r="C16" s="239" t="s">
        <v>825</v>
      </c>
    </row>
    <row r="17" spans="1:3" ht="38.25" customHeight="1">
      <c r="A17" s="240" t="s">
        <v>737</v>
      </c>
      <c r="B17" s="241" t="s">
        <v>826</v>
      </c>
      <c r="C17" s="242" t="s">
        <v>827</v>
      </c>
    </row>
    <row r="18" spans="1:3" ht="14.25">
      <c r="A18" s="243">
        <v>1</v>
      </c>
      <c r="B18" s="243">
        <v>2</v>
      </c>
      <c r="C18" s="244">
        <v>3</v>
      </c>
    </row>
    <row r="19" spans="1:3" ht="14.25" customHeight="1">
      <c r="A19" s="469" t="s">
        <v>828</v>
      </c>
      <c r="B19" s="469"/>
      <c r="C19" s="245">
        <f>C20+C164</f>
        <v>585200456.11</v>
      </c>
    </row>
    <row r="20" spans="1:3" ht="15.75" customHeight="1">
      <c r="A20" s="246" t="s">
        <v>829</v>
      </c>
      <c r="B20" s="247" t="s">
        <v>830</v>
      </c>
      <c r="C20" s="245">
        <f>C21+C37+C52+C60+C82+C90+C93+C113+C116+C161+C58+C27</f>
        <v>181277143</v>
      </c>
    </row>
    <row r="21" spans="1:3" ht="16.5" customHeight="1">
      <c r="A21" s="248" t="s">
        <v>831</v>
      </c>
      <c r="B21" s="249" t="s">
        <v>832</v>
      </c>
      <c r="C21" s="245">
        <f>C22</f>
        <v>138787009</v>
      </c>
    </row>
    <row r="22" spans="1:3" ht="16.5" customHeight="1">
      <c r="A22" s="248" t="s">
        <v>833</v>
      </c>
      <c r="B22" s="250" t="s">
        <v>834</v>
      </c>
      <c r="C22" s="245">
        <f>C23+C24+C25+C26</f>
        <v>138787009</v>
      </c>
    </row>
    <row r="23" spans="1:3" ht="52.5" customHeight="1">
      <c r="A23" s="251" t="s">
        <v>835</v>
      </c>
      <c r="B23" s="252" t="s">
        <v>836</v>
      </c>
      <c r="C23" s="253">
        <v>136580446</v>
      </c>
    </row>
    <row r="24" spans="1:3" ht="76.5" customHeight="1">
      <c r="A24" s="251" t="s">
        <v>837</v>
      </c>
      <c r="B24" s="252" t="s">
        <v>838</v>
      </c>
      <c r="C24" s="253">
        <v>906915</v>
      </c>
    </row>
    <row r="25" spans="1:3" ht="39">
      <c r="A25" s="254" t="s">
        <v>839</v>
      </c>
      <c r="B25" s="252" t="s">
        <v>840</v>
      </c>
      <c r="C25" s="255">
        <v>1299648</v>
      </c>
    </row>
    <row r="26" spans="1:3" ht="66" hidden="1">
      <c r="A26" s="251" t="s">
        <v>841</v>
      </c>
      <c r="B26" s="252" t="s">
        <v>842</v>
      </c>
      <c r="C26" s="253"/>
    </row>
    <row r="27" spans="1:3" s="258" customFormat="1" ht="24" customHeight="1">
      <c r="A27" s="256" t="s">
        <v>843</v>
      </c>
      <c r="B27" s="257" t="s">
        <v>844</v>
      </c>
      <c r="C27" s="245">
        <f>C28</f>
        <v>5503015</v>
      </c>
    </row>
    <row r="28" spans="1:3" s="258" customFormat="1" ht="27" customHeight="1">
      <c r="A28" s="256" t="s">
        <v>845</v>
      </c>
      <c r="B28" s="252" t="s">
        <v>846</v>
      </c>
      <c r="C28" s="245">
        <f>C29+C31+C33+C35</f>
        <v>5503015</v>
      </c>
    </row>
    <row r="29" spans="1:3" ht="46.5" customHeight="1">
      <c r="A29" s="256" t="s">
        <v>847</v>
      </c>
      <c r="B29" s="257" t="s">
        <v>848</v>
      </c>
      <c r="C29" s="259">
        <f>C30</f>
        <v>1848829</v>
      </c>
    </row>
    <row r="30" spans="1:3" ht="79.5" customHeight="1">
      <c r="A30" s="260" t="s">
        <v>849</v>
      </c>
      <c r="B30" s="261" t="s">
        <v>850</v>
      </c>
      <c r="C30" s="253">
        <v>1848829</v>
      </c>
    </row>
    <row r="31" spans="1:3" ht="60.75" customHeight="1">
      <c r="A31" s="256" t="s">
        <v>851</v>
      </c>
      <c r="B31" s="257" t="s">
        <v>852</v>
      </c>
      <c r="C31" s="259">
        <f>C32</f>
        <v>12207</v>
      </c>
    </row>
    <row r="32" spans="1:3" ht="92.25" customHeight="1">
      <c r="A32" s="260" t="s">
        <v>853</v>
      </c>
      <c r="B32" s="262" t="s">
        <v>854</v>
      </c>
      <c r="C32" s="253">
        <v>12207</v>
      </c>
    </row>
    <row r="33" spans="1:3" ht="47.25" customHeight="1">
      <c r="A33" s="256" t="s">
        <v>855</v>
      </c>
      <c r="B33" s="257" t="s">
        <v>856</v>
      </c>
      <c r="C33" s="259">
        <f>C34</f>
        <v>3985902</v>
      </c>
    </row>
    <row r="34" spans="1:3" ht="77.25" customHeight="1">
      <c r="A34" s="260" t="s">
        <v>857</v>
      </c>
      <c r="B34" s="262" t="s">
        <v>858</v>
      </c>
      <c r="C34" s="253">
        <f>3584902+401000</f>
        <v>3985902</v>
      </c>
    </row>
    <row r="35" spans="1:3" ht="39" customHeight="1">
      <c r="A35" s="256" t="s">
        <v>859</v>
      </c>
      <c r="B35" s="257" t="s">
        <v>860</v>
      </c>
      <c r="C35" s="259">
        <f>C36</f>
        <v>-343923</v>
      </c>
    </row>
    <row r="36" spans="1:3" ht="77.25" customHeight="1">
      <c r="A36" s="260" t="s">
        <v>861</v>
      </c>
      <c r="B36" s="261" t="s">
        <v>862</v>
      </c>
      <c r="C36" s="253">
        <v>-343923</v>
      </c>
    </row>
    <row r="37" spans="1:3" ht="18" customHeight="1">
      <c r="A37" s="246" t="s">
        <v>863</v>
      </c>
      <c r="B37" s="247" t="s">
        <v>864</v>
      </c>
      <c r="C37" s="245">
        <f>C44+C47+C50+C38</f>
        <v>5090248</v>
      </c>
    </row>
    <row r="38" spans="1:3" ht="25.5" customHeight="1">
      <c r="A38" s="263" t="s">
        <v>865</v>
      </c>
      <c r="B38" s="264" t="s">
        <v>866</v>
      </c>
      <c r="C38" s="265">
        <f>C39+C41+C43</f>
        <v>556457</v>
      </c>
    </row>
    <row r="39" spans="1:3" ht="26.25" customHeight="1">
      <c r="A39" s="263" t="s">
        <v>867</v>
      </c>
      <c r="B39" s="266" t="s">
        <v>868</v>
      </c>
      <c r="C39" s="265">
        <f>C40</f>
        <v>330083</v>
      </c>
    </row>
    <row r="40" spans="1:3" ht="27" customHeight="1">
      <c r="A40" s="263" t="s">
        <v>869</v>
      </c>
      <c r="B40" s="266" t="s">
        <v>868</v>
      </c>
      <c r="C40" s="255">
        <v>330083</v>
      </c>
    </row>
    <row r="41" spans="1:3" ht="27" customHeight="1">
      <c r="A41" s="263" t="s">
        <v>870</v>
      </c>
      <c r="B41" s="267" t="s">
        <v>871</v>
      </c>
      <c r="C41" s="265">
        <f>C42</f>
        <v>226374</v>
      </c>
    </row>
    <row r="42" spans="1:3" ht="39" customHeight="1">
      <c r="A42" s="268" t="s">
        <v>872</v>
      </c>
      <c r="B42" s="269" t="s">
        <v>873</v>
      </c>
      <c r="C42" s="253">
        <v>226374</v>
      </c>
    </row>
    <row r="43" spans="1:3" ht="21" hidden="1">
      <c r="A43" s="270" t="s">
        <v>874</v>
      </c>
      <c r="B43" s="271" t="s">
        <v>875</v>
      </c>
      <c r="C43" s="253"/>
    </row>
    <row r="44" spans="1:3" s="227" customFormat="1" ht="17.25" customHeight="1">
      <c r="A44" s="246" t="s">
        <v>876</v>
      </c>
      <c r="B44" s="247" t="s">
        <v>877</v>
      </c>
      <c r="C44" s="245">
        <f>C45+C46</f>
        <v>4400635</v>
      </c>
    </row>
    <row r="45" spans="1:3" ht="17.25" customHeight="1">
      <c r="A45" s="251" t="s">
        <v>878</v>
      </c>
      <c r="B45" s="272" t="s">
        <v>877</v>
      </c>
      <c r="C45" s="255">
        <f>4400635-10000</f>
        <v>4390635</v>
      </c>
    </row>
    <row r="46" spans="1:3" ht="26.25">
      <c r="A46" s="251" t="s">
        <v>879</v>
      </c>
      <c r="B46" s="252" t="s">
        <v>880</v>
      </c>
      <c r="C46" s="255">
        <f>10000</f>
        <v>10000</v>
      </c>
    </row>
    <row r="47" spans="1:3" s="227" customFormat="1" ht="15.75" customHeight="1">
      <c r="A47" s="246" t="s">
        <v>881</v>
      </c>
      <c r="B47" s="249" t="s">
        <v>882</v>
      </c>
      <c r="C47" s="245">
        <f>C48+C49</f>
        <v>130771</v>
      </c>
    </row>
    <row r="48" spans="1:3" ht="16.5" customHeight="1">
      <c r="A48" s="251" t="s">
        <v>883</v>
      </c>
      <c r="B48" s="273" t="s">
        <v>882</v>
      </c>
      <c r="C48" s="253">
        <v>130771</v>
      </c>
    </row>
    <row r="49" spans="1:3" ht="26.25" hidden="1">
      <c r="A49" s="251" t="s">
        <v>884</v>
      </c>
      <c r="B49" s="252" t="s">
        <v>885</v>
      </c>
      <c r="C49" s="253"/>
    </row>
    <row r="50" spans="1:3" s="227" customFormat="1" ht="26.25">
      <c r="A50" s="246" t="s">
        <v>886</v>
      </c>
      <c r="B50" s="264" t="s">
        <v>887</v>
      </c>
      <c r="C50" s="245">
        <f>C51</f>
        <v>2385</v>
      </c>
    </row>
    <row r="51" spans="1:3" ht="26.25">
      <c r="A51" s="251" t="s">
        <v>888</v>
      </c>
      <c r="B51" s="264" t="s">
        <v>889</v>
      </c>
      <c r="C51" s="253">
        <v>2385</v>
      </c>
    </row>
    <row r="52" spans="1:3" ht="15.75" customHeight="1">
      <c r="A52" s="246" t="s">
        <v>890</v>
      </c>
      <c r="B52" s="247" t="s">
        <v>891</v>
      </c>
      <c r="C52" s="245">
        <f>C53+C55</f>
        <v>1243402</v>
      </c>
    </row>
    <row r="53" spans="1:3" ht="23.25" customHeight="1">
      <c r="A53" s="246" t="s">
        <v>892</v>
      </c>
      <c r="B53" s="257" t="s">
        <v>893</v>
      </c>
      <c r="C53" s="245">
        <f>C54</f>
        <v>1243402</v>
      </c>
    </row>
    <row r="54" spans="1:3" ht="37.5" customHeight="1">
      <c r="A54" s="251" t="s">
        <v>894</v>
      </c>
      <c r="B54" s="252" t="s">
        <v>895</v>
      </c>
      <c r="C54" s="253">
        <v>1243402</v>
      </c>
    </row>
    <row r="55" spans="1:3" s="276" customFormat="1" ht="24.75" customHeight="1" hidden="1">
      <c r="A55" s="274" t="s">
        <v>896</v>
      </c>
      <c r="B55" s="275" t="s">
        <v>897</v>
      </c>
      <c r="C55" s="265">
        <f>C56+C57</f>
        <v>0</v>
      </c>
    </row>
    <row r="56" spans="1:3" ht="52.5" hidden="1">
      <c r="A56" s="251" t="s">
        <v>898</v>
      </c>
      <c r="B56" s="252" t="s">
        <v>899</v>
      </c>
      <c r="C56" s="255"/>
    </row>
    <row r="57" spans="1:3" ht="24.75" customHeight="1" hidden="1">
      <c r="A57" s="251" t="s">
        <v>900</v>
      </c>
      <c r="B57" s="252" t="s">
        <v>901</v>
      </c>
      <c r="C57" s="253"/>
    </row>
    <row r="58" spans="1:3" ht="26.25" hidden="1">
      <c r="A58" s="277" t="s">
        <v>902</v>
      </c>
      <c r="B58" s="278" t="s">
        <v>903</v>
      </c>
      <c r="C58" s="245">
        <f>C59</f>
        <v>0</v>
      </c>
    </row>
    <row r="59" spans="1:3" s="237" customFormat="1" ht="52.5" hidden="1">
      <c r="A59" s="279" t="s">
        <v>904</v>
      </c>
      <c r="B59" s="280" t="s">
        <v>905</v>
      </c>
      <c r="C59" s="253"/>
    </row>
    <row r="60" spans="1:3" ht="26.25" customHeight="1">
      <c r="A60" s="246" t="s">
        <v>906</v>
      </c>
      <c r="B60" s="281" t="s">
        <v>907</v>
      </c>
      <c r="C60" s="245">
        <f>C61+C63+C65+C67+C75+C77+C79</f>
        <v>21503265</v>
      </c>
    </row>
    <row r="61" spans="1:3" ht="66" hidden="1">
      <c r="A61" s="282" t="s">
        <v>908</v>
      </c>
      <c r="B61" s="283" t="s">
        <v>909</v>
      </c>
      <c r="C61" s="245">
        <f>C62</f>
        <v>0</v>
      </c>
    </row>
    <row r="62" spans="1:3" ht="39" hidden="1">
      <c r="A62" s="284" t="s">
        <v>910</v>
      </c>
      <c r="B62" s="262" t="s">
        <v>911</v>
      </c>
      <c r="C62" s="253"/>
    </row>
    <row r="63" spans="1:3" ht="14.25" hidden="1">
      <c r="A63" s="282" t="s">
        <v>912</v>
      </c>
      <c r="B63" s="283" t="s">
        <v>913</v>
      </c>
      <c r="C63" s="245">
        <f>C64</f>
        <v>0</v>
      </c>
    </row>
    <row r="64" spans="1:3" ht="0.75" customHeight="1" hidden="1">
      <c r="A64" s="284" t="s">
        <v>914</v>
      </c>
      <c r="B64" s="252" t="s">
        <v>915</v>
      </c>
      <c r="C64" s="253"/>
    </row>
    <row r="65" spans="1:3" ht="26.25" hidden="1">
      <c r="A65" s="246" t="s">
        <v>916</v>
      </c>
      <c r="B65" s="283" t="s">
        <v>917</v>
      </c>
      <c r="C65" s="245">
        <f>C66</f>
        <v>0</v>
      </c>
    </row>
    <row r="66" spans="1:3" ht="26.25" hidden="1">
      <c r="A66" s="251" t="s">
        <v>918</v>
      </c>
      <c r="B66" s="252" t="s">
        <v>919</v>
      </c>
      <c r="C66" s="255"/>
    </row>
    <row r="67" spans="1:3" ht="58.5" customHeight="1">
      <c r="A67" s="246" t="s">
        <v>920</v>
      </c>
      <c r="B67" s="257" t="s">
        <v>921</v>
      </c>
      <c r="C67" s="245">
        <f>C68+C71+C73</f>
        <v>21503265</v>
      </c>
    </row>
    <row r="68" spans="1:3" ht="48.75" customHeight="1">
      <c r="A68" s="246" t="s">
        <v>922</v>
      </c>
      <c r="B68" s="257" t="s">
        <v>923</v>
      </c>
      <c r="C68" s="245">
        <f>C69+C70</f>
        <v>20019860</v>
      </c>
    </row>
    <row r="69" spans="1:3" ht="63.75" customHeight="1">
      <c r="A69" s="251" t="s">
        <v>924</v>
      </c>
      <c r="B69" s="262" t="s">
        <v>925</v>
      </c>
      <c r="C69" s="285">
        <f>19102420-120000-81000</f>
        <v>18901420</v>
      </c>
    </row>
    <row r="70" spans="1:3" ht="62.25" customHeight="1">
      <c r="A70" s="251" t="s">
        <v>926</v>
      </c>
      <c r="B70" s="252" t="s">
        <v>927</v>
      </c>
      <c r="C70" s="285">
        <v>1118440</v>
      </c>
    </row>
    <row r="71" spans="1:3" ht="15.75" customHeight="1" hidden="1">
      <c r="A71" s="286" t="s">
        <v>928</v>
      </c>
      <c r="B71" s="283" t="s">
        <v>929</v>
      </c>
      <c r="C71" s="253">
        <f>C72</f>
        <v>0</v>
      </c>
    </row>
    <row r="72" spans="1:3" ht="15.75" customHeight="1" hidden="1">
      <c r="A72" s="251" t="s">
        <v>930</v>
      </c>
      <c r="B72" s="252" t="s">
        <v>931</v>
      </c>
      <c r="C72" s="253"/>
    </row>
    <row r="73" spans="1:3" ht="63.75" customHeight="1">
      <c r="A73" s="246" t="s">
        <v>932</v>
      </c>
      <c r="B73" s="283" t="s">
        <v>933</v>
      </c>
      <c r="C73" s="245">
        <f>C74</f>
        <v>1483405</v>
      </c>
    </row>
    <row r="74" spans="1:3" ht="51" customHeight="1">
      <c r="A74" s="251" t="s">
        <v>934</v>
      </c>
      <c r="B74" s="252" t="s">
        <v>935</v>
      </c>
      <c r="C74" s="253">
        <f>1147405+336000</f>
        <v>1483405</v>
      </c>
    </row>
    <row r="75" spans="1:3" ht="26.25" hidden="1">
      <c r="A75" s="286" t="s">
        <v>936</v>
      </c>
      <c r="B75" s="283" t="s">
        <v>937</v>
      </c>
      <c r="C75" s="245">
        <f>C76</f>
        <v>0</v>
      </c>
    </row>
    <row r="76" spans="1:3" ht="39" hidden="1">
      <c r="A76" s="251" t="s">
        <v>938</v>
      </c>
      <c r="B76" s="252" t="s">
        <v>939</v>
      </c>
      <c r="C76" s="253"/>
    </row>
    <row r="77" spans="1:3" ht="78.75" hidden="1">
      <c r="A77" s="286" t="s">
        <v>940</v>
      </c>
      <c r="B77" s="283" t="s">
        <v>941</v>
      </c>
      <c r="C77" s="245">
        <f>C78</f>
        <v>0</v>
      </c>
    </row>
    <row r="78" spans="1:3" ht="66" hidden="1">
      <c r="A78" s="251" t="s">
        <v>942</v>
      </c>
      <c r="B78" s="252" t="s">
        <v>943</v>
      </c>
      <c r="C78" s="253"/>
    </row>
    <row r="79" spans="1:3" ht="3.75" customHeight="1" hidden="1">
      <c r="A79" s="286" t="s">
        <v>944</v>
      </c>
      <c r="B79" s="283" t="s">
        <v>945</v>
      </c>
      <c r="C79" s="245">
        <f>C80</f>
        <v>0</v>
      </c>
    </row>
    <row r="80" spans="1:3" ht="66" hidden="1">
      <c r="A80" s="251" t="s">
        <v>946</v>
      </c>
      <c r="B80" s="252" t="s">
        <v>947</v>
      </c>
      <c r="C80" s="253">
        <f>C81</f>
        <v>0</v>
      </c>
    </row>
    <row r="81" spans="1:3" ht="52.5" hidden="1">
      <c r="A81" s="251" t="s">
        <v>948</v>
      </c>
      <c r="B81" s="252" t="s">
        <v>949</v>
      </c>
      <c r="C81" s="253"/>
    </row>
    <row r="82" spans="1:3" ht="16.5" customHeight="1">
      <c r="A82" s="246" t="s">
        <v>950</v>
      </c>
      <c r="B82" s="247" t="s">
        <v>951</v>
      </c>
      <c r="C82" s="245">
        <f>C83</f>
        <v>186120</v>
      </c>
    </row>
    <row r="83" spans="1:3" ht="15.75" customHeight="1">
      <c r="A83" s="251" t="s">
        <v>952</v>
      </c>
      <c r="B83" s="272" t="s">
        <v>953</v>
      </c>
      <c r="C83" s="245">
        <f>SUM(C84:C87)</f>
        <v>186120</v>
      </c>
    </row>
    <row r="84" spans="1:3" ht="24.75" customHeight="1">
      <c r="A84" s="251" t="s">
        <v>954</v>
      </c>
      <c r="B84" s="266" t="s">
        <v>955</v>
      </c>
      <c r="C84" s="253">
        <f>180600-50000</f>
        <v>130600</v>
      </c>
    </row>
    <row r="85" spans="1:3" ht="26.25" hidden="1">
      <c r="A85" s="251" t="s">
        <v>956</v>
      </c>
      <c r="B85" s="266" t="s">
        <v>957</v>
      </c>
      <c r="C85" s="253"/>
    </row>
    <row r="86" spans="1:3" ht="15" customHeight="1">
      <c r="A86" s="251" t="s">
        <v>958</v>
      </c>
      <c r="B86" s="266" t="s">
        <v>957</v>
      </c>
      <c r="C86" s="253">
        <f>1980+50000</f>
        <v>51980</v>
      </c>
    </row>
    <row r="87" spans="1:3" s="288" customFormat="1" ht="14.25">
      <c r="A87" s="246" t="s">
        <v>959</v>
      </c>
      <c r="B87" s="287" t="s">
        <v>960</v>
      </c>
      <c r="C87" s="245">
        <f>C88+C89</f>
        <v>3540</v>
      </c>
    </row>
    <row r="88" spans="1:3" s="288" customFormat="1" ht="13.5" customHeight="1">
      <c r="A88" s="254" t="s">
        <v>961</v>
      </c>
      <c r="B88" s="289" t="s">
        <v>962</v>
      </c>
      <c r="C88" s="253">
        <v>3540</v>
      </c>
    </row>
    <row r="89" spans="1:3" s="276" customFormat="1" ht="15" customHeight="1" hidden="1">
      <c r="A89" s="254" t="s">
        <v>963</v>
      </c>
      <c r="B89" s="290" t="s">
        <v>964</v>
      </c>
      <c r="C89" s="255"/>
    </row>
    <row r="90" spans="1:3" ht="22.5" customHeight="1">
      <c r="A90" s="246" t="s">
        <v>965</v>
      </c>
      <c r="B90" s="291" t="s">
        <v>966</v>
      </c>
      <c r="C90" s="245">
        <f>C91</f>
        <v>8759084</v>
      </c>
    </row>
    <row r="91" spans="1:3" ht="15.75" customHeight="1">
      <c r="A91" s="246" t="s">
        <v>967</v>
      </c>
      <c r="B91" s="292" t="s">
        <v>968</v>
      </c>
      <c r="C91" s="245">
        <f>C92</f>
        <v>8759084</v>
      </c>
    </row>
    <row r="92" spans="1:3" ht="24.75" customHeight="1">
      <c r="A92" s="251" t="s">
        <v>969</v>
      </c>
      <c r="B92" s="264" t="s">
        <v>970</v>
      </c>
      <c r="C92" s="255">
        <f>8563084+196000</f>
        <v>8759084</v>
      </c>
    </row>
    <row r="93" spans="1:3" ht="24" customHeight="1">
      <c r="A93" s="246" t="s">
        <v>971</v>
      </c>
      <c r="B93" s="257" t="s">
        <v>972</v>
      </c>
      <c r="C93" s="245">
        <f>C94+C96+C101+C102+C105+C107</f>
        <v>55000</v>
      </c>
    </row>
    <row r="94" spans="1:3" ht="14.25" hidden="1">
      <c r="A94" s="282" t="s">
        <v>973</v>
      </c>
      <c r="B94" s="283" t="s">
        <v>974</v>
      </c>
      <c r="C94" s="245">
        <f>C95</f>
        <v>0</v>
      </c>
    </row>
    <row r="95" spans="1:3" ht="26.25" hidden="1">
      <c r="A95" s="284" t="s">
        <v>975</v>
      </c>
      <c r="B95" s="252" t="s">
        <v>976</v>
      </c>
      <c r="C95" s="253"/>
    </row>
    <row r="96" spans="1:3" ht="66" hidden="1">
      <c r="A96" s="282" t="s">
        <v>977</v>
      </c>
      <c r="B96" s="283" t="s">
        <v>978</v>
      </c>
      <c r="C96" s="245">
        <f>C97+C98+C99+C100</f>
        <v>0</v>
      </c>
    </row>
    <row r="97" spans="1:3" ht="66" hidden="1">
      <c r="A97" s="284" t="s">
        <v>979</v>
      </c>
      <c r="B97" s="252" t="s">
        <v>980</v>
      </c>
      <c r="C97" s="253"/>
    </row>
    <row r="98" spans="1:3" ht="66" hidden="1">
      <c r="A98" s="284" t="s">
        <v>981</v>
      </c>
      <c r="B98" s="252" t="s">
        <v>982</v>
      </c>
      <c r="C98" s="253"/>
    </row>
    <row r="99" spans="1:3" ht="66" hidden="1">
      <c r="A99" s="284" t="s">
        <v>983</v>
      </c>
      <c r="B99" s="252" t="s">
        <v>984</v>
      </c>
      <c r="C99" s="253"/>
    </row>
    <row r="100" spans="1:3" ht="66" hidden="1">
      <c r="A100" s="284" t="s">
        <v>985</v>
      </c>
      <c r="B100" s="252" t="s">
        <v>986</v>
      </c>
      <c r="C100" s="253"/>
    </row>
    <row r="101" spans="1:3" ht="39" hidden="1">
      <c r="A101" s="282" t="s">
        <v>987</v>
      </c>
      <c r="B101" s="283" t="s">
        <v>988</v>
      </c>
      <c r="C101" s="245">
        <f>C103</f>
        <v>0</v>
      </c>
    </row>
    <row r="102" spans="1:3" ht="39" hidden="1">
      <c r="A102" s="282" t="s">
        <v>989</v>
      </c>
      <c r="B102" s="283" t="s">
        <v>990</v>
      </c>
      <c r="C102" s="245">
        <f>C104</f>
        <v>0</v>
      </c>
    </row>
    <row r="103" spans="1:3" ht="0.75" customHeight="1" hidden="1">
      <c r="A103" s="284" t="s">
        <v>991</v>
      </c>
      <c r="B103" s="252" t="s">
        <v>992</v>
      </c>
      <c r="C103" s="253"/>
    </row>
    <row r="104" spans="1:3" ht="39" hidden="1">
      <c r="A104" s="284" t="s">
        <v>993</v>
      </c>
      <c r="B104" s="252" t="s">
        <v>994</v>
      </c>
      <c r="C104" s="253"/>
    </row>
    <row r="105" spans="1:3" ht="14.25" hidden="1">
      <c r="A105" s="282" t="s">
        <v>995</v>
      </c>
      <c r="B105" s="283" t="s">
        <v>996</v>
      </c>
      <c r="C105" s="253">
        <f>C106</f>
        <v>0</v>
      </c>
    </row>
    <row r="106" spans="1:3" ht="26.25" hidden="1">
      <c r="A106" s="284" t="s">
        <v>997</v>
      </c>
      <c r="B106" s="252" t="s">
        <v>998</v>
      </c>
      <c r="C106" s="253"/>
    </row>
    <row r="107" spans="1:3" ht="26.25" customHeight="1">
      <c r="A107" s="246" t="s">
        <v>999</v>
      </c>
      <c r="B107" s="283" t="s">
        <v>1000</v>
      </c>
      <c r="C107" s="245">
        <f>C108+C111</f>
        <v>55000</v>
      </c>
    </row>
    <row r="108" spans="1:3" ht="26.25" customHeight="1">
      <c r="A108" s="246" t="s">
        <v>1001</v>
      </c>
      <c r="B108" s="283" t="s">
        <v>1002</v>
      </c>
      <c r="C108" s="245">
        <f>C109+C110</f>
        <v>55000</v>
      </c>
    </row>
    <row r="109" spans="1:3" ht="35.25" customHeight="1">
      <c r="A109" s="251" t="s">
        <v>1003</v>
      </c>
      <c r="B109" s="293" t="s">
        <v>1004</v>
      </c>
      <c r="C109" s="253">
        <f>2000+7000+16000</f>
        <v>25000</v>
      </c>
    </row>
    <row r="110" spans="1:3" ht="36" customHeight="1">
      <c r="A110" s="251" t="s">
        <v>1005</v>
      </c>
      <c r="B110" s="294" t="s">
        <v>1006</v>
      </c>
      <c r="C110" s="253">
        <f>2000+3000+25000</f>
        <v>30000</v>
      </c>
    </row>
    <row r="111" spans="1:3" ht="39" hidden="1">
      <c r="A111" s="295" t="s">
        <v>1007</v>
      </c>
      <c r="B111" s="296" t="s">
        <v>1008</v>
      </c>
      <c r="C111" s="253">
        <f>C112</f>
        <v>0</v>
      </c>
    </row>
    <row r="112" spans="1:3" ht="39" hidden="1">
      <c r="A112" s="297" t="s">
        <v>1009</v>
      </c>
      <c r="B112" s="262" t="s">
        <v>1010</v>
      </c>
      <c r="C112" s="253"/>
    </row>
    <row r="113" spans="1:3" ht="14.25" hidden="1">
      <c r="A113" s="246" t="s">
        <v>1011</v>
      </c>
      <c r="B113" s="247" t="s">
        <v>1012</v>
      </c>
      <c r="C113" s="245">
        <f>C114</f>
        <v>0</v>
      </c>
    </row>
    <row r="114" spans="1:3" ht="26.25" hidden="1">
      <c r="A114" s="246" t="s">
        <v>1013</v>
      </c>
      <c r="B114" s="283" t="s">
        <v>1014</v>
      </c>
      <c r="C114" s="245">
        <f>C115</f>
        <v>0</v>
      </c>
    </row>
    <row r="115" spans="1:3" ht="26.25" hidden="1">
      <c r="A115" s="251" t="s">
        <v>1015</v>
      </c>
      <c r="B115" s="252" t="s">
        <v>1016</v>
      </c>
      <c r="C115" s="253"/>
    </row>
    <row r="116" spans="1:3" ht="21" customHeight="1">
      <c r="A116" s="246" t="s">
        <v>1017</v>
      </c>
      <c r="B116" s="247" t="s">
        <v>1018</v>
      </c>
      <c r="C116" s="245">
        <f>C117+C134+C137</f>
        <v>150000</v>
      </c>
    </row>
    <row r="117" spans="1:3" ht="24">
      <c r="A117" s="246" t="s">
        <v>1019</v>
      </c>
      <c r="B117" s="298" t="s">
        <v>1020</v>
      </c>
      <c r="C117" s="245">
        <f>C118+C120+C126+C132+C124+C128+C130+C122</f>
        <v>30500</v>
      </c>
    </row>
    <row r="118" spans="1:3" ht="36.75" customHeight="1">
      <c r="A118" s="246" t="s">
        <v>1021</v>
      </c>
      <c r="B118" s="299" t="s">
        <v>1022</v>
      </c>
      <c r="C118" s="259">
        <f>C119</f>
        <v>500</v>
      </c>
    </row>
    <row r="119" spans="1:3" ht="48">
      <c r="A119" s="300" t="s">
        <v>1023</v>
      </c>
      <c r="B119" s="301" t="s">
        <v>1024</v>
      </c>
      <c r="C119" s="253">
        <f>1000-500</f>
        <v>500</v>
      </c>
    </row>
    <row r="120" spans="1:3" ht="48" customHeight="1">
      <c r="A120" s="246" t="s">
        <v>1025</v>
      </c>
      <c r="B120" s="299" t="s">
        <v>1026</v>
      </c>
      <c r="C120" s="245">
        <f>C121</f>
        <v>3000</v>
      </c>
    </row>
    <row r="121" spans="1:3" ht="60.75" customHeight="1">
      <c r="A121" s="300" t="s">
        <v>1027</v>
      </c>
      <c r="B121" s="302" t="s">
        <v>1028</v>
      </c>
      <c r="C121" s="255">
        <f>2000+1000</f>
        <v>3000</v>
      </c>
    </row>
    <row r="122" spans="1:3" ht="36" customHeight="1">
      <c r="A122" s="303" t="s">
        <v>1029</v>
      </c>
      <c r="B122" s="299" t="s">
        <v>1030</v>
      </c>
      <c r="C122" s="265">
        <f>C123</f>
        <v>2500</v>
      </c>
    </row>
    <row r="123" spans="1:3" ht="49.5" customHeight="1">
      <c r="A123" s="304" t="s">
        <v>1031</v>
      </c>
      <c r="B123" s="302" t="s">
        <v>1032</v>
      </c>
      <c r="C123" s="255">
        <v>2500</v>
      </c>
    </row>
    <row r="124" spans="1:3" ht="45">
      <c r="A124" s="246" t="s">
        <v>1033</v>
      </c>
      <c r="B124" s="299" t="s">
        <v>1034</v>
      </c>
      <c r="C124" s="245">
        <f>C125</f>
        <v>5000</v>
      </c>
    </row>
    <row r="125" spans="1:3" ht="60">
      <c r="A125" s="300" t="s">
        <v>1035</v>
      </c>
      <c r="B125" s="302" t="s">
        <v>1036</v>
      </c>
      <c r="C125" s="253">
        <f>1000+4000</f>
        <v>5000</v>
      </c>
    </row>
    <row r="126" spans="1:3" ht="45">
      <c r="A126" s="246" t="s">
        <v>1037</v>
      </c>
      <c r="B126" s="299" t="s">
        <v>1038</v>
      </c>
      <c r="C126" s="245">
        <f>C127</f>
        <v>1500</v>
      </c>
    </row>
    <row r="127" spans="1:3" ht="60">
      <c r="A127" s="300" t="s">
        <v>1039</v>
      </c>
      <c r="B127" s="302" t="s">
        <v>1040</v>
      </c>
      <c r="C127" s="253">
        <f>1000+500</f>
        <v>1500</v>
      </c>
    </row>
    <row r="128" spans="1:3" s="305" customFormat="1" ht="45.75">
      <c r="A128" s="303" t="s">
        <v>1041</v>
      </c>
      <c r="B128" s="298" t="s">
        <v>1042</v>
      </c>
      <c r="C128" s="259">
        <f>C129</f>
        <v>1000</v>
      </c>
    </row>
    <row r="129" spans="1:3" ht="72">
      <c r="A129" s="304" t="s">
        <v>1043</v>
      </c>
      <c r="B129" s="301" t="s">
        <v>1044</v>
      </c>
      <c r="C129" s="253">
        <v>1000</v>
      </c>
    </row>
    <row r="130" spans="1:3" s="306" customFormat="1" ht="35.25">
      <c r="A130" s="303" t="s">
        <v>1045</v>
      </c>
      <c r="B130" s="298" t="s">
        <v>1046</v>
      </c>
      <c r="C130" s="245">
        <f>C131</f>
        <v>8500</v>
      </c>
    </row>
    <row r="131" spans="1:3" ht="48">
      <c r="A131" s="307" t="s">
        <v>1047</v>
      </c>
      <c r="B131" s="302" t="s">
        <v>1048</v>
      </c>
      <c r="C131" s="253">
        <v>8500</v>
      </c>
    </row>
    <row r="132" spans="1:3" s="227" customFormat="1" ht="45">
      <c r="A132" s="246" t="s">
        <v>1049</v>
      </c>
      <c r="B132" s="299" t="s">
        <v>1050</v>
      </c>
      <c r="C132" s="245">
        <f>C133</f>
        <v>8500</v>
      </c>
    </row>
    <row r="133" spans="1:3" ht="60">
      <c r="A133" s="300" t="s">
        <v>1051</v>
      </c>
      <c r="B133" s="302" t="s">
        <v>1052</v>
      </c>
      <c r="C133" s="253">
        <f>5000+3500</f>
        <v>8500</v>
      </c>
    </row>
    <row r="134" spans="1:3" ht="68.25">
      <c r="A134" s="246" t="s">
        <v>1053</v>
      </c>
      <c r="B134" s="299" t="s">
        <v>1054</v>
      </c>
      <c r="C134" s="265">
        <f>C135</f>
        <v>6000</v>
      </c>
    </row>
    <row r="135" spans="1:3" ht="57">
      <c r="A135" s="246" t="s">
        <v>1055</v>
      </c>
      <c r="B135" s="299" t="s">
        <v>1056</v>
      </c>
      <c r="C135" s="245">
        <f>C136</f>
        <v>6000</v>
      </c>
    </row>
    <row r="136" spans="1:3" ht="48">
      <c r="A136" s="300" t="s">
        <v>1057</v>
      </c>
      <c r="B136" s="302" t="s">
        <v>1058</v>
      </c>
      <c r="C136" s="253">
        <f>6000</f>
        <v>6000</v>
      </c>
    </row>
    <row r="137" spans="1:3" s="305" customFormat="1" ht="17.25" customHeight="1">
      <c r="A137" s="248" t="s">
        <v>1059</v>
      </c>
      <c r="B137" s="298" t="s">
        <v>1060</v>
      </c>
      <c r="C137" s="308">
        <f>C138</f>
        <v>113500</v>
      </c>
    </row>
    <row r="138" spans="1:3" s="305" customFormat="1" ht="45">
      <c r="A138" s="246" t="s">
        <v>1061</v>
      </c>
      <c r="B138" s="299" t="s">
        <v>1062</v>
      </c>
      <c r="C138" s="259">
        <f>C139+C140</f>
        <v>113500</v>
      </c>
    </row>
    <row r="139" spans="1:3" ht="36">
      <c r="A139" s="300" t="s">
        <v>1063</v>
      </c>
      <c r="B139" s="302" t="s">
        <v>1064</v>
      </c>
      <c r="C139" s="253">
        <f>92000+20000</f>
        <v>112000</v>
      </c>
    </row>
    <row r="140" spans="1:3" s="276" customFormat="1" ht="48" customHeight="1">
      <c r="A140" s="300" t="s">
        <v>1065</v>
      </c>
      <c r="B140" s="302" t="s">
        <v>1066</v>
      </c>
      <c r="C140" s="255">
        <f>2000-500</f>
        <v>1500</v>
      </c>
    </row>
    <row r="141" spans="1:3" ht="14.25" hidden="1">
      <c r="A141" s="246"/>
      <c r="B141" s="283"/>
      <c r="C141" s="253"/>
    </row>
    <row r="142" spans="1:3" ht="14.25" hidden="1">
      <c r="A142" s="251"/>
      <c r="B142" s="252"/>
      <c r="C142" s="253"/>
    </row>
    <row r="143" spans="1:3" ht="14.25" hidden="1">
      <c r="A143" s="246"/>
      <c r="B143" s="283"/>
      <c r="C143" s="253"/>
    </row>
    <row r="144" spans="1:3" ht="14.25" hidden="1">
      <c r="A144" s="251"/>
      <c r="B144" s="252"/>
      <c r="C144" s="253"/>
    </row>
    <row r="145" spans="1:3" ht="14.25" hidden="1">
      <c r="A145" s="251"/>
      <c r="B145" s="252"/>
      <c r="C145" s="245"/>
    </row>
    <row r="146" spans="1:3" ht="14.25" hidden="1">
      <c r="A146" s="309"/>
      <c r="B146" s="257"/>
      <c r="C146" s="265"/>
    </row>
    <row r="147" spans="1:3" ht="14.25" customHeight="1" hidden="1">
      <c r="A147" s="256"/>
      <c r="B147" s="283"/>
      <c r="C147" s="265"/>
    </row>
    <row r="148" spans="1:3" ht="14.25" hidden="1">
      <c r="A148" s="310"/>
      <c r="B148" s="252"/>
      <c r="C148" s="253"/>
    </row>
    <row r="149" spans="1:3" ht="14.25" hidden="1">
      <c r="A149" s="251"/>
      <c r="B149" s="252"/>
      <c r="C149" s="253"/>
    </row>
    <row r="150" spans="1:3" ht="14.25" hidden="1">
      <c r="A150" s="246"/>
      <c r="B150" s="283"/>
      <c r="C150" s="245"/>
    </row>
    <row r="151" spans="1:3" ht="14.25" hidden="1">
      <c r="A151" s="251"/>
      <c r="B151" s="252"/>
      <c r="C151" s="253"/>
    </row>
    <row r="152" spans="1:3" ht="14.25" hidden="1">
      <c r="A152" s="311"/>
      <c r="B152" s="312"/>
      <c r="C152" s="245"/>
    </row>
    <row r="153" spans="1:3" ht="14.25" hidden="1">
      <c r="A153" s="313"/>
      <c r="B153" s="262"/>
      <c r="C153" s="253"/>
    </row>
    <row r="154" spans="1:3" ht="14.25" hidden="1">
      <c r="A154" s="314"/>
      <c r="B154" s="315"/>
      <c r="C154" s="316"/>
    </row>
    <row r="155" spans="1:3" ht="14.25" hidden="1">
      <c r="A155" s="317"/>
      <c r="B155" s="318"/>
      <c r="C155" s="253"/>
    </row>
    <row r="156" spans="1:3" s="276" customFormat="1" ht="14.25" hidden="1">
      <c r="A156" s="319"/>
      <c r="B156" s="320"/>
      <c r="C156" s="265"/>
    </row>
    <row r="157" spans="1:3" ht="14.25" hidden="1">
      <c r="A157" s="321"/>
      <c r="B157" s="320"/>
      <c r="C157" s="265"/>
    </row>
    <row r="158" spans="1:3" ht="14.25" hidden="1">
      <c r="A158" s="260"/>
      <c r="B158" s="252"/>
      <c r="C158" s="253"/>
    </row>
    <row r="159" spans="1:3" s="227" customFormat="1" ht="12.75" hidden="1">
      <c r="A159" s="246"/>
      <c r="B159" s="257"/>
      <c r="C159" s="245"/>
    </row>
    <row r="160" spans="1:3" ht="14.25" hidden="1">
      <c r="A160" s="251"/>
      <c r="B160" s="252"/>
      <c r="C160" s="253"/>
    </row>
    <row r="161" spans="1:3" ht="2.25" customHeight="1" hidden="1">
      <c r="A161" s="282" t="s">
        <v>1067</v>
      </c>
      <c r="B161" s="247" t="s">
        <v>1068</v>
      </c>
      <c r="C161" s="259">
        <f>C162</f>
        <v>0</v>
      </c>
    </row>
    <row r="162" spans="1:3" ht="14.25" hidden="1">
      <c r="A162" s="282" t="s">
        <v>1069</v>
      </c>
      <c r="B162" s="296" t="s">
        <v>1070</v>
      </c>
      <c r="C162" s="322">
        <f>C163</f>
        <v>0</v>
      </c>
    </row>
    <row r="163" spans="1:3" ht="26.25" hidden="1">
      <c r="A163" s="251" t="s">
        <v>1071</v>
      </c>
      <c r="B163" s="252" t="s">
        <v>1072</v>
      </c>
      <c r="C163" s="323"/>
    </row>
    <row r="164" spans="1:3" ht="17.25" customHeight="1">
      <c r="A164" s="324" t="s">
        <v>1073</v>
      </c>
      <c r="B164" s="325" t="s">
        <v>1074</v>
      </c>
      <c r="C164" s="326">
        <f>C165+C263+C270+C267</f>
        <v>403923313.11</v>
      </c>
    </row>
    <row r="165" spans="1:3" ht="27" customHeight="1">
      <c r="A165" s="324" t="s">
        <v>1075</v>
      </c>
      <c r="B165" s="327" t="s">
        <v>1076</v>
      </c>
      <c r="C165" s="328">
        <f>C166+C171+C203+C256</f>
        <v>395620792</v>
      </c>
    </row>
    <row r="166" spans="1:3" ht="16.5" customHeight="1">
      <c r="A166" s="329" t="s">
        <v>1077</v>
      </c>
      <c r="B166" s="330" t="s">
        <v>1078</v>
      </c>
      <c r="C166" s="331">
        <f>C167+C169</f>
        <v>9191342</v>
      </c>
    </row>
    <row r="167" spans="1:3" ht="14.25">
      <c r="A167" s="329" t="s">
        <v>1079</v>
      </c>
      <c r="B167" s="332" t="s">
        <v>1080</v>
      </c>
      <c r="C167" s="331">
        <f>C168</f>
        <v>9191342</v>
      </c>
    </row>
    <row r="168" spans="1:3" s="276" customFormat="1" ht="24" customHeight="1">
      <c r="A168" s="333" t="s">
        <v>1081</v>
      </c>
      <c r="B168" s="334" t="s">
        <v>1082</v>
      </c>
      <c r="C168" s="335">
        <v>9191342</v>
      </c>
    </row>
    <row r="169" spans="1:3" ht="26.25" hidden="1">
      <c r="A169" s="329" t="s">
        <v>1083</v>
      </c>
      <c r="B169" s="336" t="s">
        <v>1084</v>
      </c>
      <c r="C169" s="328">
        <f>C170</f>
        <v>0</v>
      </c>
    </row>
    <row r="170" spans="1:3" ht="26.25" hidden="1">
      <c r="A170" s="337" t="s">
        <v>1085</v>
      </c>
      <c r="B170" s="338" t="s">
        <v>1086</v>
      </c>
      <c r="C170" s="335"/>
    </row>
    <row r="171" spans="1:3" ht="26.25">
      <c r="A171" s="246" t="s">
        <v>1087</v>
      </c>
      <c r="B171" s="339" t="s">
        <v>1088</v>
      </c>
      <c r="C171" s="328">
        <f>C190+C172+C174+C178+C176+C186+C182+C184+C180</f>
        <v>39732178</v>
      </c>
    </row>
    <row r="172" spans="1:3" s="227" customFormat="1" ht="0.75" customHeight="1" hidden="1">
      <c r="A172" s="340"/>
      <c r="B172" s="341"/>
      <c r="C172" s="328">
        <f>C173</f>
        <v>0</v>
      </c>
    </row>
    <row r="173" spans="1:3" ht="14.25" hidden="1">
      <c r="A173" s="342"/>
      <c r="B173" s="343"/>
      <c r="C173" s="335"/>
    </row>
    <row r="174" spans="1:3" s="227" customFormat="1" ht="22.5" hidden="1">
      <c r="A174" s="311" t="s">
        <v>1089</v>
      </c>
      <c r="B174" s="344" t="s">
        <v>1090</v>
      </c>
      <c r="C174" s="328">
        <f>C175</f>
        <v>0</v>
      </c>
    </row>
    <row r="175" spans="1:3" ht="33" customHeight="1" hidden="1">
      <c r="A175" s="345" t="s">
        <v>1091</v>
      </c>
      <c r="B175" s="343" t="s">
        <v>1092</v>
      </c>
      <c r="C175" s="335"/>
    </row>
    <row r="176" spans="1:3" ht="22.5" hidden="1">
      <c r="A176" s="346" t="s">
        <v>1093</v>
      </c>
      <c r="B176" s="347" t="s">
        <v>1094</v>
      </c>
      <c r="C176" s="328">
        <f>C177</f>
        <v>0</v>
      </c>
    </row>
    <row r="177" spans="1:3" ht="39" hidden="1">
      <c r="A177" s="348" t="s">
        <v>1095</v>
      </c>
      <c r="B177" s="349" t="s">
        <v>1096</v>
      </c>
      <c r="C177" s="335"/>
    </row>
    <row r="178" spans="1:3" ht="33.75" hidden="1">
      <c r="A178" s="311" t="s">
        <v>1097</v>
      </c>
      <c r="B178" s="344" t="s">
        <v>1098</v>
      </c>
      <c r="C178" s="328">
        <f>C179</f>
        <v>0</v>
      </c>
    </row>
    <row r="179" spans="1:3" ht="36" hidden="1">
      <c r="A179" s="345" t="s">
        <v>1099</v>
      </c>
      <c r="B179" s="350" t="s">
        <v>1100</v>
      </c>
      <c r="C179" s="335"/>
    </row>
    <row r="180" spans="1:3" ht="35.25">
      <c r="A180" s="351" t="s">
        <v>1101</v>
      </c>
      <c r="B180" s="352" t="s">
        <v>1102</v>
      </c>
      <c r="C180" s="353">
        <f>C181</f>
        <v>3351173</v>
      </c>
    </row>
    <row r="181" spans="1:3" ht="36">
      <c r="A181" s="345" t="s">
        <v>1103</v>
      </c>
      <c r="B181" s="354" t="s">
        <v>1104</v>
      </c>
      <c r="C181" s="335">
        <v>3351173</v>
      </c>
    </row>
    <row r="182" spans="1:3" ht="33.75">
      <c r="A182" s="311" t="s">
        <v>1105</v>
      </c>
      <c r="B182" s="355" t="s">
        <v>1106</v>
      </c>
      <c r="C182" s="328">
        <f>C183</f>
        <v>500000</v>
      </c>
    </row>
    <row r="183" spans="1:3" ht="36">
      <c r="A183" s="356" t="s">
        <v>1107</v>
      </c>
      <c r="B183" s="357" t="s">
        <v>1108</v>
      </c>
      <c r="C183" s="358">
        <v>500000</v>
      </c>
    </row>
    <row r="184" spans="1:3" ht="24">
      <c r="A184" s="311" t="s">
        <v>1109</v>
      </c>
      <c r="B184" s="298" t="s">
        <v>1110</v>
      </c>
      <c r="C184" s="328">
        <f>C185</f>
        <v>4813761</v>
      </c>
    </row>
    <row r="185" spans="1:3" ht="27">
      <c r="A185" s="345" t="s">
        <v>1111</v>
      </c>
      <c r="B185" s="359" t="s">
        <v>1112</v>
      </c>
      <c r="C185" s="335">
        <v>4813761</v>
      </c>
    </row>
    <row r="186" spans="1:3" s="288" customFormat="1" ht="33.75" hidden="1">
      <c r="A186" s="311" t="s">
        <v>1113</v>
      </c>
      <c r="B186" s="360" t="s">
        <v>1114</v>
      </c>
      <c r="C186" s="328">
        <f>C187+C188+C189</f>
        <v>0</v>
      </c>
    </row>
    <row r="187" spans="1:3" ht="48" hidden="1">
      <c r="A187" s="345" t="s">
        <v>1115</v>
      </c>
      <c r="B187" s="361" t="s">
        <v>1116</v>
      </c>
      <c r="C187" s="335"/>
    </row>
    <row r="188" spans="1:3" ht="52.5" hidden="1">
      <c r="A188" s="345" t="s">
        <v>1115</v>
      </c>
      <c r="B188" s="362" t="s">
        <v>1117</v>
      </c>
      <c r="C188" s="335"/>
    </row>
    <row r="189" spans="1:3" ht="52.5" hidden="1">
      <c r="A189" s="345" t="s">
        <v>1115</v>
      </c>
      <c r="B189" s="363" t="s">
        <v>1118</v>
      </c>
      <c r="C189" s="335"/>
    </row>
    <row r="190" spans="1:3" ht="21" customHeight="1">
      <c r="A190" s="364" t="s">
        <v>1119</v>
      </c>
      <c r="B190" s="365" t="s">
        <v>1120</v>
      </c>
      <c r="C190" s="328">
        <f>SUM(C191:C202)</f>
        <v>31067244</v>
      </c>
    </row>
    <row r="191" spans="1:3" ht="0.75" customHeight="1" hidden="1">
      <c r="A191" s="366" t="s">
        <v>1121</v>
      </c>
      <c r="B191" s="363"/>
      <c r="C191" s="335"/>
    </row>
    <row r="192" spans="1:3" ht="52.5" customHeight="1" hidden="1">
      <c r="A192" s="366" t="s">
        <v>1121</v>
      </c>
      <c r="B192" s="367"/>
      <c r="C192" s="335"/>
    </row>
    <row r="193" spans="1:3" ht="27" customHeight="1">
      <c r="A193" s="366" t="s">
        <v>1122</v>
      </c>
      <c r="B193" s="368" t="s">
        <v>1123</v>
      </c>
      <c r="C193" s="369">
        <v>7333573</v>
      </c>
    </row>
    <row r="194" spans="1:3" ht="26.25">
      <c r="A194" s="366" t="s">
        <v>1122</v>
      </c>
      <c r="B194" s="368" t="s">
        <v>1124</v>
      </c>
      <c r="C194" s="369">
        <v>9186415</v>
      </c>
    </row>
    <row r="195" spans="1:3" ht="38.25" customHeight="1">
      <c r="A195" s="366" t="s">
        <v>1122</v>
      </c>
      <c r="B195" s="367" t="s">
        <v>1125</v>
      </c>
      <c r="C195" s="369">
        <v>723228</v>
      </c>
    </row>
    <row r="196" spans="1:3" ht="26.25">
      <c r="A196" s="366" t="s">
        <v>1122</v>
      </c>
      <c r="B196" s="368" t="s">
        <v>1126</v>
      </c>
      <c r="C196" s="370">
        <v>1513610</v>
      </c>
    </row>
    <row r="197" spans="1:3" ht="48" customHeight="1">
      <c r="A197" s="366" t="s">
        <v>1122</v>
      </c>
      <c r="B197" s="371" t="s">
        <v>1127</v>
      </c>
      <c r="C197" s="372">
        <v>433348</v>
      </c>
    </row>
    <row r="198" spans="1:3" ht="37.5" customHeight="1">
      <c r="A198" s="366" t="s">
        <v>1122</v>
      </c>
      <c r="B198" s="371" t="s">
        <v>1128</v>
      </c>
      <c r="C198" s="369">
        <v>1025590</v>
      </c>
    </row>
    <row r="199" spans="1:3" ht="39" customHeight="1">
      <c r="A199" s="366" t="s">
        <v>1122</v>
      </c>
      <c r="B199" s="367" t="s">
        <v>1129</v>
      </c>
      <c r="C199" s="369">
        <v>706632</v>
      </c>
    </row>
    <row r="200" spans="1:3" ht="39" customHeight="1" hidden="1">
      <c r="A200" s="366" t="s">
        <v>1122</v>
      </c>
      <c r="B200" s="367" t="s">
        <v>1130</v>
      </c>
      <c r="C200" s="335"/>
    </row>
    <row r="201" spans="1:3" ht="39" customHeight="1" hidden="1">
      <c r="A201" s="366" t="s">
        <v>1122</v>
      </c>
      <c r="B201" s="367" t="s">
        <v>1131</v>
      </c>
      <c r="C201" s="335"/>
    </row>
    <row r="202" spans="1:3" ht="52.5">
      <c r="A202" s="366" t="s">
        <v>1122</v>
      </c>
      <c r="B202" s="367" t="s">
        <v>1132</v>
      </c>
      <c r="C202" s="369">
        <v>10144848</v>
      </c>
    </row>
    <row r="203" spans="1:3" ht="17.25" customHeight="1">
      <c r="A203" s="246" t="s">
        <v>1133</v>
      </c>
      <c r="B203" s="373" t="s">
        <v>1134</v>
      </c>
      <c r="C203" s="328">
        <f>C206+C208+C210+C212+C214+C216+C218+C230+C220+C225+C227+C222+C204</f>
        <v>346314571</v>
      </c>
    </row>
    <row r="204" spans="1:3" ht="36" customHeight="1">
      <c r="A204" s="246" t="s">
        <v>1135</v>
      </c>
      <c r="B204" s="374" t="s">
        <v>1136</v>
      </c>
      <c r="C204" s="375">
        <f>C205</f>
        <v>43900</v>
      </c>
    </row>
    <row r="205" spans="1:3" ht="36">
      <c r="A205" s="254" t="s">
        <v>1137</v>
      </c>
      <c r="B205" s="376" t="s">
        <v>1138</v>
      </c>
      <c r="C205" s="369">
        <v>43900</v>
      </c>
    </row>
    <row r="206" spans="1:3" ht="25.5" customHeight="1">
      <c r="A206" s="246" t="s">
        <v>1139</v>
      </c>
      <c r="B206" s="374" t="s">
        <v>1140</v>
      </c>
      <c r="C206" s="375">
        <f>C207</f>
        <v>9594269</v>
      </c>
    </row>
    <row r="207" spans="1:3" ht="39" customHeight="1">
      <c r="A207" s="254" t="s">
        <v>1141</v>
      </c>
      <c r="B207" s="363" t="s">
        <v>1142</v>
      </c>
      <c r="C207" s="369">
        <v>9594269</v>
      </c>
    </row>
    <row r="208" spans="1:3" ht="33.75">
      <c r="A208" s="377" t="s">
        <v>1143</v>
      </c>
      <c r="B208" s="312" t="s">
        <v>1144</v>
      </c>
      <c r="C208" s="328">
        <f>C209</f>
        <v>500</v>
      </c>
    </row>
    <row r="209" spans="1:3" s="276" customFormat="1" ht="51" customHeight="1">
      <c r="A209" s="378" t="s">
        <v>1145</v>
      </c>
      <c r="B209" s="262" t="s">
        <v>1146</v>
      </c>
      <c r="C209" s="335">
        <v>500</v>
      </c>
    </row>
    <row r="210" spans="1:3" ht="14.25" hidden="1">
      <c r="A210" s="251"/>
      <c r="B210" s="379"/>
      <c r="C210" s="335">
        <f>C211</f>
        <v>0</v>
      </c>
    </row>
    <row r="211" spans="1:3" ht="14.25" hidden="1">
      <c r="A211" s="380"/>
      <c r="B211" s="381"/>
      <c r="C211" s="382"/>
    </row>
    <row r="212" spans="1:3" ht="17.25" customHeight="1">
      <c r="A212" s="246" t="s">
        <v>1147</v>
      </c>
      <c r="B212" s="383" t="s">
        <v>1148</v>
      </c>
      <c r="C212" s="328">
        <f>C213</f>
        <v>1381292</v>
      </c>
    </row>
    <row r="213" spans="1:3" ht="15" customHeight="1">
      <c r="A213" s="384" t="s">
        <v>1149</v>
      </c>
      <c r="B213" s="385" t="s">
        <v>1150</v>
      </c>
      <c r="C213" s="335">
        <v>1381292</v>
      </c>
    </row>
    <row r="214" spans="1:3" ht="26.25" hidden="1">
      <c r="A214" s="251" t="s">
        <v>1151</v>
      </c>
      <c r="B214" s="379" t="s">
        <v>1152</v>
      </c>
      <c r="C214" s="335">
        <f>C215</f>
        <v>0</v>
      </c>
    </row>
    <row r="215" spans="1:3" ht="39" hidden="1">
      <c r="A215" s="251" t="s">
        <v>1153</v>
      </c>
      <c r="B215" s="379" t="s">
        <v>1154</v>
      </c>
      <c r="C215" s="335"/>
    </row>
    <row r="216" spans="1:3" ht="26.25" customHeight="1" hidden="1">
      <c r="A216" s="251" t="s">
        <v>1155</v>
      </c>
      <c r="B216" s="379" t="s">
        <v>1156</v>
      </c>
      <c r="C216" s="335">
        <f>C217</f>
        <v>0</v>
      </c>
    </row>
    <row r="217" spans="1:3" ht="0.75" customHeight="1" hidden="1">
      <c r="A217" s="251" t="s">
        <v>1157</v>
      </c>
      <c r="B217" s="386"/>
      <c r="C217" s="382"/>
    </row>
    <row r="218" spans="1:3" ht="38.25" customHeight="1" hidden="1">
      <c r="A218" s="387"/>
      <c r="B218" s="387"/>
      <c r="C218" s="335">
        <f>C219</f>
        <v>0</v>
      </c>
    </row>
    <row r="219" spans="1:3" ht="41.25" customHeight="1" hidden="1">
      <c r="A219" s="387"/>
      <c r="B219" s="387"/>
      <c r="C219" s="335"/>
    </row>
    <row r="220" spans="1:3" ht="26.25" hidden="1">
      <c r="A220" s="388" t="s">
        <v>1158</v>
      </c>
      <c r="B220" s="252"/>
      <c r="C220" s="335">
        <f>C221</f>
        <v>0</v>
      </c>
    </row>
    <row r="221" spans="1:3" ht="26.25" hidden="1">
      <c r="A221" s="389" t="s">
        <v>1159</v>
      </c>
      <c r="B221" s="390"/>
      <c r="C221" s="382"/>
    </row>
    <row r="222" spans="1:3" ht="132" customHeight="1" hidden="1">
      <c r="A222" s="391" t="s">
        <v>1160</v>
      </c>
      <c r="B222" s="392" t="s">
        <v>1161</v>
      </c>
      <c r="C222" s="335"/>
    </row>
    <row r="223" spans="1:3" ht="105" hidden="1">
      <c r="A223" s="391" t="s">
        <v>1162</v>
      </c>
      <c r="B223" s="392" t="s">
        <v>1163</v>
      </c>
      <c r="C223" s="335"/>
    </row>
    <row r="224" spans="1:3" ht="105" hidden="1">
      <c r="A224" s="391" t="s">
        <v>1162</v>
      </c>
      <c r="B224" s="392" t="s">
        <v>1164</v>
      </c>
      <c r="C224" s="335"/>
    </row>
    <row r="225" spans="1:3" ht="14.25" hidden="1">
      <c r="A225" s="391"/>
      <c r="B225" s="252"/>
      <c r="C225" s="335"/>
    </row>
    <row r="226" spans="1:3" ht="14.25" hidden="1">
      <c r="A226" s="391"/>
      <c r="B226" s="393"/>
      <c r="C226" s="335"/>
    </row>
    <row r="227" spans="1:3" ht="14.25" hidden="1">
      <c r="A227" s="391"/>
      <c r="B227" s="394"/>
      <c r="C227" s="335"/>
    </row>
    <row r="228" spans="1:3" ht="14.25" hidden="1">
      <c r="A228" s="391"/>
      <c r="B228" s="394"/>
      <c r="C228" s="335"/>
    </row>
    <row r="229" spans="1:3" s="396" customFormat="1" ht="15.75" customHeight="1">
      <c r="A229" s="274" t="s">
        <v>1165</v>
      </c>
      <c r="B229" s="395" t="s">
        <v>1166</v>
      </c>
      <c r="C229" s="328">
        <f>C230</f>
        <v>335294610</v>
      </c>
    </row>
    <row r="230" spans="1:3" ht="15.75" customHeight="1">
      <c r="A230" s="274" t="s">
        <v>1167</v>
      </c>
      <c r="B230" s="395" t="s">
        <v>1168</v>
      </c>
      <c r="C230" s="375">
        <f>SUM(C232:C255)</f>
        <v>335294610</v>
      </c>
    </row>
    <row r="231" spans="1:3" ht="13.5" customHeight="1">
      <c r="A231" s="337"/>
      <c r="B231" s="397" t="s">
        <v>1169</v>
      </c>
      <c r="C231" s="335"/>
    </row>
    <row r="232" spans="1:3" ht="38.25" customHeight="1">
      <c r="A232" s="337" t="s">
        <v>1167</v>
      </c>
      <c r="B232" s="398" t="s">
        <v>1170</v>
      </c>
      <c r="C232" s="369">
        <v>917400</v>
      </c>
    </row>
    <row r="233" spans="1:3" ht="50.25" customHeight="1">
      <c r="A233" s="337" t="s">
        <v>1167</v>
      </c>
      <c r="B233" s="376" t="s">
        <v>1171</v>
      </c>
      <c r="C233" s="369">
        <v>216866314</v>
      </c>
    </row>
    <row r="234" spans="1:3" ht="49.5" customHeight="1">
      <c r="A234" s="337" t="s">
        <v>1167</v>
      </c>
      <c r="B234" s="376" t="s">
        <v>1172</v>
      </c>
      <c r="C234" s="369">
        <v>21735670</v>
      </c>
    </row>
    <row r="235" spans="1:3" ht="1.5" customHeight="1" hidden="1">
      <c r="A235" s="337" t="s">
        <v>1173</v>
      </c>
      <c r="B235" s="379"/>
      <c r="C235" s="369"/>
    </row>
    <row r="236" spans="1:3" ht="49.5" customHeight="1">
      <c r="A236" s="337" t="s">
        <v>1167</v>
      </c>
      <c r="B236" s="376" t="s">
        <v>1174</v>
      </c>
      <c r="C236" s="399">
        <v>50718054</v>
      </c>
    </row>
    <row r="237" spans="1:3" ht="48" customHeight="1">
      <c r="A237" s="337" t="s">
        <v>1167</v>
      </c>
      <c r="B237" s="400" t="s">
        <v>1175</v>
      </c>
      <c r="C237" s="369">
        <v>2107714</v>
      </c>
    </row>
    <row r="238" spans="1:3" ht="59.25" customHeight="1">
      <c r="A238" s="337" t="s">
        <v>1167</v>
      </c>
      <c r="B238" s="376" t="s">
        <v>1176</v>
      </c>
      <c r="C238" s="369">
        <v>227584</v>
      </c>
    </row>
    <row r="239" spans="1:3" ht="36.75" customHeight="1">
      <c r="A239" s="337" t="s">
        <v>1167</v>
      </c>
      <c r="B239" s="376" t="s">
        <v>1177</v>
      </c>
      <c r="C239" s="369">
        <v>1665442</v>
      </c>
    </row>
    <row r="240" spans="1:3" ht="36" customHeight="1">
      <c r="A240" s="337" t="s">
        <v>1167</v>
      </c>
      <c r="B240" s="376" t="s">
        <v>1178</v>
      </c>
      <c r="C240" s="369">
        <v>52872</v>
      </c>
    </row>
    <row r="241" spans="1:3" ht="25.5" customHeight="1">
      <c r="A241" s="337" t="s">
        <v>1167</v>
      </c>
      <c r="B241" s="363" t="s">
        <v>1179</v>
      </c>
      <c r="C241" s="369">
        <v>326209</v>
      </c>
    </row>
    <row r="242" spans="1:3" ht="36" customHeight="1">
      <c r="A242" s="337" t="s">
        <v>1167</v>
      </c>
      <c r="B242" s="376" t="s">
        <v>1180</v>
      </c>
      <c r="C242" s="369">
        <v>305800</v>
      </c>
    </row>
    <row r="243" spans="1:3" ht="36.75" customHeight="1">
      <c r="A243" s="337" t="s">
        <v>1167</v>
      </c>
      <c r="B243" s="376" t="s">
        <v>1181</v>
      </c>
      <c r="C243" s="369">
        <v>305800</v>
      </c>
    </row>
    <row r="244" spans="1:3" ht="25.5" customHeight="1">
      <c r="A244" s="337" t="s">
        <v>1167</v>
      </c>
      <c r="B244" s="363" t="s">
        <v>1182</v>
      </c>
      <c r="C244" s="369">
        <v>305800</v>
      </c>
    </row>
    <row r="245" spans="1:3" ht="38.25" customHeight="1">
      <c r="A245" s="337" t="s">
        <v>1167</v>
      </c>
      <c r="B245" s="363" t="s">
        <v>1183</v>
      </c>
      <c r="C245" s="369">
        <v>124300</v>
      </c>
    </row>
    <row r="246" spans="1:3" ht="26.25" customHeight="1">
      <c r="A246" s="337" t="s">
        <v>1167</v>
      </c>
      <c r="B246" s="401" t="s">
        <v>1184</v>
      </c>
      <c r="C246" s="399">
        <v>10034237</v>
      </c>
    </row>
    <row r="247" spans="1:3" ht="26.25" customHeight="1">
      <c r="A247" s="337" t="s">
        <v>1167</v>
      </c>
      <c r="B247" s="402" t="s">
        <v>1185</v>
      </c>
      <c r="C247" s="399">
        <v>1398704</v>
      </c>
    </row>
    <row r="248" spans="1:3" ht="50.25" customHeight="1">
      <c r="A248" s="337" t="s">
        <v>1167</v>
      </c>
      <c r="B248" s="376" t="s">
        <v>1186</v>
      </c>
      <c r="C248" s="369">
        <v>431394</v>
      </c>
    </row>
    <row r="249" spans="1:3" ht="27" customHeight="1">
      <c r="A249" s="337" t="s">
        <v>1167</v>
      </c>
      <c r="B249" s="376" t="s">
        <v>1187</v>
      </c>
      <c r="C249" s="369">
        <v>2140600</v>
      </c>
    </row>
    <row r="250" spans="1:3" ht="37.5" customHeight="1">
      <c r="A250" s="337" t="s">
        <v>1167</v>
      </c>
      <c r="B250" s="376" t="s">
        <v>1188</v>
      </c>
      <c r="C250" s="369">
        <v>396500</v>
      </c>
    </row>
    <row r="251" spans="1:3" ht="40.5" customHeight="1">
      <c r="A251" s="337" t="s">
        <v>1167</v>
      </c>
      <c r="B251" s="363" t="s">
        <v>1189</v>
      </c>
      <c r="C251" s="369">
        <v>13250277</v>
      </c>
    </row>
    <row r="252" spans="1:3" ht="51.75" customHeight="1">
      <c r="A252" s="337" t="s">
        <v>1167</v>
      </c>
      <c r="B252" s="363" t="s">
        <v>1190</v>
      </c>
      <c r="C252" s="369">
        <v>66251</v>
      </c>
    </row>
    <row r="253" spans="1:3" ht="38.25" customHeight="1">
      <c r="A253" s="337" t="s">
        <v>1167</v>
      </c>
      <c r="B253" s="363" t="s">
        <v>1191</v>
      </c>
      <c r="C253" s="369">
        <v>385299</v>
      </c>
    </row>
    <row r="254" spans="1:3" ht="38.25" customHeight="1">
      <c r="A254" s="337" t="s">
        <v>1167</v>
      </c>
      <c r="B254" s="402" t="s">
        <v>1192</v>
      </c>
      <c r="C254" s="369">
        <v>30580</v>
      </c>
    </row>
    <row r="255" spans="1:3" ht="51" customHeight="1">
      <c r="A255" s="337" t="s">
        <v>1167</v>
      </c>
      <c r="B255" s="363" t="s">
        <v>1193</v>
      </c>
      <c r="C255" s="369">
        <v>11501809</v>
      </c>
    </row>
    <row r="256" spans="1:3" s="227" customFormat="1" ht="18" customHeight="1">
      <c r="A256" s="403" t="s">
        <v>1194</v>
      </c>
      <c r="B256" s="404" t="s">
        <v>712</v>
      </c>
      <c r="C256" s="328">
        <f>C259+C261+C257</f>
        <v>382701</v>
      </c>
    </row>
    <row r="257" spans="1:3" s="227" customFormat="1" ht="38.25" customHeight="1">
      <c r="A257" s="405" t="s">
        <v>1195</v>
      </c>
      <c r="B257" s="406" t="s">
        <v>1196</v>
      </c>
      <c r="C257" s="375">
        <f>C258</f>
        <v>332701</v>
      </c>
    </row>
    <row r="258" spans="1:3" s="227" customFormat="1" ht="40.5" customHeight="1">
      <c r="A258" s="407" t="s">
        <v>1197</v>
      </c>
      <c r="B258" s="408" t="s">
        <v>1198</v>
      </c>
      <c r="C258" s="369">
        <v>332701</v>
      </c>
    </row>
    <row r="259" spans="1:3" ht="33.75" hidden="1">
      <c r="A259" s="311" t="s">
        <v>1199</v>
      </c>
      <c r="B259" s="312" t="s">
        <v>1200</v>
      </c>
      <c r="C259" s="409">
        <f>C260</f>
        <v>0</v>
      </c>
    </row>
    <row r="260" spans="1:3" ht="39.75" hidden="1">
      <c r="A260" s="345" t="s">
        <v>1201</v>
      </c>
      <c r="B260" s="410" t="s">
        <v>1202</v>
      </c>
      <c r="C260" s="411"/>
    </row>
    <row r="261" spans="1:3" s="288" customFormat="1" ht="24">
      <c r="A261" s="311" t="s">
        <v>1203</v>
      </c>
      <c r="B261" s="412" t="s">
        <v>1204</v>
      </c>
      <c r="C261" s="409">
        <f>C262</f>
        <v>50000</v>
      </c>
    </row>
    <row r="262" spans="1:3" ht="26.25">
      <c r="A262" s="345" t="s">
        <v>1205</v>
      </c>
      <c r="B262" s="408" t="s">
        <v>1206</v>
      </c>
      <c r="C262" s="335">
        <v>50000</v>
      </c>
    </row>
    <row r="263" spans="1:3" ht="18" customHeight="1">
      <c r="A263" s="413" t="s">
        <v>1207</v>
      </c>
      <c r="B263" s="414" t="s">
        <v>1208</v>
      </c>
      <c r="C263" s="415">
        <f>C264</f>
        <v>8509077</v>
      </c>
    </row>
    <row r="264" spans="1:3" ht="17.25" customHeight="1">
      <c r="A264" s="416" t="s">
        <v>1209</v>
      </c>
      <c r="B264" s="417" t="s">
        <v>1210</v>
      </c>
      <c r="C264" s="418">
        <f>C266+C265</f>
        <v>8509077</v>
      </c>
    </row>
    <row r="265" spans="1:3" ht="36.75" customHeight="1">
      <c r="A265" s="419" t="s">
        <v>1211</v>
      </c>
      <c r="B265" s="420" t="s">
        <v>1212</v>
      </c>
      <c r="C265" s="421">
        <v>6712247</v>
      </c>
    </row>
    <row r="266" spans="1:3" s="227" customFormat="1" ht="24" customHeight="1">
      <c r="A266" s="422" t="s">
        <v>1213</v>
      </c>
      <c r="B266" s="273" t="s">
        <v>1210</v>
      </c>
      <c r="C266" s="423">
        <v>1796830</v>
      </c>
    </row>
    <row r="267" spans="1:3" s="227" customFormat="1" ht="1.5" customHeight="1" hidden="1">
      <c r="A267" s="424" t="s">
        <v>1214</v>
      </c>
      <c r="B267" s="425" t="s">
        <v>1215</v>
      </c>
      <c r="C267" s="426">
        <f>C268</f>
        <v>0</v>
      </c>
    </row>
    <row r="268" spans="1:3" s="227" customFormat="1" ht="3.75" customHeight="1" hidden="1">
      <c r="A268" s="427" t="s">
        <v>1216</v>
      </c>
      <c r="B268" s="428" t="s">
        <v>1217</v>
      </c>
      <c r="C268" s="335">
        <f>C269</f>
        <v>0</v>
      </c>
    </row>
    <row r="269" spans="1:3" s="227" customFormat="1" ht="36" hidden="1">
      <c r="A269" s="427" t="s">
        <v>1218</v>
      </c>
      <c r="B269" s="428" t="s">
        <v>1219</v>
      </c>
      <c r="C269" s="335"/>
    </row>
    <row r="270" spans="1:3" s="227" customFormat="1" ht="33.75">
      <c r="A270" s="429" t="s">
        <v>1220</v>
      </c>
      <c r="B270" s="430" t="s">
        <v>1221</v>
      </c>
      <c r="C270" s="431">
        <f>C271</f>
        <v>-206555.89</v>
      </c>
    </row>
    <row r="271" spans="1:3" s="227" customFormat="1" ht="27.75" customHeight="1">
      <c r="A271" s="432" t="s">
        <v>1222</v>
      </c>
      <c r="B271" s="433" t="s">
        <v>1223</v>
      </c>
      <c r="C271" s="434">
        <f>C272</f>
        <v>-206555.89</v>
      </c>
    </row>
    <row r="272" spans="1:3" s="227" customFormat="1" ht="36" customHeight="1">
      <c r="A272" s="432" t="s">
        <v>1224</v>
      </c>
      <c r="B272" s="433" t="s">
        <v>1225</v>
      </c>
      <c r="C272" s="434">
        <v>-206555.89</v>
      </c>
    </row>
  </sheetData>
  <sheetProtection/>
  <mergeCells count="14">
    <mergeCell ref="A14:C14"/>
    <mergeCell ref="A19:B19"/>
    <mergeCell ref="B7:C7"/>
    <mergeCell ref="B8:C8"/>
    <mergeCell ref="B9:C9"/>
    <mergeCell ref="A10:C10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1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64.8515625" style="5" customWidth="1"/>
    <col min="2" max="2" width="4.8515625" style="10" customWidth="1"/>
    <col min="3" max="3" width="5.00390625" style="10" customWidth="1"/>
    <col min="4" max="4" width="15.421875" style="10" customWidth="1"/>
    <col min="5" max="5" width="7.28125" style="104" customWidth="1"/>
    <col min="6" max="6" width="15.8515625" style="105" customWidth="1"/>
    <col min="7" max="7" width="9.140625" style="1" customWidth="1"/>
    <col min="8" max="8" width="22.8515625" style="1" customWidth="1"/>
    <col min="9" max="9" width="16.140625" style="1" customWidth="1"/>
    <col min="10" max="10" width="13.140625" style="1" bestFit="1" customWidth="1"/>
    <col min="11" max="11" width="20.00390625" style="1" customWidth="1"/>
    <col min="12" max="16384" width="9.140625" style="1" customWidth="1"/>
  </cols>
  <sheetData>
    <row r="1" spans="1:6" ht="12.75">
      <c r="A1" s="1"/>
      <c r="B1" s="2" t="s">
        <v>0</v>
      </c>
      <c r="C1" s="2"/>
      <c r="D1" s="2"/>
      <c r="E1" s="3"/>
      <c r="F1" s="4"/>
    </row>
    <row r="2" spans="2:6" ht="15">
      <c r="B2" s="6" t="s">
        <v>665</v>
      </c>
      <c r="C2" s="2"/>
      <c r="D2" s="2"/>
      <c r="E2" s="3"/>
      <c r="F2" s="7"/>
    </row>
    <row r="3" spans="2:6" ht="15">
      <c r="B3" s="8" t="s">
        <v>2</v>
      </c>
      <c r="C3" s="8"/>
      <c r="D3" s="8"/>
      <c r="E3" s="9"/>
      <c r="F3" s="7"/>
    </row>
    <row r="4" spans="2:6" ht="13.5" customHeight="1">
      <c r="B4" s="472" t="s">
        <v>679</v>
      </c>
      <c r="C4" s="472"/>
      <c r="D4" s="472"/>
      <c r="E4" s="472"/>
      <c r="F4" s="472"/>
    </row>
    <row r="5" spans="2:6" ht="39" customHeight="1">
      <c r="B5" s="473" t="s">
        <v>668</v>
      </c>
      <c r="C5" s="473"/>
      <c r="D5" s="473"/>
      <c r="E5" s="473"/>
      <c r="F5" s="473"/>
    </row>
    <row r="6" spans="2:6" ht="42.75" customHeight="1">
      <c r="B6" s="474" t="s">
        <v>1228</v>
      </c>
      <c r="C6" s="474"/>
      <c r="D6" s="474"/>
      <c r="E6" s="474"/>
      <c r="F6" s="474"/>
    </row>
    <row r="7" spans="2:6" ht="22.5" customHeight="1" hidden="1">
      <c r="B7" s="204"/>
      <c r="C7" s="204"/>
      <c r="D7" s="204"/>
      <c r="E7" s="204"/>
      <c r="F7" s="204"/>
    </row>
    <row r="8" spans="1:8" ht="51.75" customHeight="1">
      <c r="A8" s="475" t="s">
        <v>666</v>
      </c>
      <c r="B8" s="475"/>
      <c r="C8" s="475"/>
      <c r="D8" s="475"/>
      <c r="E8" s="475"/>
      <c r="F8" s="475"/>
      <c r="H8" s="28"/>
    </row>
    <row r="9" spans="5:6" ht="15.75" thickBot="1">
      <c r="E9" s="11"/>
      <c r="F9" s="12" t="s">
        <v>3</v>
      </c>
    </row>
    <row r="10" spans="1:11" ht="15">
      <c r="A10" s="476" t="s">
        <v>4</v>
      </c>
      <c r="B10" s="478" t="s">
        <v>5</v>
      </c>
      <c r="C10" s="478" t="s">
        <v>6</v>
      </c>
      <c r="D10" s="480" t="s">
        <v>7</v>
      </c>
      <c r="E10" s="480" t="s">
        <v>8</v>
      </c>
      <c r="F10" s="482" t="s">
        <v>9</v>
      </c>
      <c r="K10" s="13"/>
    </row>
    <row r="11" spans="1:6" ht="13.5" thickBot="1">
      <c r="A11" s="477"/>
      <c r="B11" s="479"/>
      <c r="C11" s="479"/>
      <c r="D11" s="481"/>
      <c r="E11" s="481"/>
      <c r="F11" s="483"/>
    </row>
    <row r="12" spans="1:6" s="18" customFormat="1" ht="12.75">
      <c r="A12" s="14">
        <v>1</v>
      </c>
      <c r="B12" s="15" t="s">
        <v>10</v>
      </c>
      <c r="C12" s="15" t="s">
        <v>11</v>
      </c>
      <c r="D12" s="16" t="s">
        <v>12</v>
      </c>
      <c r="E12" s="16" t="s">
        <v>13</v>
      </c>
      <c r="F12" s="17">
        <v>6</v>
      </c>
    </row>
    <row r="13" spans="1:11" s="23" customFormat="1" ht="21">
      <c r="A13" s="19" t="s">
        <v>14</v>
      </c>
      <c r="B13" s="20"/>
      <c r="C13" s="20"/>
      <c r="D13" s="20"/>
      <c r="E13" s="21"/>
      <c r="F13" s="22">
        <f>F14+F199+F277+F325+F466+F510+F582+F596+F603+F504+F180+F318</f>
        <v>669717633.09</v>
      </c>
      <c r="H13" s="24"/>
      <c r="J13" s="24"/>
      <c r="K13" s="25"/>
    </row>
    <row r="14" spans="1:8" ht="13.5">
      <c r="A14" s="26" t="s">
        <v>15</v>
      </c>
      <c r="B14" s="20" t="s">
        <v>16</v>
      </c>
      <c r="C14" s="20"/>
      <c r="D14" s="20"/>
      <c r="E14" s="21"/>
      <c r="F14" s="22">
        <f>F15+F20+F29+F91+F96+F79+F74+F86</f>
        <v>53236765.81</v>
      </c>
      <c r="H14" s="106"/>
    </row>
    <row r="15" spans="1:8" ht="26.25">
      <c r="A15" s="27" t="s">
        <v>17</v>
      </c>
      <c r="B15" s="20" t="s">
        <v>16</v>
      </c>
      <c r="C15" s="20" t="s">
        <v>18</v>
      </c>
      <c r="D15" s="20"/>
      <c r="E15" s="21"/>
      <c r="F15" s="22">
        <f>F17</f>
        <v>1561000</v>
      </c>
      <c r="H15" s="28"/>
    </row>
    <row r="16" spans="1:9" ht="13.5">
      <c r="A16" s="29" t="s">
        <v>19</v>
      </c>
      <c r="B16" s="20" t="s">
        <v>16</v>
      </c>
      <c r="C16" s="20" t="s">
        <v>18</v>
      </c>
      <c r="D16" s="30" t="s">
        <v>20</v>
      </c>
      <c r="E16" s="21"/>
      <c r="F16" s="22">
        <f>F17</f>
        <v>1561000</v>
      </c>
      <c r="H16" s="106"/>
      <c r="I16" s="28"/>
    </row>
    <row r="17" spans="1:6" ht="13.5">
      <c r="A17" s="26" t="s">
        <v>21</v>
      </c>
      <c r="B17" s="20" t="s">
        <v>16</v>
      </c>
      <c r="C17" s="20" t="s">
        <v>18</v>
      </c>
      <c r="D17" s="30" t="s">
        <v>22</v>
      </c>
      <c r="E17" s="21"/>
      <c r="F17" s="22">
        <f>F19</f>
        <v>1561000</v>
      </c>
    </row>
    <row r="18" spans="1:6" ht="26.25">
      <c r="A18" s="27" t="s">
        <v>23</v>
      </c>
      <c r="B18" s="20" t="s">
        <v>16</v>
      </c>
      <c r="C18" s="20" t="s">
        <v>18</v>
      </c>
      <c r="D18" s="30" t="s">
        <v>24</v>
      </c>
      <c r="E18" s="21"/>
      <c r="F18" s="22">
        <f>F19</f>
        <v>1561000</v>
      </c>
    </row>
    <row r="19" spans="1:8" ht="39">
      <c r="A19" s="29" t="s">
        <v>25</v>
      </c>
      <c r="B19" s="20" t="s">
        <v>16</v>
      </c>
      <c r="C19" s="20" t="s">
        <v>18</v>
      </c>
      <c r="D19" s="30" t="s">
        <v>24</v>
      </c>
      <c r="E19" s="31" t="s">
        <v>26</v>
      </c>
      <c r="F19" s="22">
        <v>1561000</v>
      </c>
      <c r="H19" s="179"/>
    </row>
    <row r="20" spans="1:8" ht="39">
      <c r="A20" s="27" t="s">
        <v>27</v>
      </c>
      <c r="B20" s="20" t="s">
        <v>16</v>
      </c>
      <c r="C20" s="20" t="s">
        <v>28</v>
      </c>
      <c r="D20" s="20"/>
      <c r="E20" s="21"/>
      <c r="F20" s="22">
        <f>F21</f>
        <v>1694300</v>
      </c>
      <c r="H20" s="28"/>
    </row>
    <row r="21" spans="1:6" ht="26.25">
      <c r="A21" s="29" t="s">
        <v>29</v>
      </c>
      <c r="B21" s="20" t="s">
        <v>16</v>
      </c>
      <c r="C21" s="20" t="s">
        <v>28</v>
      </c>
      <c r="D21" s="30" t="s">
        <v>30</v>
      </c>
      <c r="E21" s="21"/>
      <c r="F21" s="22">
        <f>F22+F25</f>
        <v>1694300</v>
      </c>
    </row>
    <row r="22" spans="1:6" ht="13.5">
      <c r="A22" s="26" t="s">
        <v>31</v>
      </c>
      <c r="B22" s="20" t="s">
        <v>16</v>
      </c>
      <c r="C22" s="20" t="s">
        <v>28</v>
      </c>
      <c r="D22" s="30" t="s">
        <v>32</v>
      </c>
      <c r="E22" s="21"/>
      <c r="F22" s="22">
        <f>F23</f>
        <v>824000</v>
      </c>
    </row>
    <row r="23" spans="1:6" ht="26.25">
      <c r="A23" s="27" t="s">
        <v>23</v>
      </c>
      <c r="B23" s="20" t="s">
        <v>16</v>
      </c>
      <c r="C23" s="20" t="s">
        <v>28</v>
      </c>
      <c r="D23" s="30" t="s">
        <v>33</v>
      </c>
      <c r="E23" s="31"/>
      <c r="F23" s="22">
        <f>F24</f>
        <v>824000</v>
      </c>
    </row>
    <row r="24" spans="1:6" ht="39">
      <c r="A24" s="29" t="s">
        <v>25</v>
      </c>
      <c r="B24" s="20" t="s">
        <v>16</v>
      </c>
      <c r="C24" s="20" t="s">
        <v>28</v>
      </c>
      <c r="D24" s="30" t="s">
        <v>33</v>
      </c>
      <c r="E24" s="31" t="s">
        <v>26</v>
      </c>
      <c r="F24" s="22">
        <v>824000</v>
      </c>
    </row>
    <row r="25" spans="1:6" ht="13.5">
      <c r="A25" s="26" t="s">
        <v>34</v>
      </c>
      <c r="B25" s="20" t="s">
        <v>16</v>
      </c>
      <c r="C25" s="20" t="s">
        <v>28</v>
      </c>
      <c r="D25" s="30" t="s">
        <v>35</v>
      </c>
      <c r="E25" s="31"/>
      <c r="F25" s="22">
        <f>F26</f>
        <v>870300</v>
      </c>
    </row>
    <row r="26" spans="1:6" ht="26.25">
      <c r="A26" s="27" t="s">
        <v>23</v>
      </c>
      <c r="B26" s="20" t="s">
        <v>16</v>
      </c>
      <c r="C26" s="20" t="s">
        <v>28</v>
      </c>
      <c r="D26" s="30" t="s">
        <v>36</v>
      </c>
      <c r="E26" s="31"/>
      <c r="F26" s="22">
        <f>F27+F28</f>
        <v>870300</v>
      </c>
    </row>
    <row r="27" spans="1:6" ht="38.25" customHeight="1">
      <c r="A27" s="29" t="s">
        <v>25</v>
      </c>
      <c r="B27" s="20" t="s">
        <v>16</v>
      </c>
      <c r="C27" s="20" t="s">
        <v>28</v>
      </c>
      <c r="D27" s="30" t="s">
        <v>36</v>
      </c>
      <c r="E27" s="31" t="s">
        <v>26</v>
      </c>
      <c r="F27" s="22">
        <v>870300</v>
      </c>
    </row>
    <row r="28" spans="1:6" ht="26.25" hidden="1">
      <c r="A28" s="29" t="s">
        <v>37</v>
      </c>
      <c r="B28" s="20" t="s">
        <v>16</v>
      </c>
      <c r="C28" s="20" t="s">
        <v>28</v>
      </c>
      <c r="D28" s="30" t="s">
        <v>36</v>
      </c>
      <c r="E28" s="31" t="s">
        <v>38</v>
      </c>
      <c r="F28" s="22"/>
    </row>
    <row r="29" spans="1:6" ht="39">
      <c r="A29" s="27" t="s">
        <v>39</v>
      </c>
      <c r="B29" s="20" t="s">
        <v>40</v>
      </c>
      <c r="C29" s="20" t="s">
        <v>41</v>
      </c>
      <c r="D29" s="20"/>
      <c r="E29" s="21"/>
      <c r="F29" s="22">
        <f>F30+F51+F66+F60+F45</f>
        <v>22116939</v>
      </c>
    </row>
    <row r="30" spans="1:6" ht="26.25">
      <c r="A30" s="26" t="s">
        <v>42</v>
      </c>
      <c r="B30" s="20" t="s">
        <v>40</v>
      </c>
      <c r="C30" s="20" t="s">
        <v>41</v>
      </c>
      <c r="D30" s="30" t="s">
        <v>43</v>
      </c>
      <c r="E30" s="31"/>
      <c r="F30" s="22">
        <f>F36+F31</f>
        <v>3454450</v>
      </c>
    </row>
    <row r="31" spans="1:6" s="36" customFormat="1" ht="52.5">
      <c r="A31" s="29" t="s">
        <v>44</v>
      </c>
      <c r="B31" s="32" t="s">
        <v>16</v>
      </c>
      <c r="C31" s="32" t="s">
        <v>41</v>
      </c>
      <c r="D31" s="33" t="s">
        <v>45</v>
      </c>
      <c r="E31" s="34"/>
      <c r="F31" s="35">
        <f>F33</f>
        <v>917350</v>
      </c>
    </row>
    <row r="32" spans="1:6" ht="39">
      <c r="A32" s="37" t="s">
        <v>46</v>
      </c>
      <c r="B32" s="20" t="s">
        <v>16</v>
      </c>
      <c r="C32" s="20" t="s">
        <v>41</v>
      </c>
      <c r="D32" s="30" t="s">
        <v>47</v>
      </c>
      <c r="E32" s="31"/>
      <c r="F32" s="22">
        <f>F33</f>
        <v>917350</v>
      </c>
    </row>
    <row r="33" spans="1:6" ht="39">
      <c r="A33" s="38" t="s">
        <v>48</v>
      </c>
      <c r="B33" s="20" t="s">
        <v>16</v>
      </c>
      <c r="C33" s="20" t="s">
        <v>41</v>
      </c>
      <c r="D33" s="30" t="s">
        <v>49</v>
      </c>
      <c r="E33" s="31"/>
      <c r="F33" s="22">
        <f>F34+F35</f>
        <v>917350</v>
      </c>
    </row>
    <row r="34" spans="1:6" ht="39">
      <c r="A34" s="29" t="s">
        <v>25</v>
      </c>
      <c r="B34" s="20" t="s">
        <v>16</v>
      </c>
      <c r="C34" s="20" t="s">
        <v>41</v>
      </c>
      <c r="D34" s="30" t="s">
        <v>49</v>
      </c>
      <c r="E34" s="31" t="s">
        <v>26</v>
      </c>
      <c r="F34" s="22">
        <v>880350</v>
      </c>
    </row>
    <row r="35" spans="1:6" ht="26.25">
      <c r="A35" s="29" t="s">
        <v>37</v>
      </c>
      <c r="B35" s="20" t="s">
        <v>16</v>
      </c>
      <c r="C35" s="20" t="s">
        <v>41</v>
      </c>
      <c r="D35" s="30" t="s">
        <v>49</v>
      </c>
      <c r="E35" s="31" t="s">
        <v>38</v>
      </c>
      <c r="F35" s="22">
        <v>37000</v>
      </c>
    </row>
    <row r="36" spans="1:6" s="36" customFormat="1" ht="52.5">
      <c r="A36" s="27" t="s">
        <v>50</v>
      </c>
      <c r="B36" s="32" t="s">
        <v>16</v>
      </c>
      <c r="C36" s="32" t="s">
        <v>41</v>
      </c>
      <c r="D36" s="33" t="s">
        <v>51</v>
      </c>
      <c r="E36" s="39"/>
      <c r="F36" s="35">
        <f>F37</f>
        <v>2537100</v>
      </c>
    </row>
    <row r="37" spans="1:6" ht="26.25">
      <c r="A37" s="40" t="s">
        <v>52</v>
      </c>
      <c r="B37" s="20" t="s">
        <v>16</v>
      </c>
      <c r="C37" s="20" t="s">
        <v>41</v>
      </c>
      <c r="D37" s="30" t="s">
        <v>53</v>
      </c>
      <c r="E37" s="21"/>
      <c r="F37" s="22">
        <f>F38+F41</f>
        <v>2537100</v>
      </c>
    </row>
    <row r="38" spans="1:6" ht="26.25">
      <c r="A38" s="27" t="s">
        <v>54</v>
      </c>
      <c r="B38" s="20" t="s">
        <v>16</v>
      </c>
      <c r="C38" s="20" t="s">
        <v>41</v>
      </c>
      <c r="D38" s="30" t="s">
        <v>55</v>
      </c>
      <c r="E38" s="21"/>
      <c r="F38" s="22">
        <f>F39+F40</f>
        <v>2140600</v>
      </c>
    </row>
    <row r="39" spans="1:6" ht="39">
      <c r="A39" s="29" t="s">
        <v>25</v>
      </c>
      <c r="B39" s="20" t="s">
        <v>16</v>
      </c>
      <c r="C39" s="20" t="s">
        <v>41</v>
      </c>
      <c r="D39" s="30" t="s">
        <v>55</v>
      </c>
      <c r="E39" s="31" t="s">
        <v>26</v>
      </c>
      <c r="F39" s="22">
        <v>2140600</v>
      </c>
    </row>
    <row r="40" spans="1:6" ht="26.25">
      <c r="A40" s="29" t="s">
        <v>37</v>
      </c>
      <c r="B40" s="20" t="s">
        <v>16</v>
      </c>
      <c r="C40" s="20" t="s">
        <v>41</v>
      </c>
      <c r="D40" s="30" t="s">
        <v>55</v>
      </c>
      <c r="E40" s="31" t="s">
        <v>38</v>
      </c>
      <c r="F40" s="22">
        <f>60633-60633</f>
        <v>0</v>
      </c>
    </row>
    <row r="41" spans="1:6" ht="39">
      <c r="A41" s="203" t="s">
        <v>713</v>
      </c>
      <c r="B41" s="20" t="s">
        <v>16</v>
      </c>
      <c r="C41" s="20" t="s">
        <v>41</v>
      </c>
      <c r="D41" s="30" t="s">
        <v>703</v>
      </c>
      <c r="E41" s="21"/>
      <c r="F41" s="22">
        <f>F42+F43</f>
        <v>396500</v>
      </c>
    </row>
    <row r="42" spans="1:6" ht="39">
      <c r="A42" s="29" t="s">
        <v>25</v>
      </c>
      <c r="B42" s="20" t="s">
        <v>16</v>
      </c>
      <c r="C42" s="20" t="s">
        <v>41</v>
      </c>
      <c r="D42" s="30" t="s">
        <v>703</v>
      </c>
      <c r="E42" s="31" t="s">
        <v>26</v>
      </c>
      <c r="F42" s="22">
        <f>202961+61294</f>
        <v>264255</v>
      </c>
    </row>
    <row r="43" spans="1:6" ht="26.25">
      <c r="A43" s="29" t="s">
        <v>37</v>
      </c>
      <c r="B43" s="20" t="s">
        <v>16</v>
      </c>
      <c r="C43" s="20" t="s">
        <v>41</v>
      </c>
      <c r="D43" s="30" t="s">
        <v>703</v>
      </c>
      <c r="E43" s="31" t="s">
        <v>38</v>
      </c>
      <c r="F43" s="22">
        <f>132245</f>
        <v>132245</v>
      </c>
    </row>
    <row r="44" spans="1:6" ht="13.5">
      <c r="A44" s="29"/>
      <c r="B44" s="20"/>
      <c r="C44" s="20"/>
      <c r="D44" s="30"/>
      <c r="E44" s="31"/>
      <c r="F44" s="22"/>
    </row>
    <row r="45" spans="1:6" ht="39">
      <c r="A45" s="19" t="s">
        <v>56</v>
      </c>
      <c r="B45" s="20" t="s">
        <v>16</v>
      </c>
      <c r="C45" s="20" t="s">
        <v>41</v>
      </c>
      <c r="D45" s="30" t="s">
        <v>57</v>
      </c>
      <c r="E45" s="21"/>
      <c r="F45" s="22">
        <f>F46</f>
        <v>326209</v>
      </c>
    </row>
    <row r="46" spans="1:6" s="36" customFormat="1" ht="70.5" customHeight="1">
      <c r="A46" s="40" t="s">
        <v>58</v>
      </c>
      <c r="B46" s="32" t="s">
        <v>16</v>
      </c>
      <c r="C46" s="32" t="s">
        <v>41</v>
      </c>
      <c r="D46" s="33" t="s">
        <v>59</v>
      </c>
      <c r="E46" s="39"/>
      <c r="F46" s="35">
        <f>F48</f>
        <v>326209</v>
      </c>
    </row>
    <row r="47" spans="1:6" ht="26.25">
      <c r="A47" s="41" t="s">
        <v>60</v>
      </c>
      <c r="B47" s="20" t="s">
        <v>16</v>
      </c>
      <c r="C47" s="20" t="s">
        <v>41</v>
      </c>
      <c r="D47" s="30" t="s">
        <v>61</v>
      </c>
      <c r="E47" s="21"/>
      <c r="F47" s="22">
        <f>F48</f>
        <v>326209</v>
      </c>
    </row>
    <row r="48" spans="1:6" ht="26.25">
      <c r="A48" s="38" t="s">
        <v>62</v>
      </c>
      <c r="B48" s="20" t="s">
        <v>16</v>
      </c>
      <c r="C48" s="20" t="s">
        <v>41</v>
      </c>
      <c r="D48" s="30" t="s">
        <v>63</v>
      </c>
      <c r="E48" s="21"/>
      <c r="F48" s="22">
        <f>F49+F50</f>
        <v>326209</v>
      </c>
    </row>
    <row r="49" spans="1:6" ht="39">
      <c r="A49" s="29" t="s">
        <v>25</v>
      </c>
      <c r="B49" s="20" t="s">
        <v>16</v>
      </c>
      <c r="C49" s="20" t="s">
        <v>41</v>
      </c>
      <c r="D49" s="30" t="s">
        <v>63</v>
      </c>
      <c r="E49" s="31" t="s">
        <v>26</v>
      </c>
      <c r="F49" s="22">
        <v>316209</v>
      </c>
    </row>
    <row r="50" spans="1:6" ht="26.25">
      <c r="A50" s="29" t="s">
        <v>37</v>
      </c>
      <c r="B50" s="20" t="s">
        <v>16</v>
      </c>
      <c r="C50" s="20" t="s">
        <v>41</v>
      </c>
      <c r="D50" s="30" t="s">
        <v>63</v>
      </c>
      <c r="E50" s="31" t="s">
        <v>38</v>
      </c>
      <c r="F50" s="22">
        <v>10000</v>
      </c>
    </row>
    <row r="51" spans="1:6" ht="39">
      <c r="A51" s="26" t="s">
        <v>64</v>
      </c>
      <c r="B51" s="20" t="s">
        <v>16</v>
      </c>
      <c r="C51" s="20" t="s">
        <v>41</v>
      </c>
      <c r="D51" s="30" t="s">
        <v>65</v>
      </c>
      <c r="E51" s="31"/>
      <c r="F51" s="22">
        <f>F52</f>
        <v>611000</v>
      </c>
    </row>
    <row r="52" spans="1:6" s="36" customFormat="1" ht="66">
      <c r="A52" s="26" t="s">
        <v>66</v>
      </c>
      <c r="B52" s="32" t="s">
        <v>16</v>
      </c>
      <c r="C52" s="32" t="s">
        <v>41</v>
      </c>
      <c r="D52" s="33" t="s">
        <v>67</v>
      </c>
      <c r="E52" s="34"/>
      <c r="F52" s="35">
        <f>F54+F57</f>
        <v>611000</v>
      </c>
    </row>
    <row r="53" spans="1:6" ht="39">
      <c r="A53" s="40" t="s">
        <v>68</v>
      </c>
      <c r="B53" s="20" t="s">
        <v>16</v>
      </c>
      <c r="C53" s="20" t="s">
        <v>41</v>
      </c>
      <c r="D53" s="30" t="s">
        <v>69</v>
      </c>
      <c r="E53" s="31"/>
      <c r="F53" s="22">
        <f>F54+F57</f>
        <v>611000</v>
      </c>
    </row>
    <row r="54" spans="1:6" ht="39">
      <c r="A54" s="38" t="s">
        <v>70</v>
      </c>
      <c r="B54" s="20" t="s">
        <v>16</v>
      </c>
      <c r="C54" s="20" t="s">
        <v>41</v>
      </c>
      <c r="D54" s="20" t="s">
        <v>71</v>
      </c>
      <c r="E54" s="21"/>
      <c r="F54" s="22">
        <f>F55+F56</f>
        <v>305200</v>
      </c>
    </row>
    <row r="55" spans="1:8" ht="39" customHeight="1">
      <c r="A55" s="29" t="s">
        <v>25</v>
      </c>
      <c r="B55" s="20" t="s">
        <v>16</v>
      </c>
      <c r="C55" s="20" t="s">
        <v>41</v>
      </c>
      <c r="D55" s="20" t="s">
        <v>71</v>
      </c>
      <c r="E55" s="31" t="s">
        <v>26</v>
      </c>
      <c r="F55" s="22">
        <v>305200</v>
      </c>
      <c r="H55" s="28"/>
    </row>
    <row r="56" spans="1:6" ht="26.25" hidden="1">
      <c r="A56" s="29" t="s">
        <v>37</v>
      </c>
      <c r="B56" s="20" t="s">
        <v>16</v>
      </c>
      <c r="C56" s="20" t="s">
        <v>41</v>
      </c>
      <c r="D56" s="20" t="s">
        <v>71</v>
      </c>
      <c r="E56" s="31" t="s">
        <v>38</v>
      </c>
      <c r="F56" s="22"/>
    </row>
    <row r="57" spans="1:6" ht="26.25">
      <c r="A57" s="38" t="s">
        <v>72</v>
      </c>
      <c r="B57" s="20" t="s">
        <v>16</v>
      </c>
      <c r="C57" s="20" t="s">
        <v>41</v>
      </c>
      <c r="D57" s="20" t="s">
        <v>73</v>
      </c>
      <c r="E57" s="21"/>
      <c r="F57" s="22">
        <f>F58+F59</f>
        <v>305800</v>
      </c>
    </row>
    <row r="58" spans="1:6" ht="39">
      <c r="A58" s="29" t="s">
        <v>25</v>
      </c>
      <c r="B58" s="20" t="s">
        <v>16</v>
      </c>
      <c r="C58" s="20" t="s">
        <v>41</v>
      </c>
      <c r="D58" s="20" t="s">
        <v>73</v>
      </c>
      <c r="E58" s="31" t="s">
        <v>26</v>
      </c>
      <c r="F58" s="22">
        <v>303800</v>
      </c>
    </row>
    <row r="59" spans="1:6" ht="26.25">
      <c r="A59" s="29" t="s">
        <v>37</v>
      </c>
      <c r="B59" s="20" t="s">
        <v>16</v>
      </c>
      <c r="C59" s="20" t="s">
        <v>41</v>
      </c>
      <c r="D59" s="20" t="s">
        <v>73</v>
      </c>
      <c r="E59" s="31" t="s">
        <v>38</v>
      </c>
      <c r="F59" s="22">
        <v>2000</v>
      </c>
    </row>
    <row r="60" spans="1:6" ht="13.5">
      <c r="A60" s="29" t="s">
        <v>74</v>
      </c>
      <c r="B60" s="20" t="s">
        <v>16</v>
      </c>
      <c r="C60" s="20" t="s">
        <v>41</v>
      </c>
      <c r="D60" s="20" t="s">
        <v>75</v>
      </c>
      <c r="E60" s="21"/>
      <c r="F60" s="22">
        <f>F61</f>
        <v>17388900</v>
      </c>
    </row>
    <row r="61" spans="1:6" ht="13.5">
      <c r="A61" s="27" t="s">
        <v>76</v>
      </c>
      <c r="B61" s="20" t="s">
        <v>16</v>
      </c>
      <c r="C61" s="20" t="s">
        <v>41</v>
      </c>
      <c r="D61" s="20" t="s">
        <v>77</v>
      </c>
      <c r="E61" s="21"/>
      <c r="F61" s="22">
        <f>F62</f>
        <v>17388900</v>
      </c>
    </row>
    <row r="62" spans="1:6" ht="26.25">
      <c r="A62" s="27" t="s">
        <v>23</v>
      </c>
      <c r="B62" s="20" t="s">
        <v>16</v>
      </c>
      <c r="C62" s="20" t="s">
        <v>41</v>
      </c>
      <c r="D62" s="20" t="s">
        <v>78</v>
      </c>
      <c r="E62" s="21"/>
      <c r="F62" s="22">
        <f>F63+F64+F65</f>
        <v>17388900</v>
      </c>
    </row>
    <row r="63" spans="1:6" ht="39">
      <c r="A63" s="29" t="s">
        <v>25</v>
      </c>
      <c r="B63" s="20" t="s">
        <v>16</v>
      </c>
      <c r="C63" s="20" t="s">
        <v>41</v>
      </c>
      <c r="D63" s="20" t="s">
        <v>78</v>
      </c>
      <c r="E63" s="31" t="s">
        <v>26</v>
      </c>
      <c r="F63" s="22">
        <f>17211100+300</f>
        <v>17211400</v>
      </c>
    </row>
    <row r="64" spans="1:6" ht="26.25">
      <c r="A64" s="29" t="s">
        <v>37</v>
      </c>
      <c r="B64" s="20" t="s">
        <v>16</v>
      </c>
      <c r="C64" s="20" t="s">
        <v>41</v>
      </c>
      <c r="D64" s="20" t="s">
        <v>78</v>
      </c>
      <c r="E64" s="31" t="s">
        <v>38</v>
      </c>
      <c r="F64" s="42">
        <v>90500</v>
      </c>
    </row>
    <row r="65" spans="1:6" ht="13.5">
      <c r="A65" s="41" t="s">
        <v>79</v>
      </c>
      <c r="B65" s="20" t="s">
        <v>16</v>
      </c>
      <c r="C65" s="20" t="s">
        <v>41</v>
      </c>
      <c r="D65" s="20" t="s">
        <v>78</v>
      </c>
      <c r="E65" s="31" t="s">
        <v>80</v>
      </c>
      <c r="F65" s="22">
        <f>75000+12000</f>
        <v>87000</v>
      </c>
    </row>
    <row r="66" spans="1:6" ht="13.5">
      <c r="A66" s="26" t="s">
        <v>81</v>
      </c>
      <c r="B66" s="20" t="s">
        <v>16</v>
      </c>
      <c r="C66" s="20" t="s">
        <v>41</v>
      </c>
      <c r="D66" s="20" t="s">
        <v>82</v>
      </c>
      <c r="E66" s="21"/>
      <c r="F66" s="22">
        <f>F67+F71</f>
        <v>336380</v>
      </c>
    </row>
    <row r="67" spans="1:6" ht="26.25">
      <c r="A67" s="40" t="s">
        <v>83</v>
      </c>
      <c r="B67" s="20" t="s">
        <v>16</v>
      </c>
      <c r="C67" s="20" t="s">
        <v>41</v>
      </c>
      <c r="D67" s="20" t="s">
        <v>84</v>
      </c>
      <c r="E67" s="21"/>
      <c r="F67" s="22">
        <f>F68</f>
        <v>305800</v>
      </c>
    </row>
    <row r="68" spans="1:6" ht="26.25">
      <c r="A68" s="27" t="s">
        <v>85</v>
      </c>
      <c r="B68" s="20" t="s">
        <v>16</v>
      </c>
      <c r="C68" s="20" t="s">
        <v>41</v>
      </c>
      <c r="D68" s="20" t="s">
        <v>86</v>
      </c>
      <c r="E68" s="21"/>
      <c r="F68" s="22">
        <f>F69+F70</f>
        <v>305800</v>
      </c>
    </row>
    <row r="69" spans="1:6" ht="38.25" customHeight="1">
      <c r="A69" s="29" t="s">
        <v>25</v>
      </c>
      <c r="B69" s="20" t="s">
        <v>16</v>
      </c>
      <c r="C69" s="20" t="s">
        <v>41</v>
      </c>
      <c r="D69" s="20" t="s">
        <v>86</v>
      </c>
      <c r="E69" s="31" t="s">
        <v>26</v>
      </c>
      <c r="F69" s="22">
        <v>305800</v>
      </c>
    </row>
    <row r="70" spans="1:6" ht="1.5" customHeight="1" hidden="1">
      <c r="A70" s="29" t="s">
        <v>87</v>
      </c>
      <c r="B70" s="20" t="s">
        <v>16</v>
      </c>
      <c r="C70" s="20" t="s">
        <v>41</v>
      </c>
      <c r="D70" s="20" t="s">
        <v>86</v>
      </c>
      <c r="E70" s="31" t="s">
        <v>38</v>
      </c>
      <c r="F70" s="22">
        <f>20967-20967</f>
        <v>0</v>
      </c>
    </row>
    <row r="71" spans="1:6" ht="13.5">
      <c r="A71" s="26" t="s">
        <v>88</v>
      </c>
      <c r="B71" s="20" t="s">
        <v>16</v>
      </c>
      <c r="C71" s="20" t="s">
        <v>41</v>
      </c>
      <c r="D71" s="20" t="s">
        <v>89</v>
      </c>
      <c r="E71" s="21"/>
      <c r="F71" s="22">
        <f>F72</f>
        <v>30580</v>
      </c>
    </row>
    <row r="72" spans="1:6" ht="39">
      <c r="A72" s="43" t="s">
        <v>90</v>
      </c>
      <c r="B72" s="20" t="s">
        <v>16</v>
      </c>
      <c r="C72" s="20" t="s">
        <v>41</v>
      </c>
      <c r="D72" s="20" t="s">
        <v>91</v>
      </c>
      <c r="E72" s="21"/>
      <c r="F72" s="22">
        <f>F73</f>
        <v>30580</v>
      </c>
    </row>
    <row r="73" spans="1:6" ht="39" customHeight="1">
      <c r="A73" s="29" t="s">
        <v>25</v>
      </c>
      <c r="B73" s="20" t="s">
        <v>16</v>
      </c>
      <c r="C73" s="20" t="s">
        <v>41</v>
      </c>
      <c r="D73" s="20" t="s">
        <v>91</v>
      </c>
      <c r="E73" s="31" t="s">
        <v>26</v>
      </c>
      <c r="F73" s="22">
        <v>30580</v>
      </c>
    </row>
    <row r="74" spans="1:6" ht="13.5">
      <c r="A74" s="43" t="s">
        <v>92</v>
      </c>
      <c r="B74" s="20" t="s">
        <v>16</v>
      </c>
      <c r="C74" s="20" t="s">
        <v>93</v>
      </c>
      <c r="D74" s="20"/>
      <c r="E74" s="31"/>
      <c r="F74" s="22">
        <f>F75</f>
        <v>500</v>
      </c>
    </row>
    <row r="75" spans="1:6" ht="13.5">
      <c r="A75" s="26" t="s">
        <v>81</v>
      </c>
      <c r="B75" s="20" t="s">
        <v>16</v>
      </c>
      <c r="C75" s="20" t="s">
        <v>93</v>
      </c>
      <c r="D75" s="20" t="s">
        <v>82</v>
      </c>
      <c r="E75" s="31"/>
      <c r="F75" s="22">
        <f>F76</f>
        <v>500</v>
      </c>
    </row>
    <row r="76" spans="1:6" ht="13.5">
      <c r="A76" s="26" t="s">
        <v>88</v>
      </c>
      <c r="B76" s="20" t="s">
        <v>16</v>
      </c>
      <c r="C76" s="20" t="s">
        <v>93</v>
      </c>
      <c r="D76" s="20" t="s">
        <v>89</v>
      </c>
      <c r="E76" s="31"/>
      <c r="F76" s="22">
        <f>F77</f>
        <v>500</v>
      </c>
    </row>
    <row r="77" spans="1:6" ht="39">
      <c r="A77" s="38" t="s">
        <v>94</v>
      </c>
      <c r="B77" s="20" t="s">
        <v>16</v>
      </c>
      <c r="C77" s="20" t="s">
        <v>93</v>
      </c>
      <c r="D77" s="20" t="s">
        <v>95</v>
      </c>
      <c r="E77" s="31"/>
      <c r="F77" s="22">
        <f>F78</f>
        <v>500</v>
      </c>
    </row>
    <row r="78" spans="1:6" ht="13.5">
      <c r="A78" s="29" t="s">
        <v>87</v>
      </c>
      <c r="B78" s="20" t="s">
        <v>16</v>
      </c>
      <c r="C78" s="20" t="s">
        <v>93</v>
      </c>
      <c r="D78" s="20" t="s">
        <v>95</v>
      </c>
      <c r="E78" s="31" t="s">
        <v>38</v>
      </c>
      <c r="F78" s="22">
        <f>500</f>
        <v>500</v>
      </c>
    </row>
    <row r="79" spans="1:6" ht="26.25">
      <c r="A79" s="26" t="s">
        <v>96</v>
      </c>
      <c r="B79" s="20" t="s">
        <v>16</v>
      </c>
      <c r="C79" s="20" t="s">
        <v>97</v>
      </c>
      <c r="D79" s="20"/>
      <c r="E79" s="21"/>
      <c r="F79" s="22">
        <f>F80</f>
        <v>486000</v>
      </c>
    </row>
    <row r="80" spans="1:6" ht="26.25">
      <c r="A80" s="29" t="s">
        <v>98</v>
      </c>
      <c r="B80" s="20" t="s">
        <v>16</v>
      </c>
      <c r="C80" s="20" t="s">
        <v>97</v>
      </c>
      <c r="D80" s="45" t="s">
        <v>99</v>
      </c>
      <c r="E80" s="31"/>
      <c r="F80" s="22">
        <f>F81</f>
        <v>486000</v>
      </c>
    </row>
    <row r="81" spans="1:6" ht="13.5">
      <c r="A81" s="29" t="s">
        <v>100</v>
      </c>
      <c r="B81" s="20" t="s">
        <v>16</v>
      </c>
      <c r="C81" s="20" t="s">
        <v>97</v>
      </c>
      <c r="D81" s="45" t="s">
        <v>101</v>
      </c>
      <c r="E81" s="31"/>
      <c r="F81" s="22">
        <f>F82</f>
        <v>486000</v>
      </c>
    </row>
    <row r="82" spans="1:6" ht="26.25">
      <c r="A82" s="27" t="s">
        <v>23</v>
      </c>
      <c r="B82" s="20" t="s">
        <v>16</v>
      </c>
      <c r="C82" s="20" t="s">
        <v>97</v>
      </c>
      <c r="D82" s="45" t="s">
        <v>102</v>
      </c>
      <c r="E82" s="21"/>
      <c r="F82" s="22">
        <f>F83+F84+F85</f>
        <v>486000</v>
      </c>
    </row>
    <row r="83" spans="1:6" ht="36.75" customHeight="1">
      <c r="A83" s="29" t="s">
        <v>25</v>
      </c>
      <c r="B83" s="20" t="s">
        <v>16</v>
      </c>
      <c r="C83" s="20" t="s">
        <v>97</v>
      </c>
      <c r="D83" s="45" t="s">
        <v>102</v>
      </c>
      <c r="E83" s="31" t="s">
        <v>26</v>
      </c>
      <c r="F83" s="22">
        <v>486000</v>
      </c>
    </row>
    <row r="84" spans="1:6" ht="13.5" hidden="1">
      <c r="A84" s="29" t="s">
        <v>87</v>
      </c>
      <c r="B84" s="20" t="s">
        <v>16</v>
      </c>
      <c r="C84" s="20" t="s">
        <v>97</v>
      </c>
      <c r="D84" s="45" t="s">
        <v>102</v>
      </c>
      <c r="E84" s="31" t="s">
        <v>38</v>
      </c>
      <c r="F84" s="22"/>
    </row>
    <row r="85" spans="1:6" ht="13.5" hidden="1">
      <c r="A85" s="41" t="s">
        <v>79</v>
      </c>
      <c r="B85" s="20" t="s">
        <v>16</v>
      </c>
      <c r="C85" s="20" t="s">
        <v>97</v>
      </c>
      <c r="D85" s="45" t="s">
        <v>102</v>
      </c>
      <c r="E85" s="31" t="s">
        <v>80</v>
      </c>
      <c r="F85" s="22"/>
    </row>
    <row r="86" spans="1:6" ht="13.5" hidden="1">
      <c r="A86" s="61" t="s">
        <v>103</v>
      </c>
      <c r="B86" s="20" t="s">
        <v>16</v>
      </c>
      <c r="C86" s="20" t="s">
        <v>104</v>
      </c>
      <c r="D86" s="45"/>
      <c r="E86" s="31"/>
      <c r="F86" s="22">
        <f>F87</f>
        <v>0</v>
      </c>
    </row>
    <row r="87" spans="1:6" ht="13.5" hidden="1">
      <c r="A87" s="26" t="s">
        <v>81</v>
      </c>
      <c r="B87" s="20" t="s">
        <v>16</v>
      </c>
      <c r="C87" s="20" t="s">
        <v>104</v>
      </c>
      <c r="D87" s="45" t="s">
        <v>82</v>
      </c>
      <c r="E87" s="31"/>
      <c r="F87" s="22">
        <f>F88</f>
        <v>0</v>
      </c>
    </row>
    <row r="88" spans="1:6" ht="13.5" hidden="1">
      <c r="A88" s="41" t="s">
        <v>105</v>
      </c>
      <c r="B88" s="20" t="s">
        <v>16</v>
      </c>
      <c r="C88" s="20" t="s">
        <v>104</v>
      </c>
      <c r="D88" s="45" t="s">
        <v>106</v>
      </c>
      <c r="E88" s="31"/>
      <c r="F88" s="22">
        <f>F89</f>
        <v>0</v>
      </c>
    </row>
    <row r="89" spans="1:6" ht="13.5" hidden="1">
      <c r="A89" s="41" t="s">
        <v>107</v>
      </c>
      <c r="B89" s="20" t="s">
        <v>16</v>
      </c>
      <c r="C89" s="20" t="s">
        <v>104</v>
      </c>
      <c r="D89" s="45" t="s">
        <v>108</v>
      </c>
      <c r="E89" s="31"/>
      <c r="F89" s="22">
        <f>F90</f>
        <v>0</v>
      </c>
    </row>
    <row r="90" spans="1:6" ht="13.5" hidden="1">
      <c r="A90" s="41" t="s">
        <v>79</v>
      </c>
      <c r="B90" s="20" t="s">
        <v>16</v>
      </c>
      <c r="C90" s="20" t="s">
        <v>104</v>
      </c>
      <c r="D90" s="45" t="s">
        <v>108</v>
      </c>
      <c r="E90" s="31" t="s">
        <v>80</v>
      </c>
      <c r="F90" s="22"/>
    </row>
    <row r="91" spans="1:6" ht="13.5">
      <c r="A91" s="26" t="s">
        <v>109</v>
      </c>
      <c r="B91" s="20" t="s">
        <v>16</v>
      </c>
      <c r="C91" s="20" t="s">
        <v>110</v>
      </c>
      <c r="D91" s="20"/>
      <c r="E91" s="21"/>
      <c r="F91" s="22">
        <f>F93</f>
        <v>50000</v>
      </c>
    </row>
    <row r="92" spans="1:6" ht="13.5">
      <c r="A92" s="29" t="s">
        <v>111</v>
      </c>
      <c r="B92" s="20" t="s">
        <v>16</v>
      </c>
      <c r="C92" s="20" t="s">
        <v>110</v>
      </c>
      <c r="D92" s="30" t="s">
        <v>112</v>
      </c>
      <c r="E92" s="46" t="s">
        <v>113</v>
      </c>
      <c r="F92" s="22">
        <f>F93</f>
        <v>50000</v>
      </c>
    </row>
    <row r="93" spans="1:6" ht="13.5">
      <c r="A93" s="29" t="s">
        <v>109</v>
      </c>
      <c r="B93" s="20" t="s">
        <v>16</v>
      </c>
      <c r="C93" s="20" t="s">
        <v>110</v>
      </c>
      <c r="D93" s="30" t="s">
        <v>114</v>
      </c>
      <c r="E93" s="46" t="s">
        <v>113</v>
      </c>
      <c r="F93" s="22">
        <f>F94</f>
        <v>50000</v>
      </c>
    </row>
    <row r="94" spans="1:6" ht="13.5">
      <c r="A94" s="27" t="s">
        <v>115</v>
      </c>
      <c r="B94" s="20" t="s">
        <v>16</v>
      </c>
      <c r="C94" s="20" t="s">
        <v>110</v>
      </c>
      <c r="D94" s="30" t="s">
        <v>116</v>
      </c>
      <c r="E94" s="46" t="s">
        <v>113</v>
      </c>
      <c r="F94" s="22">
        <f>F95</f>
        <v>50000</v>
      </c>
    </row>
    <row r="95" spans="1:6" ht="13.5">
      <c r="A95" s="29" t="s">
        <v>79</v>
      </c>
      <c r="B95" s="20" t="s">
        <v>16</v>
      </c>
      <c r="C95" s="20" t="s">
        <v>110</v>
      </c>
      <c r="D95" s="30" t="s">
        <v>116</v>
      </c>
      <c r="E95" s="46" t="s">
        <v>80</v>
      </c>
      <c r="F95" s="22">
        <v>50000</v>
      </c>
    </row>
    <row r="96" spans="1:11" ht="13.5">
      <c r="A96" s="26" t="s">
        <v>117</v>
      </c>
      <c r="B96" s="20" t="s">
        <v>16</v>
      </c>
      <c r="C96" s="20" t="s">
        <v>118</v>
      </c>
      <c r="D96" s="20"/>
      <c r="E96" s="21"/>
      <c r="F96" s="22">
        <f>F97+F115+F147+F158+F164+F176+F126+F138+F131+F121+F153</f>
        <v>27328026.810000002</v>
      </c>
      <c r="K96" s="28"/>
    </row>
    <row r="97" spans="1:6" ht="26.25">
      <c r="A97" s="26" t="s">
        <v>119</v>
      </c>
      <c r="B97" s="20" t="s">
        <v>16</v>
      </c>
      <c r="C97" s="20" t="s">
        <v>118</v>
      </c>
      <c r="D97" s="20" t="s">
        <v>43</v>
      </c>
      <c r="E97" s="21"/>
      <c r="F97" s="22">
        <f>F106+F102+F98</f>
        <v>180300</v>
      </c>
    </row>
    <row r="98" spans="1:6" ht="39">
      <c r="A98" s="47" t="s">
        <v>120</v>
      </c>
      <c r="B98" s="20" t="s">
        <v>16</v>
      </c>
      <c r="C98" s="20" t="s">
        <v>118</v>
      </c>
      <c r="D98" s="20" t="s">
        <v>121</v>
      </c>
      <c r="E98" s="21"/>
      <c r="F98" s="22">
        <f>F99</f>
        <v>14000</v>
      </c>
    </row>
    <row r="99" spans="1:6" ht="26.25">
      <c r="A99" s="47" t="s">
        <v>122</v>
      </c>
      <c r="B99" s="20" t="s">
        <v>16</v>
      </c>
      <c r="C99" s="20" t="s">
        <v>118</v>
      </c>
      <c r="D99" s="20" t="s">
        <v>123</v>
      </c>
      <c r="E99" s="21"/>
      <c r="F99" s="22">
        <f>F100</f>
        <v>14000</v>
      </c>
    </row>
    <row r="100" spans="1:6" ht="13.5">
      <c r="A100" s="29" t="s">
        <v>124</v>
      </c>
      <c r="B100" s="20" t="s">
        <v>16</v>
      </c>
      <c r="C100" s="20" t="s">
        <v>118</v>
      </c>
      <c r="D100" s="48" t="s">
        <v>125</v>
      </c>
      <c r="E100" s="21"/>
      <c r="F100" s="22">
        <f>F101</f>
        <v>14000</v>
      </c>
    </row>
    <row r="101" spans="1:6" ht="26.25">
      <c r="A101" s="29" t="s">
        <v>37</v>
      </c>
      <c r="B101" s="20" t="s">
        <v>16</v>
      </c>
      <c r="C101" s="20" t="s">
        <v>118</v>
      </c>
      <c r="D101" s="48" t="s">
        <v>125</v>
      </c>
      <c r="E101" s="21" t="s">
        <v>38</v>
      </c>
      <c r="F101" s="22">
        <v>14000</v>
      </c>
    </row>
    <row r="102" spans="1:6" s="36" customFormat="1" ht="52.5">
      <c r="A102" s="29" t="s">
        <v>44</v>
      </c>
      <c r="B102" s="32" t="s">
        <v>16</v>
      </c>
      <c r="C102" s="32" t="s">
        <v>118</v>
      </c>
      <c r="D102" s="32" t="s">
        <v>45</v>
      </c>
      <c r="E102" s="39"/>
      <c r="F102" s="35">
        <f>F103</f>
        <v>27000</v>
      </c>
    </row>
    <row r="103" spans="1:6" ht="26.25">
      <c r="A103" s="49" t="s">
        <v>126</v>
      </c>
      <c r="B103" s="20" t="s">
        <v>16</v>
      </c>
      <c r="C103" s="20" t="s">
        <v>118</v>
      </c>
      <c r="D103" s="20" t="s">
        <v>127</v>
      </c>
      <c r="E103" s="21"/>
      <c r="F103" s="22">
        <f>F104</f>
        <v>27000</v>
      </c>
    </row>
    <row r="104" spans="1:6" ht="26.25">
      <c r="A104" s="47" t="s">
        <v>128</v>
      </c>
      <c r="B104" s="20" t="s">
        <v>16</v>
      </c>
      <c r="C104" s="20" t="s">
        <v>118</v>
      </c>
      <c r="D104" s="48" t="s">
        <v>129</v>
      </c>
      <c r="E104" s="21"/>
      <c r="F104" s="22">
        <f>F105</f>
        <v>27000</v>
      </c>
    </row>
    <row r="105" spans="1:6" ht="26.25">
      <c r="A105" s="29" t="s">
        <v>37</v>
      </c>
      <c r="B105" s="20" t="s">
        <v>16</v>
      </c>
      <c r="C105" s="20" t="s">
        <v>118</v>
      </c>
      <c r="D105" s="48" t="s">
        <v>129</v>
      </c>
      <c r="E105" s="21" t="s">
        <v>38</v>
      </c>
      <c r="F105" s="22">
        <v>27000</v>
      </c>
    </row>
    <row r="106" spans="1:6" s="36" customFormat="1" ht="52.5">
      <c r="A106" s="27" t="s">
        <v>130</v>
      </c>
      <c r="B106" s="32" t="s">
        <v>16</v>
      </c>
      <c r="C106" s="32" t="s">
        <v>118</v>
      </c>
      <c r="D106" s="32" t="s">
        <v>51</v>
      </c>
      <c r="E106" s="39"/>
      <c r="F106" s="35">
        <f>F107+F112</f>
        <v>139300</v>
      </c>
    </row>
    <row r="107" spans="1:6" ht="26.25">
      <c r="A107" s="27" t="s">
        <v>131</v>
      </c>
      <c r="B107" s="20" t="s">
        <v>16</v>
      </c>
      <c r="C107" s="20" t="s">
        <v>118</v>
      </c>
      <c r="D107" s="20" t="s">
        <v>132</v>
      </c>
      <c r="E107" s="21"/>
      <c r="F107" s="22">
        <f>F108+F110</f>
        <v>129300</v>
      </c>
    </row>
    <row r="108" spans="1:6" ht="26.25">
      <c r="A108" s="27" t="s">
        <v>133</v>
      </c>
      <c r="B108" s="20" t="s">
        <v>16</v>
      </c>
      <c r="C108" s="20" t="s">
        <v>118</v>
      </c>
      <c r="D108" s="20" t="s">
        <v>134</v>
      </c>
      <c r="E108" s="21"/>
      <c r="F108" s="22">
        <f>F109</f>
        <v>124300</v>
      </c>
    </row>
    <row r="109" spans="1:6" ht="26.25">
      <c r="A109" s="29" t="s">
        <v>135</v>
      </c>
      <c r="B109" s="20" t="s">
        <v>16</v>
      </c>
      <c r="C109" s="20" t="s">
        <v>118</v>
      </c>
      <c r="D109" s="20" t="s">
        <v>134</v>
      </c>
      <c r="E109" s="31" t="s">
        <v>136</v>
      </c>
      <c r="F109" s="22">
        <v>124300</v>
      </c>
    </row>
    <row r="110" spans="1:6" ht="13.5">
      <c r="A110" s="27" t="s">
        <v>137</v>
      </c>
      <c r="B110" s="20" t="s">
        <v>16</v>
      </c>
      <c r="C110" s="20" t="s">
        <v>118</v>
      </c>
      <c r="D110" s="20" t="s">
        <v>138</v>
      </c>
      <c r="E110" s="31"/>
      <c r="F110" s="22">
        <f>F111</f>
        <v>5000</v>
      </c>
    </row>
    <row r="111" spans="1:6" ht="26.25">
      <c r="A111" s="29" t="s">
        <v>135</v>
      </c>
      <c r="B111" s="20" t="s">
        <v>16</v>
      </c>
      <c r="C111" s="20" t="s">
        <v>118</v>
      </c>
      <c r="D111" s="20" t="s">
        <v>138</v>
      </c>
      <c r="E111" s="31" t="s">
        <v>136</v>
      </c>
      <c r="F111" s="22">
        <v>5000</v>
      </c>
    </row>
    <row r="112" spans="1:6" ht="26.25">
      <c r="A112" s="40" t="s">
        <v>52</v>
      </c>
      <c r="B112" s="20" t="s">
        <v>16</v>
      </c>
      <c r="C112" s="20" t="s">
        <v>118</v>
      </c>
      <c r="D112" s="20" t="s">
        <v>53</v>
      </c>
      <c r="E112" s="31"/>
      <c r="F112" s="22">
        <f>F113</f>
        <v>10000</v>
      </c>
    </row>
    <row r="113" spans="1:6" ht="13.5">
      <c r="A113" s="49" t="s">
        <v>139</v>
      </c>
      <c r="B113" s="20" t="s">
        <v>16</v>
      </c>
      <c r="C113" s="20" t="s">
        <v>118</v>
      </c>
      <c r="D113" s="20" t="s">
        <v>140</v>
      </c>
      <c r="E113" s="31"/>
      <c r="F113" s="22">
        <f>F114</f>
        <v>10000</v>
      </c>
    </row>
    <row r="114" spans="1:6" ht="26.25">
      <c r="A114" s="29" t="s">
        <v>37</v>
      </c>
      <c r="B114" s="20" t="s">
        <v>16</v>
      </c>
      <c r="C114" s="20" t="s">
        <v>118</v>
      </c>
      <c r="D114" s="20" t="s">
        <v>140</v>
      </c>
      <c r="E114" s="31" t="s">
        <v>38</v>
      </c>
      <c r="F114" s="22">
        <v>10000</v>
      </c>
    </row>
    <row r="115" spans="1:6" ht="26.25">
      <c r="A115" s="50" t="s">
        <v>141</v>
      </c>
      <c r="B115" s="20" t="s">
        <v>16</v>
      </c>
      <c r="C115" s="20" t="s">
        <v>118</v>
      </c>
      <c r="D115" s="20" t="s">
        <v>142</v>
      </c>
      <c r="E115" s="31"/>
      <c r="F115" s="22">
        <f>F116</f>
        <v>1335000</v>
      </c>
    </row>
    <row r="116" spans="1:6" s="36" customFormat="1" ht="52.5">
      <c r="A116" s="51" t="s">
        <v>143</v>
      </c>
      <c r="B116" s="32" t="s">
        <v>16</v>
      </c>
      <c r="C116" s="32" t="s">
        <v>118</v>
      </c>
      <c r="D116" s="32" t="s">
        <v>144</v>
      </c>
      <c r="E116" s="34"/>
      <c r="F116" s="35">
        <f>F117</f>
        <v>1335000</v>
      </c>
    </row>
    <row r="117" spans="1:6" ht="26.25">
      <c r="A117" s="51" t="s">
        <v>145</v>
      </c>
      <c r="B117" s="20" t="s">
        <v>16</v>
      </c>
      <c r="C117" s="20" t="s">
        <v>118</v>
      </c>
      <c r="D117" s="20" t="s">
        <v>146</v>
      </c>
      <c r="E117" s="31"/>
      <c r="F117" s="22">
        <f>F118</f>
        <v>1335000</v>
      </c>
    </row>
    <row r="118" spans="1:6" ht="20.25" customHeight="1">
      <c r="A118" s="51" t="s">
        <v>147</v>
      </c>
      <c r="B118" s="20" t="s">
        <v>16</v>
      </c>
      <c r="C118" s="20" t="s">
        <v>118</v>
      </c>
      <c r="D118" s="20" t="s">
        <v>148</v>
      </c>
      <c r="E118" s="31"/>
      <c r="F118" s="22">
        <f>F120+F119</f>
        <v>1335000</v>
      </c>
    </row>
    <row r="119" spans="1:6" ht="0" customHeight="1" hidden="1">
      <c r="A119" s="29" t="s">
        <v>25</v>
      </c>
      <c r="B119" s="20" t="s">
        <v>16</v>
      </c>
      <c r="C119" s="20" t="s">
        <v>118</v>
      </c>
      <c r="D119" s="20" t="s">
        <v>148</v>
      </c>
      <c r="E119" s="31" t="s">
        <v>26</v>
      </c>
      <c r="F119" s="22"/>
    </row>
    <row r="120" spans="1:6" ht="26.25">
      <c r="A120" s="29" t="s">
        <v>37</v>
      </c>
      <c r="B120" s="20" t="s">
        <v>16</v>
      </c>
      <c r="C120" s="20" t="s">
        <v>118</v>
      </c>
      <c r="D120" s="20" t="s">
        <v>148</v>
      </c>
      <c r="E120" s="21" t="s">
        <v>38</v>
      </c>
      <c r="F120" s="22">
        <f>850000+400000+85000</f>
        <v>1335000</v>
      </c>
    </row>
    <row r="121" spans="1:6" ht="39">
      <c r="A121" s="19" t="s">
        <v>149</v>
      </c>
      <c r="B121" s="20" t="s">
        <v>16</v>
      </c>
      <c r="C121" s="20" t="s">
        <v>118</v>
      </c>
      <c r="D121" s="30" t="s">
        <v>57</v>
      </c>
      <c r="E121" s="21"/>
      <c r="F121" s="22">
        <f>F122</f>
        <v>230000</v>
      </c>
    </row>
    <row r="122" spans="1:6" s="36" customFormat="1" ht="69.75" customHeight="1">
      <c r="A122" s="40" t="s">
        <v>150</v>
      </c>
      <c r="B122" s="20" t="s">
        <v>16</v>
      </c>
      <c r="C122" s="20" t="s">
        <v>118</v>
      </c>
      <c r="D122" s="33" t="s">
        <v>59</v>
      </c>
      <c r="E122" s="39"/>
      <c r="F122" s="35">
        <f>F123</f>
        <v>230000</v>
      </c>
    </row>
    <row r="123" spans="1:6" ht="26.25">
      <c r="A123" s="41" t="s">
        <v>60</v>
      </c>
      <c r="B123" s="20" t="s">
        <v>16</v>
      </c>
      <c r="C123" s="20" t="s">
        <v>118</v>
      </c>
      <c r="D123" s="30" t="s">
        <v>61</v>
      </c>
      <c r="E123" s="21"/>
      <c r="F123" s="22">
        <f>F124</f>
        <v>230000</v>
      </c>
    </row>
    <row r="124" spans="1:6" ht="26.25">
      <c r="A124" s="29" t="s">
        <v>151</v>
      </c>
      <c r="B124" s="20" t="s">
        <v>16</v>
      </c>
      <c r="C124" s="20" t="s">
        <v>118</v>
      </c>
      <c r="D124" s="30" t="s">
        <v>152</v>
      </c>
      <c r="E124" s="21"/>
      <c r="F124" s="22">
        <f>F125</f>
        <v>230000</v>
      </c>
    </row>
    <row r="125" spans="1:6" ht="26.25">
      <c r="A125" s="29" t="s">
        <v>37</v>
      </c>
      <c r="B125" s="20" t="s">
        <v>16</v>
      </c>
      <c r="C125" s="20" t="s">
        <v>118</v>
      </c>
      <c r="D125" s="30" t="s">
        <v>152</v>
      </c>
      <c r="E125" s="31" t="s">
        <v>38</v>
      </c>
      <c r="F125" s="22">
        <f>30000+200000</f>
        <v>230000</v>
      </c>
    </row>
    <row r="126" spans="1:6" ht="39" hidden="1">
      <c r="A126" s="50" t="s">
        <v>153</v>
      </c>
      <c r="B126" s="20" t="s">
        <v>16</v>
      </c>
      <c r="C126" s="20" t="s">
        <v>118</v>
      </c>
      <c r="D126" s="20" t="s">
        <v>154</v>
      </c>
      <c r="E126" s="21"/>
      <c r="F126" s="22">
        <f>F127</f>
        <v>0</v>
      </c>
    </row>
    <row r="127" spans="1:6" ht="66" hidden="1">
      <c r="A127" s="51" t="s">
        <v>155</v>
      </c>
      <c r="B127" s="20" t="s">
        <v>16</v>
      </c>
      <c r="C127" s="20" t="s">
        <v>118</v>
      </c>
      <c r="D127" s="20" t="s">
        <v>156</v>
      </c>
      <c r="E127" s="21"/>
      <c r="F127" s="22">
        <f>F128</f>
        <v>0</v>
      </c>
    </row>
    <row r="128" spans="1:6" ht="26.25" hidden="1">
      <c r="A128" s="52" t="s">
        <v>157</v>
      </c>
      <c r="B128" s="20" t="s">
        <v>16</v>
      </c>
      <c r="C128" s="20" t="s">
        <v>118</v>
      </c>
      <c r="D128" s="20" t="s">
        <v>158</v>
      </c>
      <c r="E128" s="21"/>
      <c r="F128" s="22">
        <f>F129</f>
        <v>0</v>
      </c>
    </row>
    <row r="129" spans="1:6" ht="26.25" hidden="1">
      <c r="A129" s="41" t="s">
        <v>159</v>
      </c>
      <c r="B129" s="20" t="s">
        <v>16</v>
      </c>
      <c r="C129" s="20" t="s">
        <v>118</v>
      </c>
      <c r="D129" s="20" t="s">
        <v>160</v>
      </c>
      <c r="E129" s="21"/>
      <c r="F129" s="22">
        <f>F130</f>
        <v>0</v>
      </c>
    </row>
    <row r="130" spans="1:6" ht="26.25" hidden="1">
      <c r="A130" s="29" t="s">
        <v>37</v>
      </c>
      <c r="B130" s="20" t="s">
        <v>16</v>
      </c>
      <c r="C130" s="20" t="s">
        <v>118</v>
      </c>
      <c r="D130" s="20" t="s">
        <v>160</v>
      </c>
      <c r="E130" s="21" t="s">
        <v>38</v>
      </c>
      <c r="F130" s="22"/>
    </row>
    <row r="131" spans="1:6" ht="39">
      <c r="A131" s="26" t="s">
        <v>64</v>
      </c>
      <c r="B131" s="20" t="s">
        <v>16</v>
      </c>
      <c r="C131" s="20" t="s">
        <v>118</v>
      </c>
      <c r="D131" s="30" t="s">
        <v>65</v>
      </c>
      <c r="E131" s="21"/>
      <c r="F131" s="22">
        <f>F132</f>
        <v>799515</v>
      </c>
    </row>
    <row r="132" spans="1:6" ht="66">
      <c r="A132" s="53" t="s">
        <v>161</v>
      </c>
      <c r="B132" s="20" t="s">
        <v>16</v>
      </c>
      <c r="C132" s="20" t="s">
        <v>118</v>
      </c>
      <c r="D132" s="30" t="s">
        <v>162</v>
      </c>
      <c r="E132" s="21"/>
      <c r="F132" s="22">
        <f>F133</f>
        <v>799515</v>
      </c>
    </row>
    <row r="133" spans="1:6" ht="26.25">
      <c r="A133" s="40" t="s">
        <v>163</v>
      </c>
      <c r="B133" s="20" t="s">
        <v>16</v>
      </c>
      <c r="C133" s="20" t="s">
        <v>118</v>
      </c>
      <c r="D133" s="45" t="s">
        <v>164</v>
      </c>
      <c r="E133" s="21"/>
      <c r="F133" s="22">
        <f>F134+F136</f>
        <v>799515</v>
      </c>
    </row>
    <row r="134" spans="1:6" ht="26.25">
      <c r="A134" s="29" t="s">
        <v>165</v>
      </c>
      <c r="B134" s="20" t="s">
        <v>16</v>
      </c>
      <c r="C134" s="20" t="s">
        <v>118</v>
      </c>
      <c r="D134" s="45" t="s">
        <v>166</v>
      </c>
      <c r="E134" s="21"/>
      <c r="F134" s="22">
        <f>F135</f>
        <v>738515</v>
      </c>
    </row>
    <row r="135" spans="1:6" ht="26.25">
      <c r="A135" s="29" t="s">
        <v>37</v>
      </c>
      <c r="B135" s="20" t="s">
        <v>16</v>
      </c>
      <c r="C135" s="20" t="s">
        <v>118</v>
      </c>
      <c r="D135" s="45" t="s">
        <v>166</v>
      </c>
      <c r="E135" s="21" t="s">
        <v>38</v>
      </c>
      <c r="F135" s="22">
        <f>30000+1129600-421085</f>
        <v>738515</v>
      </c>
    </row>
    <row r="136" spans="1:6" ht="13.5">
      <c r="A136" s="29" t="s">
        <v>167</v>
      </c>
      <c r="B136" s="20" t="s">
        <v>16</v>
      </c>
      <c r="C136" s="20" t="s">
        <v>118</v>
      </c>
      <c r="D136" s="45" t="s">
        <v>168</v>
      </c>
      <c r="E136" s="21"/>
      <c r="F136" s="22">
        <f>F137</f>
        <v>61000</v>
      </c>
    </row>
    <row r="137" spans="1:6" ht="26.25">
      <c r="A137" s="29" t="s">
        <v>37</v>
      </c>
      <c r="B137" s="20" t="s">
        <v>16</v>
      </c>
      <c r="C137" s="20" t="s">
        <v>118</v>
      </c>
      <c r="D137" s="45" t="s">
        <v>168</v>
      </c>
      <c r="E137" s="21" t="s">
        <v>38</v>
      </c>
      <c r="F137" s="22">
        <f>40000+21000+20000-20000</f>
        <v>61000</v>
      </c>
    </row>
    <row r="138" spans="1:6" ht="26.25">
      <c r="A138" s="54" t="s">
        <v>169</v>
      </c>
      <c r="B138" s="20" t="s">
        <v>16</v>
      </c>
      <c r="C138" s="20" t="s">
        <v>118</v>
      </c>
      <c r="D138" s="48" t="s">
        <v>170</v>
      </c>
      <c r="E138" s="21"/>
      <c r="F138" s="22">
        <f>F139+F143</f>
        <v>440000</v>
      </c>
    </row>
    <row r="139" spans="1:6" ht="39" hidden="1">
      <c r="A139" s="49" t="s">
        <v>171</v>
      </c>
      <c r="B139" s="20" t="s">
        <v>16</v>
      </c>
      <c r="C139" s="20" t="s">
        <v>118</v>
      </c>
      <c r="D139" s="48" t="s">
        <v>172</v>
      </c>
      <c r="E139" s="21"/>
      <c r="F139" s="22">
        <f>F140</f>
        <v>0</v>
      </c>
    </row>
    <row r="140" spans="1:6" ht="26.25" hidden="1">
      <c r="A140" s="49" t="s">
        <v>173</v>
      </c>
      <c r="B140" s="20" t="s">
        <v>16</v>
      </c>
      <c r="C140" s="20" t="s">
        <v>118</v>
      </c>
      <c r="D140" s="48" t="s">
        <v>174</v>
      </c>
      <c r="E140" s="21"/>
      <c r="F140" s="22">
        <f>F141</f>
        <v>0</v>
      </c>
    </row>
    <row r="141" spans="1:6" ht="26.25" hidden="1">
      <c r="A141" s="29" t="s">
        <v>175</v>
      </c>
      <c r="B141" s="20" t="s">
        <v>16</v>
      </c>
      <c r="C141" s="20" t="s">
        <v>118</v>
      </c>
      <c r="D141" s="48" t="s">
        <v>176</v>
      </c>
      <c r="E141" s="21"/>
      <c r="F141" s="22">
        <f>F142</f>
        <v>0</v>
      </c>
    </row>
    <row r="142" spans="1:6" ht="26.25" hidden="1">
      <c r="A142" s="29" t="s">
        <v>37</v>
      </c>
      <c r="B142" s="20" t="s">
        <v>16</v>
      </c>
      <c r="C142" s="20" t="s">
        <v>118</v>
      </c>
      <c r="D142" s="48" t="s">
        <v>176</v>
      </c>
      <c r="E142" s="21" t="s">
        <v>38</v>
      </c>
      <c r="F142" s="22">
        <f>15000-15000</f>
        <v>0</v>
      </c>
    </row>
    <row r="143" spans="1:6" ht="52.5">
      <c r="A143" s="49" t="s">
        <v>177</v>
      </c>
      <c r="B143" s="20" t="s">
        <v>16</v>
      </c>
      <c r="C143" s="20" t="s">
        <v>118</v>
      </c>
      <c r="D143" s="48" t="s">
        <v>178</v>
      </c>
      <c r="E143" s="21"/>
      <c r="F143" s="22">
        <f>F144</f>
        <v>440000</v>
      </c>
    </row>
    <row r="144" spans="1:6" ht="13.5">
      <c r="A144" s="49" t="s">
        <v>179</v>
      </c>
      <c r="B144" s="20" t="s">
        <v>16</v>
      </c>
      <c r="C144" s="20" t="s">
        <v>118</v>
      </c>
      <c r="D144" s="48" t="s">
        <v>180</v>
      </c>
      <c r="E144" s="21"/>
      <c r="F144" s="22">
        <f>F145</f>
        <v>440000</v>
      </c>
    </row>
    <row r="145" spans="1:6" ht="13.5">
      <c r="A145" s="49" t="s">
        <v>139</v>
      </c>
      <c r="B145" s="20" t="s">
        <v>16</v>
      </c>
      <c r="C145" s="20" t="s">
        <v>118</v>
      </c>
      <c r="D145" s="48" t="s">
        <v>181</v>
      </c>
      <c r="E145" s="21"/>
      <c r="F145" s="22">
        <f>F146</f>
        <v>440000</v>
      </c>
    </row>
    <row r="146" spans="1:6" ht="26.25">
      <c r="A146" s="29" t="s">
        <v>37</v>
      </c>
      <c r="B146" s="20" t="s">
        <v>16</v>
      </c>
      <c r="C146" s="20" t="s">
        <v>118</v>
      </c>
      <c r="D146" s="48" t="s">
        <v>181</v>
      </c>
      <c r="E146" s="21" t="s">
        <v>38</v>
      </c>
      <c r="F146" s="22">
        <f>100000+340000</f>
        <v>440000</v>
      </c>
    </row>
    <row r="147" spans="1:6" ht="39">
      <c r="A147" s="29" t="s">
        <v>182</v>
      </c>
      <c r="B147" s="20" t="s">
        <v>16</v>
      </c>
      <c r="C147" s="20" t="s">
        <v>118</v>
      </c>
      <c r="D147" s="48" t="s">
        <v>183</v>
      </c>
      <c r="E147" s="55"/>
      <c r="F147" s="22">
        <f>F148</f>
        <v>1381292</v>
      </c>
    </row>
    <row r="148" spans="1:6" s="36" customFormat="1" ht="52.5">
      <c r="A148" s="29" t="s">
        <v>184</v>
      </c>
      <c r="B148" s="32" t="s">
        <v>16</v>
      </c>
      <c r="C148" s="32" t="s">
        <v>118</v>
      </c>
      <c r="D148" s="56" t="s">
        <v>185</v>
      </c>
      <c r="E148" s="57"/>
      <c r="F148" s="35">
        <f>F150</f>
        <v>1381292</v>
      </c>
    </row>
    <row r="149" spans="1:6" ht="52.5">
      <c r="A149" s="168" t="s">
        <v>186</v>
      </c>
      <c r="B149" s="20" t="s">
        <v>16</v>
      </c>
      <c r="C149" s="20" t="s">
        <v>118</v>
      </c>
      <c r="D149" s="48" t="s">
        <v>187</v>
      </c>
      <c r="E149" s="55"/>
      <c r="F149" s="22">
        <f>F150</f>
        <v>1381292</v>
      </c>
    </row>
    <row r="150" spans="1:6" ht="26.25">
      <c r="A150" s="27" t="s">
        <v>188</v>
      </c>
      <c r="B150" s="20" t="s">
        <v>16</v>
      </c>
      <c r="C150" s="20" t="s">
        <v>118</v>
      </c>
      <c r="D150" s="48" t="s">
        <v>189</v>
      </c>
      <c r="E150" s="55"/>
      <c r="F150" s="22">
        <f>F151+F152</f>
        <v>1381292</v>
      </c>
    </row>
    <row r="151" spans="1:6" ht="39">
      <c r="A151" s="29" t="s">
        <v>25</v>
      </c>
      <c r="B151" s="20" t="s">
        <v>16</v>
      </c>
      <c r="C151" s="20" t="s">
        <v>118</v>
      </c>
      <c r="D151" s="48" t="s">
        <v>189</v>
      </c>
      <c r="E151" s="55" t="s">
        <v>26</v>
      </c>
      <c r="F151" s="22">
        <f>842580+46623+14080</f>
        <v>903283</v>
      </c>
    </row>
    <row r="152" spans="1:6" ht="26.25">
      <c r="A152" s="29" t="s">
        <v>37</v>
      </c>
      <c r="B152" s="20" t="s">
        <v>16</v>
      </c>
      <c r="C152" s="20" t="s">
        <v>118</v>
      </c>
      <c r="D152" s="48" t="s">
        <v>189</v>
      </c>
      <c r="E152" s="55" t="s">
        <v>38</v>
      </c>
      <c r="F152" s="22">
        <f>538712+15000-75703</f>
        <v>478009</v>
      </c>
    </row>
    <row r="153" spans="1:6" ht="13.5">
      <c r="A153" s="29" t="s">
        <v>74</v>
      </c>
      <c r="B153" s="20" t="s">
        <v>16</v>
      </c>
      <c r="C153" s="20" t="s">
        <v>118</v>
      </c>
      <c r="D153" s="20" t="s">
        <v>75</v>
      </c>
      <c r="E153" s="55"/>
      <c r="F153" s="22">
        <f>F154</f>
        <v>332701</v>
      </c>
    </row>
    <row r="154" spans="1:6" ht="13.5">
      <c r="A154" s="27" t="s">
        <v>76</v>
      </c>
      <c r="B154" s="20" t="s">
        <v>16</v>
      </c>
      <c r="C154" s="20" t="s">
        <v>118</v>
      </c>
      <c r="D154" s="20" t="s">
        <v>77</v>
      </c>
      <c r="E154" s="55"/>
      <c r="F154" s="22">
        <f>F155</f>
        <v>332701</v>
      </c>
    </row>
    <row r="155" spans="1:6" ht="26.25">
      <c r="A155" s="47" t="s">
        <v>190</v>
      </c>
      <c r="B155" s="20" t="s">
        <v>16</v>
      </c>
      <c r="C155" s="20" t="s">
        <v>118</v>
      </c>
      <c r="D155" s="20" t="s">
        <v>191</v>
      </c>
      <c r="E155" s="55"/>
      <c r="F155" s="22">
        <f>F156+F157</f>
        <v>332701</v>
      </c>
    </row>
    <row r="156" spans="1:6" ht="38.25" customHeight="1">
      <c r="A156" s="29" t="s">
        <v>25</v>
      </c>
      <c r="B156" s="20" t="s">
        <v>16</v>
      </c>
      <c r="C156" s="20" t="s">
        <v>118</v>
      </c>
      <c r="D156" s="20" t="s">
        <v>191</v>
      </c>
      <c r="E156" s="55" t="s">
        <v>26</v>
      </c>
      <c r="F156" s="22">
        <v>332701</v>
      </c>
    </row>
    <row r="157" spans="1:6" ht="26.25" hidden="1">
      <c r="A157" s="29" t="s">
        <v>37</v>
      </c>
      <c r="B157" s="20" t="s">
        <v>16</v>
      </c>
      <c r="C157" s="20" t="s">
        <v>118</v>
      </c>
      <c r="D157" s="20" t="s">
        <v>191</v>
      </c>
      <c r="E157" s="55" t="s">
        <v>38</v>
      </c>
      <c r="F157" s="22"/>
    </row>
    <row r="158" spans="1:6" ht="26.25">
      <c r="A158" s="29" t="s">
        <v>192</v>
      </c>
      <c r="B158" s="20" t="s">
        <v>16</v>
      </c>
      <c r="C158" s="20" t="s">
        <v>118</v>
      </c>
      <c r="D158" s="30" t="s">
        <v>193</v>
      </c>
      <c r="E158" s="55"/>
      <c r="F158" s="22">
        <f>F159</f>
        <v>8437511.810000002</v>
      </c>
    </row>
    <row r="159" spans="1:6" ht="13.5">
      <c r="A159" s="29" t="s">
        <v>194</v>
      </c>
      <c r="B159" s="20" t="s">
        <v>16</v>
      </c>
      <c r="C159" s="20" t="s">
        <v>118</v>
      </c>
      <c r="D159" s="30" t="s">
        <v>195</v>
      </c>
      <c r="E159" s="55"/>
      <c r="F159" s="22">
        <f>F160</f>
        <v>8437511.810000002</v>
      </c>
    </row>
    <row r="160" spans="1:8" ht="15">
      <c r="A160" s="26" t="s">
        <v>139</v>
      </c>
      <c r="B160" s="20" t="s">
        <v>16</v>
      </c>
      <c r="C160" s="20" t="s">
        <v>118</v>
      </c>
      <c r="D160" s="30" t="s">
        <v>196</v>
      </c>
      <c r="E160" s="55"/>
      <c r="F160" s="22">
        <f>F161+F163+F162</f>
        <v>8437511.810000002</v>
      </c>
      <c r="H160" s="13"/>
    </row>
    <row r="161" spans="1:6" ht="25.5" customHeight="1">
      <c r="A161" s="29" t="s">
        <v>37</v>
      </c>
      <c r="B161" s="20" t="s">
        <v>16</v>
      </c>
      <c r="C161" s="20" t="s">
        <v>118</v>
      </c>
      <c r="D161" s="30" t="s">
        <v>196</v>
      </c>
      <c r="E161" s="55" t="s">
        <v>38</v>
      </c>
      <c r="F161" s="22">
        <v>129815</v>
      </c>
    </row>
    <row r="162" spans="1:6" ht="13.5" hidden="1">
      <c r="A162" s="29" t="s">
        <v>197</v>
      </c>
      <c r="B162" s="20" t="s">
        <v>16</v>
      </c>
      <c r="C162" s="20" t="s">
        <v>118</v>
      </c>
      <c r="D162" s="30" t="s">
        <v>196</v>
      </c>
      <c r="E162" s="55" t="s">
        <v>198</v>
      </c>
      <c r="F162" s="22"/>
    </row>
    <row r="163" spans="1:6" ht="13.5">
      <c r="A163" s="41" t="s">
        <v>79</v>
      </c>
      <c r="B163" s="20" t="s">
        <v>16</v>
      </c>
      <c r="C163" s="20" t="s">
        <v>118</v>
      </c>
      <c r="D163" s="30" t="s">
        <v>196</v>
      </c>
      <c r="E163" s="55" t="s">
        <v>80</v>
      </c>
      <c r="F163" s="22">
        <f>813000+33189145.81-5927157-232708-14208701+100000-5172411+440063-693535</f>
        <v>8307696.810000002</v>
      </c>
    </row>
    <row r="164" spans="1:6" ht="13.5">
      <c r="A164" s="26" t="s">
        <v>81</v>
      </c>
      <c r="B164" s="59" t="s">
        <v>16</v>
      </c>
      <c r="C164" s="20" t="s">
        <v>118</v>
      </c>
      <c r="D164" s="45" t="s">
        <v>82</v>
      </c>
      <c r="E164" s="31"/>
      <c r="F164" s="22">
        <f>F165</f>
        <v>14191707</v>
      </c>
    </row>
    <row r="165" spans="1:6" ht="13.5">
      <c r="A165" s="26" t="s">
        <v>88</v>
      </c>
      <c r="B165" s="20" t="s">
        <v>16</v>
      </c>
      <c r="C165" s="20" t="s">
        <v>118</v>
      </c>
      <c r="D165" s="20" t="s">
        <v>89</v>
      </c>
      <c r="E165" s="21"/>
      <c r="F165" s="22">
        <f>F166+F172+F174+F170</f>
        <v>14191707</v>
      </c>
    </row>
    <row r="166" spans="1:6" ht="26.25">
      <c r="A166" s="41" t="s">
        <v>199</v>
      </c>
      <c r="B166" s="20" t="s">
        <v>16</v>
      </c>
      <c r="C166" s="20" t="s">
        <v>118</v>
      </c>
      <c r="D166" s="20" t="s">
        <v>200</v>
      </c>
      <c r="E166" s="21"/>
      <c r="F166" s="22">
        <f>F167+F168+F169</f>
        <v>13819280</v>
      </c>
    </row>
    <row r="167" spans="1:6" ht="39">
      <c r="A167" s="29" t="s">
        <v>25</v>
      </c>
      <c r="B167" s="20" t="s">
        <v>16</v>
      </c>
      <c r="C167" s="20" t="s">
        <v>118</v>
      </c>
      <c r="D167" s="20" t="s">
        <v>200</v>
      </c>
      <c r="E167" s="31" t="s">
        <v>26</v>
      </c>
      <c r="F167" s="22">
        <v>6428500</v>
      </c>
    </row>
    <row r="168" spans="1:6" ht="26.25">
      <c r="A168" s="29" t="s">
        <v>37</v>
      </c>
      <c r="B168" s="20" t="s">
        <v>16</v>
      </c>
      <c r="C168" s="20" t="s">
        <v>118</v>
      </c>
      <c r="D168" s="20" t="s">
        <v>200</v>
      </c>
      <c r="E168" s="31" t="s">
        <v>38</v>
      </c>
      <c r="F168" s="22">
        <f>3889700+50000+3000000+1100000+103600-778520</f>
        <v>7364780</v>
      </c>
    </row>
    <row r="169" spans="1:6" ht="13.5">
      <c r="A169" s="41" t="s">
        <v>79</v>
      </c>
      <c r="B169" s="20" t="s">
        <v>16</v>
      </c>
      <c r="C169" s="20" t="s">
        <v>118</v>
      </c>
      <c r="D169" s="20" t="s">
        <v>200</v>
      </c>
      <c r="E169" s="31" t="s">
        <v>80</v>
      </c>
      <c r="F169" s="22">
        <v>26000</v>
      </c>
    </row>
    <row r="170" spans="1:6" ht="13.5">
      <c r="A170" s="26" t="s">
        <v>139</v>
      </c>
      <c r="B170" s="20" t="s">
        <v>16</v>
      </c>
      <c r="C170" s="20" t="s">
        <v>118</v>
      </c>
      <c r="D170" s="20" t="s">
        <v>696</v>
      </c>
      <c r="E170" s="31"/>
      <c r="F170" s="22">
        <f>F171</f>
        <v>119527</v>
      </c>
    </row>
    <row r="171" spans="1:6" ht="26.25">
      <c r="A171" s="29" t="s">
        <v>37</v>
      </c>
      <c r="B171" s="20" t="s">
        <v>16</v>
      </c>
      <c r="C171" s="20" t="s">
        <v>118</v>
      </c>
      <c r="D171" s="20" t="s">
        <v>696</v>
      </c>
      <c r="E171" s="31" t="s">
        <v>38</v>
      </c>
      <c r="F171" s="22">
        <v>119527</v>
      </c>
    </row>
    <row r="172" spans="1:6" ht="13.5">
      <c r="A172" s="51" t="s">
        <v>201</v>
      </c>
      <c r="B172" s="20" t="s">
        <v>16</v>
      </c>
      <c r="C172" s="20" t="s">
        <v>118</v>
      </c>
      <c r="D172" s="20" t="s">
        <v>202</v>
      </c>
      <c r="E172" s="31"/>
      <c r="F172" s="22">
        <f>F173</f>
        <v>100000</v>
      </c>
    </row>
    <row r="173" spans="1:6" ht="26.25">
      <c r="A173" s="29" t="s">
        <v>37</v>
      </c>
      <c r="B173" s="20" t="s">
        <v>16</v>
      </c>
      <c r="C173" s="20" t="s">
        <v>118</v>
      </c>
      <c r="D173" s="20" t="s">
        <v>202</v>
      </c>
      <c r="E173" s="31" t="s">
        <v>38</v>
      </c>
      <c r="F173" s="22">
        <f>50000+50000</f>
        <v>100000</v>
      </c>
    </row>
    <row r="174" spans="1:6" ht="26.25">
      <c r="A174" s="29" t="s">
        <v>203</v>
      </c>
      <c r="B174" s="20" t="s">
        <v>16</v>
      </c>
      <c r="C174" s="20" t="s">
        <v>118</v>
      </c>
      <c r="D174" s="20" t="s">
        <v>204</v>
      </c>
      <c r="E174" s="31"/>
      <c r="F174" s="22">
        <f>F175</f>
        <v>152900</v>
      </c>
    </row>
    <row r="175" spans="1:6" ht="17.25" customHeight="1">
      <c r="A175" s="29" t="s">
        <v>197</v>
      </c>
      <c r="B175" s="20" t="s">
        <v>16</v>
      </c>
      <c r="C175" s="20" t="s">
        <v>118</v>
      </c>
      <c r="D175" s="20" t="s">
        <v>204</v>
      </c>
      <c r="E175" s="31" t="s">
        <v>198</v>
      </c>
      <c r="F175" s="22">
        <v>152900</v>
      </c>
    </row>
    <row r="176" spans="1:6" ht="13.5" hidden="1">
      <c r="A176" s="26" t="s">
        <v>205</v>
      </c>
      <c r="B176" s="59" t="s">
        <v>16</v>
      </c>
      <c r="C176" s="20" t="s">
        <v>118</v>
      </c>
      <c r="D176" s="45" t="s">
        <v>206</v>
      </c>
      <c r="E176" s="31"/>
      <c r="F176" s="22">
        <f>F177</f>
        <v>0</v>
      </c>
    </row>
    <row r="177" spans="1:6" ht="13.5" hidden="1">
      <c r="A177" s="29" t="s">
        <v>109</v>
      </c>
      <c r="B177" s="59" t="s">
        <v>16</v>
      </c>
      <c r="C177" s="20" t="s">
        <v>118</v>
      </c>
      <c r="D177" s="45" t="s">
        <v>207</v>
      </c>
      <c r="E177" s="31"/>
      <c r="F177" s="22">
        <f>F178</f>
        <v>0</v>
      </c>
    </row>
    <row r="178" spans="1:6" ht="13.5" hidden="1">
      <c r="A178" s="29" t="s">
        <v>208</v>
      </c>
      <c r="B178" s="59" t="s">
        <v>16</v>
      </c>
      <c r="C178" s="20" t="s">
        <v>118</v>
      </c>
      <c r="D178" s="45" t="s">
        <v>209</v>
      </c>
      <c r="E178" s="31"/>
      <c r="F178" s="22">
        <f>F179</f>
        <v>0</v>
      </c>
    </row>
    <row r="179" spans="1:6" ht="13.5" hidden="1">
      <c r="A179" s="61" t="s">
        <v>210</v>
      </c>
      <c r="B179" s="59" t="s">
        <v>16</v>
      </c>
      <c r="C179" s="20" t="s">
        <v>118</v>
      </c>
      <c r="D179" s="45" t="s">
        <v>209</v>
      </c>
      <c r="E179" s="31" t="s">
        <v>211</v>
      </c>
      <c r="F179" s="22"/>
    </row>
    <row r="180" spans="1:6" ht="13.5">
      <c r="A180" s="26" t="s">
        <v>212</v>
      </c>
      <c r="B180" s="20" t="s">
        <v>28</v>
      </c>
      <c r="C180" s="20" t="s">
        <v>213</v>
      </c>
      <c r="D180" s="45"/>
      <c r="E180" s="31"/>
      <c r="F180" s="22">
        <f>F181</f>
        <v>151000</v>
      </c>
    </row>
    <row r="181" spans="1:6" ht="26.25">
      <c r="A181" s="41" t="s">
        <v>214</v>
      </c>
      <c r="B181" s="20" t="s">
        <v>28</v>
      </c>
      <c r="C181" s="20" t="s">
        <v>215</v>
      </c>
      <c r="D181" s="45"/>
      <c r="E181" s="31"/>
      <c r="F181" s="22">
        <f>F182</f>
        <v>151000</v>
      </c>
    </row>
    <row r="182" spans="1:6" ht="63.75" customHeight="1">
      <c r="A182" s="40" t="s">
        <v>216</v>
      </c>
      <c r="B182" s="20" t="s">
        <v>28</v>
      </c>
      <c r="C182" s="20" t="s">
        <v>215</v>
      </c>
      <c r="D182" s="56" t="s">
        <v>217</v>
      </c>
      <c r="E182" s="31"/>
      <c r="F182" s="22">
        <f>F183</f>
        <v>151000</v>
      </c>
    </row>
    <row r="183" spans="1:6" s="36" customFormat="1" ht="92.25">
      <c r="A183" s="49" t="s">
        <v>218</v>
      </c>
      <c r="B183" s="32" t="s">
        <v>28</v>
      </c>
      <c r="C183" s="32" t="s">
        <v>215</v>
      </c>
      <c r="D183" s="56" t="s">
        <v>219</v>
      </c>
      <c r="E183" s="34"/>
      <c r="F183" s="35">
        <f>F184+F187+F190+F193+F196</f>
        <v>151000</v>
      </c>
    </row>
    <row r="184" spans="1:6" ht="26.25" hidden="1">
      <c r="A184" s="49" t="s">
        <v>220</v>
      </c>
      <c r="B184" s="20" t="s">
        <v>28</v>
      </c>
      <c r="C184" s="20" t="s">
        <v>215</v>
      </c>
      <c r="D184" s="48" t="s">
        <v>221</v>
      </c>
      <c r="E184" s="31"/>
      <c r="F184" s="22">
        <f>F185</f>
        <v>0</v>
      </c>
    </row>
    <row r="185" spans="1:6" ht="39" hidden="1">
      <c r="A185" s="29" t="s">
        <v>222</v>
      </c>
      <c r="B185" s="20" t="s">
        <v>28</v>
      </c>
      <c r="C185" s="20" t="s">
        <v>215</v>
      </c>
      <c r="D185" s="48" t="s">
        <v>223</v>
      </c>
      <c r="E185" s="31"/>
      <c r="F185" s="22">
        <f>F186</f>
        <v>0</v>
      </c>
    </row>
    <row r="186" spans="1:6" ht="26.25" hidden="1">
      <c r="A186" s="29" t="s">
        <v>37</v>
      </c>
      <c r="B186" s="20" t="s">
        <v>28</v>
      </c>
      <c r="C186" s="20" t="s">
        <v>215</v>
      </c>
      <c r="D186" s="48" t="s">
        <v>223</v>
      </c>
      <c r="E186" s="31" t="s">
        <v>38</v>
      </c>
      <c r="F186" s="22"/>
    </row>
    <row r="187" spans="1:6" ht="52.5">
      <c r="A187" s="49" t="s">
        <v>224</v>
      </c>
      <c r="B187" s="20" t="s">
        <v>28</v>
      </c>
      <c r="C187" s="20" t="s">
        <v>215</v>
      </c>
      <c r="D187" s="48" t="s">
        <v>225</v>
      </c>
      <c r="E187" s="31"/>
      <c r="F187" s="22">
        <f>F188</f>
        <v>51000</v>
      </c>
    </row>
    <row r="188" spans="1:6" ht="39">
      <c r="A188" s="29" t="s">
        <v>222</v>
      </c>
      <c r="B188" s="20" t="s">
        <v>28</v>
      </c>
      <c r="C188" s="20" t="s">
        <v>215</v>
      </c>
      <c r="D188" s="48" t="s">
        <v>226</v>
      </c>
      <c r="E188" s="31"/>
      <c r="F188" s="22">
        <f>F189</f>
        <v>51000</v>
      </c>
    </row>
    <row r="189" spans="1:6" ht="25.5" customHeight="1">
      <c r="A189" s="29" t="s">
        <v>37</v>
      </c>
      <c r="B189" s="20" t="s">
        <v>28</v>
      </c>
      <c r="C189" s="20" t="s">
        <v>215</v>
      </c>
      <c r="D189" s="48" t="s">
        <v>226</v>
      </c>
      <c r="E189" s="31" t="s">
        <v>38</v>
      </c>
      <c r="F189" s="22">
        <v>51000</v>
      </c>
    </row>
    <row r="190" spans="1:6" ht="39" hidden="1">
      <c r="A190" s="49" t="s">
        <v>227</v>
      </c>
      <c r="B190" s="20" t="s">
        <v>28</v>
      </c>
      <c r="C190" s="20" t="s">
        <v>215</v>
      </c>
      <c r="D190" s="48" t="s">
        <v>228</v>
      </c>
      <c r="E190" s="31"/>
      <c r="F190" s="22">
        <f>F191</f>
        <v>0</v>
      </c>
    </row>
    <row r="191" spans="1:6" ht="39" hidden="1">
      <c r="A191" s="29" t="s">
        <v>222</v>
      </c>
      <c r="B191" s="20" t="s">
        <v>28</v>
      </c>
      <c r="C191" s="20" t="s">
        <v>215</v>
      </c>
      <c r="D191" s="48" t="s">
        <v>229</v>
      </c>
      <c r="E191" s="31"/>
      <c r="F191" s="22">
        <f>F192</f>
        <v>0</v>
      </c>
    </row>
    <row r="192" spans="1:6" ht="26.25" hidden="1">
      <c r="A192" s="29" t="s">
        <v>37</v>
      </c>
      <c r="B192" s="20" t="s">
        <v>28</v>
      </c>
      <c r="C192" s="20" t="s">
        <v>215</v>
      </c>
      <c r="D192" s="48" t="s">
        <v>229</v>
      </c>
      <c r="E192" s="31" t="s">
        <v>38</v>
      </c>
      <c r="F192" s="22"/>
    </row>
    <row r="193" spans="1:6" ht="26.25" hidden="1">
      <c r="A193" s="49" t="s">
        <v>230</v>
      </c>
      <c r="B193" s="20" t="s">
        <v>28</v>
      </c>
      <c r="C193" s="20" t="s">
        <v>215</v>
      </c>
      <c r="D193" s="48" t="s">
        <v>231</v>
      </c>
      <c r="E193" s="31"/>
      <c r="F193" s="22">
        <f>F194</f>
        <v>0</v>
      </c>
    </row>
    <row r="194" spans="1:6" ht="39" hidden="1">
      <c r="A194" s="29" t="s">
        <v>222</v>
      </c>
      <c r="B194" s="20" t="s">
        <v>28</v>
      </c>
      <c r="C194" s="20" t="s">
        <v>215</v>
      </c>
      <c r="D194" s="48" t="s">
        <v>232</v>
      </c>
      <c r="E194" s="31"/>
      <c r="F194" s="22">
        <f>F195</f>
        <v>0</v>
      </c>
    </row>
    <row r="195" spans="1:6" ht="26.25" hidden="1">
      <c r="A195" s="29" t="s">
        <v>37</v>
      </c>
      <c r="B195" s="20" t="s">
        <v>28</v>
      </c>
      <c r="C195" s="20" t="s">
        <v>215</v>
      </c>
      <c r="D195" s="48" t="s">
        <v>232</v>
      </c>
      <c r="E195" s="31" t="s">
        <v>38</v>
      </c>
      <c r="F195" s="22"/>
    </row>
    <row r="196" spans="1:6" ht="26.25">
      <c r="A196" s="202" t="s">
        <v>726</v>
      </c>
      <c r="B196" s="20" t="s">
        <v>28</v>
      </c>
      <c r="C196" s="20" t="s">
        <v>215</v>
      </c>
      <c r="D196" s="48" t="s">
        <v>704</v>
      </c>
      <c r="E196" s="31"/>
      <c r="F196" s="22">
        <f>F197</f>
        <v>100000</v>
      </c>
    </row>
    <row r="197" spans="1:6" ht="26.25">
      <c r="A197" s="186" t="s">
        <v>725</v>
      </c>
      <c r="B197" s="20" t="s">
        <v>28</v>
      </c>
      <c r="C197" s="20" t="s">
        <v>215</v>
      </c>
      <c r="D197" s="48" t="s">
        <v>705</v>
      </c>
      <c r="E197" s="31"/>
      <c r="F197" s="22">
        <f>F198</f>
        <v>100000</v>
      </c>
    </row>
    <row r="198" spans="1:6" ht="26.25">
      <c r="A198" s="29" t="s">
        <v>37</v>
      </c>
      <c r="B198" s="20" t="s">
        <v>28</v>
      </c>
      <c r="C198" s="20" t="s">
        <v>215</v>
      </c>
      <c r="D198" s="48" t="s">
        <v>705</v>
      </c>
      <c r="E198" s="31" t="s">
        <v>38</v>
      </c>
      <c r="F198" s="22">
        <f>100000</f>
        <v>100000</v>
      </c>
    </row>
    <row r="199" spans="1:6" ht="13.5">
      <c r="A199" s="26" t="s">
        <v>233</v>
      </c>
      <c r="B199" s="20" t="s">
        <v>41</v>
      </c>
      <c r="C199" s="20"/>
      <c r="D199" s="20"/>
      <c r="E199" s="21"/>
      <c r="F199" s="22">
        <f>F200+F207+F237</f>
        <v>23827182.5</v>
      </c>
    </row>
    <row r="200" spans="1:6" ht="13.5">
      <c r="A200" s="26" t="s">
        <v>234</v>
      </c>
      <c r="B200" s="20" t="s">
        <v>41</v>
      </c>
      <c r="C200" s="20" t="s">
        <v>235</v>
      </c>
      <c r="D200" s="20"/>
      <c r="E200" s="21"/>
      <c r="F200" s="22">
        <f>F201</f>
        <v>1599256</v>
      </c>
    </row>
    <row r="201" spans="1:6" ht="39">
      <c r="A201" s="62" t="s">
        <v>153</v>
      </c>
      <c r="B201" s="20" t="s">
        <v>41</v>
      </c>
      <c r="C201" s="20" t="s">
        <v>235</v>
      </c>
      <c r="D201" s="48" t="s">
        <v>154</v>
      </c>
      <c r="E201" s="21"/>
      <c r="F201" s="22">
        <f>F202</f>
        <v>1599256</v>
      </c>
    </row>
    <row r="202" spans="1:6" s="36" customFormat="1" ht="66">
      <c r="A202" s="63" t="s">
        <v>236</v>
      </c>
      <c r="B202" s="32" t="s">
        <v>41</v>
      </c>
      <c r="C202" s="32" t="s">
        <v>235</v>
      </c>
      <c r="D202" s="56" t="s">
        <v>237</v>
      </c>
      <c r="E202" s="39"/>
      <c r="F202" s="35">
        <f>F203</f>
        <v>1599256</v>
      </c>
    </row>
    <row r="203" spans="1:6" ht="26.25">
      <c r="A203" s="41" t="s">
        <v>238</v>
      </c>
      <c r="B203" s="20" t="s">
        <v>41</v>
      </c>
      <c r="C203" s="20" t="s">
        <v>235</v>
      </c>
      <c r="D203" s="48" t="s">
        <v>239</v>
      </c>
      <c r="E203" s="21"/>
      <c r="F203" s="22">
        <f>F204</f>
        <v>1599256</v>
      </c>
    </row>
    <row r="204" spans="1:6" ht="13.5">
      <c r="A204" s="26" t="s">
        <v>240</v>
      </c>
      <c r="B204" s="20" t="s">
        <v>41</v>
      </c>
      <c r="C204" s="20" t="s">
        <v>235</v>
      </c>
      <c r="D204" s="48" t="s">
        <v>241</v>
      </c>
      <c r="E204" s="21"/>
      <c r="F204" s="22">
        <f>F206+F205</f>
        <v>1599256</v>
      </c>
    </row>
    <row r="205" spans="1:6" ht="26.25">
      <c r="A205" s="29" t="s">
        <v>37</v>
      </c>
      <c r="B205" s="20" t="s">
        <v>41</v>
      </c>
      <c r="C205" s="20" t="s">
        <v>235</v>
      </c>
      <c r="D205" s="48" t="s">
        <v>241</v>
      </c>
      <c r="E205" s="21" t="s">
        <v>38</v>
      </c>
      <c r="F205" s="22">
        <v>10000</v>
      </c>
    </row>
    <row r="206" spans="1:6" ht="13.5">
      <c r="A206" s="29" t="s">
        <v>79</v>
      </c>
      <c r="B206" s="20" t="s">
        <v>41</v>
      </c>
      <c r="C206" s="20" t="s">
        <v>235</v>
      </c>
      <c r="D206" s="48" t="s">
        <v>241</v>
      </c>
      <c r="E206" s="21" t="s">
        <v>80</v>
      </c>
      <c r="F206" s="22">
        <f>901000+688256</f>
        <v>1589256</v>
      </c>
    </row>
    <row r="207" spans="1:6" ht="13.5">
      <c r="A207" s="26" t="s">
        <v>242</v>
      </c>
      <c r="B207" s="20" t="s">
        <v>41</v>
      </c>
      <c r="C207" s="20" t="s">
        <v>215</v>
      </c>
      <c r="D207" s="20"/>
      <c r="E207" s="21"/>
      <c r="F207" s="22">
        <f>F208+F232</f>
        <v>18209743.5</v>
      </c>
    </row>
    <row r="208" spans="1:6" ht="39">
      <c r="A208" s="64" t="s">
        <v>153</v>
      </c>
      <c r="B208" s="20" t="s">
        <v>41</v>
      </c>
      <c r="C208" s="20" t="s">
        <v>215</v>
      </c>
      <c r="D208" s="48" t="s">
        <v>154</v>
      </c>
      <c r="E208" s="21"/>
      <c r="F208" s="22">
        <f>F209+F228</f>
        <v>18209743.5</v>
      </c>
    </row>
    <row r="209" spans="1:6" s="36" customFormat="1" ht="66">
      <c r="A209" s="65" t="s">
        <v>243</v>
      </c>
      <c r="B209" s="32" t="s">
        <v>41</v>
      </c>
      <c r="C209" s="32" t="s">
        <v>215</v>
      </c>
      <c r="D209" s="56" t="s">
        <v>244</v>
      </c>
      <c r="E209" s="39"/>
      <c r="F209" s="35">
        <f>F210+F217</f>
        <v>17966743.5</v>
      </c>
    </row>
    <row r="210" spans="1:6" ht="26.25">
      <c r="A210" s="41" t="s">
        <v>245</v>
      </c>
      <c r="B210" s="20" t="s">
        <v>41</v>
      </c>
      <c r="C210" s="20" t="s">
        <v>215</v>
      </c>
      <c r="D210" s="48" t="s">
        <v>246</v>
      </c>
      <c r="E210" s="21"/>
      <c r="F210" s="22">
        <f>F211+F213+F215</f>
        <v>13272743.5</v>
      </c>
    </row>
    <row r="211" spans="1:6" ht="13.5">
      <c r="A211" s="29" t="s">
        <v>251</v>
      </c>
      <c r="B211" s="20" t="s">
        <v>41</v>
      </c>
      <c r="C211" s="20" t="s">
        <v>215</v>
      </c>
      <c r="D211" s="48" t="s">
        <v>677</v>
      </c>
      <c r="E211" s="21"/>
      <c r="F211" s="22">
        <f>F212</f>
        <v>5533573</v>
      </c>
    </row>
    <row r="212" spans="1:6" ht="13.5">
      <c r="A212" s="29" t="s">
        <v>87</v>
      </c>
      <c r="B212" s="20" t="s">
        <v>41</v>
      </c>
      <c r="C212" s="20" t="s">
        <v>215</v>
      </c>
      <c r="D212" s="48" t="s">
        <v>677</v>
      </c>
      <c r="E212" s="21" t="s">
        <v>38</v>
      </c>
      <c r="F212" s="22">
        <v>5533573</v>
      </c>
    </row>
    <row r="213" spans="1:6" ht="13.5">
      <c r="A213" s="29" t="s">
        <v>255</v>
      </c>
      <c r="B213" s="20" t="s">
        <v>41</v>
      </c>
      <c r="C213" s="20" t="s">
        <v>215</v>
      </c>
      <c r="D213" s="48" t="s">
        <v>678</v>
      </c>
      <c r="E213" s="21"/>
      <c r="F213" s="22">
        <f>F214</f>
        <v>5375550</v>
      </c>
    </row>
    <row r="214" spans="1:6" ht="17.25" customHeight="1">
      <c r="A214" s="29" t="s">
        <v>87</v>
      </c>
      <c r="B214" s="20" t="s">
        <v>41</v>
      </c>
      <c r="C214" s="20" t="s">
        <v>215</v>
      </c>
      <c r="D214" s="48" t="s">
        <v>678</v>
      </c>
      <c r="E214" s="21" t="s">
        <v>38</v>
      </c>
      <c r="F214" s="22">
        <v>5375550</v>
      </c>
    </row>
    <row r="215" spans="1:6" ht="26.25">
      <c r="A215" s="29" t="s">
        <v>247</v>
      </c>
      <c r="B215" s="20" t="s">
        <v>41</v>
      </c>
      <c r="C215" s="20" t="s">
        <v>215</v>
      </c>
      <c r="D215" s="48" t="s">
        <v>248</v>
      </c>
      <c r="E215" s="21"/>
      <c r="F215" s="22">
        <f>F216</f>
        <v>2363620.5</v>
      </c>
    </row>
    <row r="216" spans="1:6" ht="13.5">
      <c r="A216" s="29" t="s">
        <v>87</v>
      </c>
      <c r="B216" s="20" t="s">
        <v>41</v>
      </c>
      <c r="C216" s="20" t="s">
        <v>215</v>
      </c>
      <c r="D216" s="48" t="s">
        <v>248</v>
      </c>
      <c r="E216" s="21" t="s">
        <v>38</v>
      </c>
      <c r="F216" s="22">
        <f>1000000+1363620.5</f>
        <v>2363620.5</v>
      </c>
    </row>
    <row r="217" spans="1:9" ht="26.25">
      <c r="A217" s="41" t="s">
        <v>249</v>
      </c>
      <c r="B217" s="20" t="s">
        <v>41</v>
      </c>
      <c r="C217" s="20" t="s">
        <v>215</v>
      </c>
      <c r="D217" s="48" t="s">
        <v>250</v>
      </c>
      <c r="E217" s="21"/>
      <c r="F217" s="22">
        <f>F218+F220+F222+F224+F226</f>
        <v>4694000</v>
      </c>
      <c r="I217" s="28"/>
    </row>
    <row r="218" spans="1:9" ht="13.5">
      <c r="A218" s="29" t="s">
        <v>251</v>
      </c>
      <c r="B218" s="20" t="s">
        <v>41</v>
      </c>
      <c r="C218" s="20" t="s">
        <v>215</v>
      </c>
      <c r="D218" s="48" t="s">
        <v>252</v>
      </c>
      <c r="E218" s="21"/>
      <c r="F218" s="22">
        <f>F219</f>
        <v>1800000</v>
      </c>
      <c r="I218" s="28"/>
    </row>
    <row r="219" spans="1:9" ht="26.25">
      <c r="A219" s="26" t="s">
        <v>253</v>
      </c>
      <c r="B219" s="20" t="s">
        <v>41</v>
      </c>
      <c r="C219" s="20" t="s">
        <v>215</v>
      </c>
      <c r="D219" s="48" t="s">
        <v>252</v>
      </c>
      <c r="E219" s="21" t="s">
        <v>254</v>
      </c>
      <c r="F219" s="22">
        <v>1800000</v>
      </c>
      <c r="I219" s="28"/>
    </row>
    <row r="220" spans="1:9" ht="24" customHeight="1">
      <c r="A220" s="29" t="s">
        <v>255</v>
      </c>
      <c r="B220" s="20" t="s">
        <v>41</v>
      </c>
      <c r="C220" s="20" t="s">
        <v>215</v>
      </c>
      <c r="D220" s="48" t="s">
        <v>256</v>
      </c>
      <c r="E220" s="21"/>
      <c r="F220" s="22">
        <f>F221</f>
        <v>1644000</v>
      </c>
      <c r="I220" s="28"/>
    </row>
    <row r="221" spans="1:9" ht="26.25">
      <c r="A221" s="26" t="s">
        <v>253</v>
      </c>
      <c r="B221" s="20" t="s">
        <v>41</v>
      </c>
      <c r="C221" s="20" t="s">
        <v>215</v>
      </c>
      <c r="D221" s="48" t="s">
        <v>256</v>
      </c>
      <c r="E221" s="21" t="s">
        <v>254</v>
      </c>
      <c r="F221" s="22">
        <f>1494000+150000</f>
        <v>1644000</v>
      </c>
      <c r="I221" s="28"/>
    </row>
    <row r="222" spans="1:9" ht="26.25" hidden="1">
      <c r="A222" s="41" t="s">
        <v>257</v>
      </c>
      <c r="B222" s="20" t="s">
        <v>41</v>
      </c>
      <c r="C222" s="20" t="s">
        <v>215</v>
      </c>
      <c r="D222" s="48" t="s">
        <v>258</v>
      </c>
      <c r="E222" s="21"/>
      <c r="F222" s="22">
        <f>F223</f>
        <v>0</v>
      </c>
      <c r="I222" s="28"/>
    </row>
    <row r="223" spans="1:9" ht="27" hidden="1">
      <c r="A223" s="67" t="s">
        <v>253</v>
      </c>
      <c r="B223" s="20" t="s">
        <v>41</v>
      </c>
      <c r="C223" s="20" t="s">
        <v>215</v>
      </c>
      <c r="D223" s="48" t="s">
        <v>258</v>
      </c>
      <c r="E223" s="21" t="s">
        <v>254</v>
      </c>
      <c r="F223" s="22"/>
      <c r="I223" s="28"/>
    </row>
    <row r="224" spans="1:9" ht="41.25">
      <c r="A224" s="68" t="s">
        <v>259</v>
      </c>
      <c r="B224" s="20" t="s">
        <v>41</v>
      </c>
      <c r="C224" s="20" t="s">
        <v>215</v>
      </c>
      <c r="D224" s="48" t="s">
        <v>260</v>
      </c>
      <c r="E224" s="21"/>
      <c r="F224" s="22">
        <f>F225</f>
        <v>0</v>
      </c>
      <c r="I224" s="28"/>
    </row>
    <row r="225" spans="1:9" ht="27">
      <c r="A225" s="67" t="s">
        <v>253</v>
      </c>
      <c r="B225" s="20" t="s">
        <v>41</v>
      </c>
      <c r="C225" s="20" t="s">
        <v>215</v>
      </c>
      <c r="D225" s="48" t="s">
        <v>260</v>
      </c>
      <c r="E225" s="21" t="s">
        <v>254</v>
      </c>
      <c r="F225" s="22"/>
      <c r="I225" s="28"/>
    </row>
    <row r="226" spans="1:9" ht="26.25">
      <c r="A226" s="29" t="s">
        <v>261</v>
      </c>
      <c r="B226" s="20" t="s">
        <v>41</v>
      </c>
      <c r="C226" s="20" t="s">
        <v>215</v>
      </c>
      <c r="D226" s="48" t="s">
        <v>262</v>
      </c>
      <c r="E226" s="21"/>
      <c r="F226" s="22">
        <f>F227</f>
        <v>1250000</v>
      </c>
      <c r="I226" s="28"/>
    </row>
    <row r="227" spans="1:9" ht="27">
      <c r="A227" s="67" t="s">
        <v>253</v>
      </c>
      <c r="B227" s="20" t="s">
        <v>41</v>
      </c>
      <c r="C227" s="20" t="s">
        <v>215</v>
      </c>
      <c r="D227" s="48" t="s">
        <v>262</v>
      </c>
      <c r="E227" s="21" t="s">
        <v>254</v>
      </c>
      <c r="F227" s="22">
        <f>650000+600000</f>
        <v>1250000</v>
      </c>
      <c r="I227" s="28"/>
    </row>
    <row r="228" spans="1:9" ht="66">
      <c r="A228" s="69" t="s">
        <v>155</v>
      </c>
      <c r="B228" s="20" t="s">
        <v>41</v>
      </c>
      <c r="C228" s="20" t="s">
        <v>215</v>
      </c>
      <c r="D228" s="56" t="s">
        <v>156</v>
      </c>
      <c r="E228" s="21"/>
      <c r="F228" s="22">
        <f>F229</f>
        <v>243000</v>
      </c>
      <c r="I228" s="28"/>
    </row>
    <row r="229" spans="1:9" ht="26.25">
      <c r="A229" s="53" t="s">
        <v>263</v>
      </c>
      <c r="B229" s="20" t="s">
        <v>41</v>
      </c>
      <c r="C229" s="20" t="s">
        <v>215</v>
      </c>
      <c r="D229" s="48" t="s">
        <v>264</v>
      </c>
      <c r="E229" s="21"/>
      <c r="F229" s="22">
        <f>F230</f>
        <v>243000</v>
      </c>
      <c r="I229" s="28"/>
    </row>
    <row r="230" spans="1:9" ht="13.5">
      <c r="A230" s="41" t="s">
        <v>265</v>
      </c>
      <c r="B230" s="20" t="s">
        <v>41</v>
      </c>
      <c r="C230" s="20" t="s">
        <v>215</v>
      </c>
      <c r="D230" s="48" t="s">
        <v>266</v>
      </c>
      <c r="E230" s="21"/>
      <c r="F230" s="22">
        <f>F231</f>
        <v>243000</v>
      </c>
      <c r="I230" s="28"/>
    </row>
    <row r="231" spans="1:9" ht="13.5">
      <c r="A231" s="29" t="s">
        <v>87</v>
      </c>
      <c r="B231" s="20" t="s">
        <v>41</v>
      </c>
      <c r="C231" s="20" t="s">
        <v>215</v>
      </c>
      <c r="D231" s="48" t="s">
        <v>266</v>
      </c>
      <c r="E231" s="21" t="s">
        <v>38</v>
      </c>
      <c r="F231" s="22">
        <f>600000-357000</f>
        <v>243000</v>
      </c>
      <c r="I231" s="28"/>
    </row>
    <row r="232" spans="1:9" ht="39" hidden="1">
      <c r="A232" s="51" t="s">
        <v>267</v>
      </c>
      <c r="B232" s="20" t="s">
        <v>41</v>
      </c>
      <c r="C232" s="20" t="s">
        <v>215</v>
      </c>
      <c r="D232" s="48" t="s">
        <v>268</v>
      </c>
      <c r="E232" s="21"/>
      <c r="F232" s="22">
        <f>F233</f>
        <v>0</v>
      </c>
      <c r="I232" s="28"/>
    </row>
    <row r="233" spans="1:9" ht="69" hidden="1">
      <c r="A233" s="70" t="s">
        <v>269</v>
      </c>
      <c r="B233" s="20" t="s">
        <v>41</v>
      </c>
      <c r="C233" s="20" t="s">
        <v>215</v>
      </c>
      <c r="D233" s="56" t="s">
        <v>270</v>
      </c>
      <c r="E233" s="21"/>
      <c r="F233" s="22">
        <f>F234</f>
        <v>0</v>
      </c>
      <c r="I233" s="28"/>
    </row>
    <row r="234" spans="1:9" ht="26.25" hidden="1">
      <c r="A234" s="41" t="s">
        <v>249</v>
      </c>
      <c r="B234" s="20" t="s">
        <v>41</v>
      </c>
      <c r="C234" s="20" t="s">
        <v>215</v>
      </c>
      <c r="D234" s="56" t="s">
        <v>271</v>
      </c>
      <c r="E234" s="21"/>
      <c r="F234" s="22">
        <f>F235</f>
        <v>0</v>
      </c>
      <c r="I234" s="28"/>
    </row>
    <row r="235" spans="1:9" ht="26.25" hidden="1">
      <c r="A235" s="71" t="s">
        <v>272</v>
      </c>
      <c r="B235" s="20" t="s">
        <v>41</v>
      </c>
      <c r="C235" s="20" t="s">
        <v>215</v>
      </c>
      <c r="D235" s="48" t="s">
        <v>273</v>
      </c>
      <c r="E235" s="21"/>
      <c r="F235" s="22">
        <f>F236</f>
        <v>0</v>
      </c>
      <c r="I235" s="28"/>
    </row>
    <row r="236" spans="1:9" ht="26.25" hidden="1">
      <c r="A236" s="26" t="s">
        <v>253</v>
      </c>
      <c r="B236" s="20" t="s">
        <v>41</v>
      </c>
      <c r="C236" s="20" t="s">
        <v>215</v>
      </c>
      <c r="D236" s="48" t="s">
        <v>273</v>
      </c>
      <c r="E236" s="21" t="s">
        <v>254</v>
      </c>
      <c r="F236" s="22"/>
      <c r="I236" s="28"/>
    </row>
    <row r="237" spans="1:9" ht="13.5">
      <c r="A237" s="26" t="s">
        <v>274</v>
      </c>
      <c r="B237" s="20" t="s">
        <v>41</v>
      </c>
      <c r="C237" s="20" t="s">
        <v>275</v>
      </c>
      <c r="D237" s="20"/>
      <c r="E237" s="21"/>
      <c r="F237" s="22">
        <f>F238+F250+F268+F245+F263</f>
        <v>4018183</v>
      </c>
      <c r="I237" s="28"/>
    </row>
    <row r="238" spans="1:9" ht="39">
      <c r="A238" s="50" t="s">
        <v>276</v>
      </c>
      <c r="B238" s="20" t="s">
        <v>41</v>
      </c>
      <c r="C238" s="20" t="s">
        <v>275</v>
      </c>
      <c r="D238" s="20" t="s">
        <v>277</v>
      </c>
      <c r="E238" s="21"/>
      <c r="F238" s="22">
        <f>F239</f>
        <v>615000</v>
      </c>
      <c r="I238" s="28"/>
    </row>
    <row r="239" spans="1:9" s="36" customFormat="1" ht="66">
      <c r="A239" s="72" t="s">
        <v>278</v>
      </c>
      <c r="B239" s="32" t="s">
        <v>41</v>
      </c>
      <c r="C239" s="32" t="s">
        <v>275</v>
      </c>
      <c r="D239" s="32" t="s">
        <v>279</v>
      </c>
      <c r="E239" s="39"/>
      <c r="F239" s="35">
        <f>F240</f>
        <v>615000</v>
      </c>
      <c r="I239" s="73"/>
    </row>
    <row r="240" spans="1:6" ht="36.75" customHeight="1">
      <c r="A240" s="41" t="s">
        <v>676</v>
      </c>
      <c r="B240" s="20" t="s">
        <v>41</v>
      </c>
      <c r="C240" s="20" t="s">
        <v>275</v>
      </c>
      <c r="D240" s="20" t="s">
        <v>280</v>
      </c>
      <c r="E240" s="21"/>
      <c r="F240" s="22">
        <f>F241+F243</f>
        <v>615000</v>
      </c>
    </row>
    <row r="241" spans="1:6" ht="13.5" hidden="1">
      <c r="A241" s="27" t="s">
        <v>281</v>
      </c>
      <c r="B241" s="20" t="s">
        <v>41</v>
      </c>
      <c r="C241" s="20" t="s">
        <v>275</v>
      </c>
      <c r="D241" s="20" t="s">
        <v>282</v>
      </c>
      <c r="E241" s="21"/>
      <c r="F241" s="22">
        <f>F242</f>
        <v>0</v>
      </c>
    </row>
    <row r="242" spans="1:6" ht="26.25" hidden="1">
      <c r="A242" s="29" t="s">
        <v>37</v>
      </c>
      <c r="B242" s="20" t="s">
        <v>41</v>
      </c>
      <c r="C242" s="20" t="s">
        <v>275</v>
      </c>
      <c r="D242" s="20" t="s">
        <v>282</v>
      </c>
      <c r="E242" s="21" t="s">
        <v>38</v>
      </c>
      <c r="F242" s="22"/>
    </row>
    <row r="243" spans="1:6" ht="13.5">
      <c r="A243" s="27" t="s">
        <v>283</v>
      </c>
      <c r="B243" s="20" t="s">
        <v>41</v>
      </c>
      <c r="C243" s="20" t="s">
        <v>275</v>
      </c>
      <c r="D243" s="20" t="s">
        <v>284</v>
      </c>
      <c r="E243" s="21"/>
      <c r="F243" s="22">
        <f>F244</f>
        <v>615000</v>
      </c>
    </row>
    <row r="244" spans="1:6" ht="26.25">
      <c r="A244" s="29" t="s">
        <v>37</v>
      </c>
      <c r="B244" s="20" t="s">
        <v>41</v>
      </c>
      <c r="C244" s="20" t="s">
        <v>275</v>
      </c>
      <c r="D244" s="20" t="s">
        <v>284</v>
      </c>
      <c r="E244" s="21" t="s">
        <v>38</v>
      </c>
      <c r="F244" s="22">
        <f>200000+500000-85000</f>
        <v>615000</v>
      </c>
    </row>
    <row r="245" spans="1:6" ht="52.5" hidden="1">
      <c r="A245" s="74" t="s">
        <v>285</v>
      </c>
      <c r="B245" s="20" t="s">
        <v>41</v>
      </c>
      <c r="C245" s="20" t="s">
        <v>275</v>
      </c>
      <c r="D245" s="59" t="s">
        <v>286</v>
      </c>
      <c r="E245" s="21"/>
      <c r="F245" s="22">
        <f>F246</f>
        <v>0</v>
      </c>
    </row>
    <row r="246" spans="1:6" ht="6" customHeight="1" hidden="1">
      <c r="A246" s="26" t="s">
        <v>287</v>
      </c>
      <c r="B246" s="20" t="s">
        <v>41</v>
      </c>
      <c r="C246" s="20" t="s">
        <v>275</v>
      </c>
      <c r="D246" s="59" t="s">
        <v>288</v>
      </c>
      <c r="E246" s="21"/>
      <c r="F246" s="22">
        <f>F247</f>
        <v>0</v>
      </c>
    </row>
    <row r="247" spans="1:6" ht="26.25" hidden="1">
      <c r="A247" s="41" t="s">
        <v>289</v>
      </c>
      <c r="B247" s="20" t="s">
        <v>41</v>
      </c>
      <c r="C247" s="20" t="s">
        <v>275</v>
      </c>
      <c r="D247" s="75" t="s">
        <v>290</v>
      </c>
      <c r="E247" s="21"/>
      <c r="F247" s="22">
        <f>F248</f>
        <v>0</v>
      </c>
    </row>
    <row r="248" spans="1:6" ht="13.5" hidden="1">
      <c r="A248" s="19" t="s">
        <v>291</v>
      </c>
      <c r="B248" s="20" t="s">
        <v>41</v>
      </c>
      <c r="C248" s="20" t="s">
        <v>275</v>
      </c>
      <c r="D248" s="59" t="s">
        <v>292</v>
      </c>
      <c r="E248" s="21"/>
      <c r="F248" s="22">
        <f>F249</f>
        <v>0</v>
      </c>
    </row>
    <row r="249" spans="1:6" ht="13.5" hidden="1">
      <c r="A249" s="29" t="s">
        <v>87</v>
      </c>
      <c r="B249" s="20" t="s">
        <v>41</v>
      </c>
      <c r="C249" s="20" t="s">
        <v>275</v>
      </c>
      <c r="D249" s="59" t="s">
        <v>292</v>
      </c>
      <c r="E249" s="21" t="s">
        <v>38</v>
      </c>
      <c r="F249" s="22"/>
    </row>
    <row r="250" spans="1:6" ht="39">
      <c r="A250" s="50" t="s">
        <v>293</v>
      </c>
      <c r="B250" s="20" t="s">
        <v>41</v>
      </c>
      <c r="C250" s="20" t="s">
        <v>275</v>
      </c>
      <c r="D250" s="59" t="s">
        <v>294</v>
      </c>
      <c r="E250" s="21"/>
      <c r="F250" s="22">
        <f>F251</f>
        <v>3383183</v>
      </c>
    </row>
    <row r="251" spans="1:6" s="36" customFormat="1" ht="52.5">
      <c r="A251" s="51" t="s">
        <v>295</v>
      </c>
      <c r="B251" s="32" t="s">
        <v>41</v>
      </c>
      <c r="C251" s="32" t="s">
        <v>275</v>
      </c>
      <c r="D251" s="76" t="s">
        <v>296</v>
      </c>
      <c r="E251" s="39"/>
      <c r="F251" s="35">
        <f>F252</f>
        <v>3383183</v>
      </c>
    </row>
    <row r="252" spans="1:6" ht="26.25">
      <c r="A252" s="41" t="s">
        <v>297</v>
      </c>
      <c r="B252" s="20" t="s">
        <v>41</v>
      </c>
      <c r="C252" s="20" t="s">
        <v>275</v>
      </c>
      <c r="D252" s="45" t="s">
        <v>298</v>
      </c>
      <c r="E252" s="31"/>
      <c r="F252" s="22">
        <f>F261+F253+F258+F256</f>
        <v>3383183</v>
      </c>
    </row>
    <row r="253" spans="1:6" ht="46.5" customHeight="1">
      <c r="A253" s="41" t="s">
        <v>682</v>
      </c>
      <c r="B253" s="20" t="s">
        <v>41</v>
      </c>
      <c r="C253" s="20" t="s">
        <v>275</v>
      </c>
      <c r="D253" s="45" t="s">
        <v>299</v>
      </c>
      <c r="E253" s="31"/>
      <c r="F253" s="22">
        <f>F255+F254</f>
        <v>723228</v>
      </c>
    </row>
    <row r="254" spans="1:6" ht="26.25">
      <c r="A254" s="29" t="s">
        <v>37</v>
      </c>
      <c r="B254" s="20" t="s">
        <v>41</v>
      </c>
      <c r="C254" s="20" t="s">
        <v>275</v>
      </c>
      <c r="D254" s="45" t="s">
        <v>299</v>
      </c>
      <c r="E254" s="31" t="s">
        <v>38</v>
      </c>
      <c r="F254" s="22"/>
    </row>
    <row r="255" spans="1:6" ht="13.5">
      <c r="A255" s="77" t="s">
        <v>197</v>
      </c>
      <c r="B255" s="20" t="s">
        <v>41</v>
      </c>
      <c r="C255" s="20" t="s">
        <v>275</v>
      </c>
      <c r="D255" s="45" t="s">
        <v>299</v>
      </c>
      <c r="E255" s="31" t="s">
        <v>198</v>
      </c>
      <c r="F255" s="22">
        <v>723228</v>
      </c>
    </row>
    <row r="256" spans="1:6" ht="26.25">
      <c r="A256" s="186" t="s">
        <v>685</v>
      </c>
      <c r="B256" s="20" t="s">
        <v>41</v>
      </c>
      <c r="C256" s="20" t="s">
        <v>275</v>
      </c>
      <c r="D256" s="45" t="s">
        <v>684</v>
      </c>
      <c r="E256" s="31"/>
      <c r="F256" s="22">
        <f>F257</f>
        <v>700000</v>
      </c>
    </row>
    <row r="257" spans="1:6" ht="26.25">
      <c r="A257" s="29" t="s">
        <v>37</v>
      </c>
      <c r="B257" s="20" t="s">
        <v>41</v>
      </c>
      <c r="C257" s="20" t="s">
        <v>275</v>
      </c>
      <c r="D257" s="45" t="s">
        <v>684</v>
      </c>
      <c r="E257" s="31" t="s">
        <v>38</v>
      </c>
      <c r="F257" s="22">
        <v>700000</v>
      </c>
    </row>
    <row r="258" spans="1:6" ht="30.75" customHeight="1">
      <c r="A258" s="41" t="s">
        <v>683</v>
      </c>
      <c r="B258" s="20" t="s">
        <v>41</v>
      </c>
      <c r="C258" s="20" t="s">
        <v>275</v>
      </c>
      <c r="D258" s="45" t="s">
        <v>300</v>
      </c>
      <c r="E258" s="31"/>
      <c r="F258" s="22">
        <f>F260+F259</f>
        <v>309955</v>
      </c>
    </row>
    <row r="259" spans="1:6" ht="26.25">
      <c r="A259" s="29" t="s">
        <v>37</v>
      </c>
      <c r="B259" s="20" t="s">
        <v>41</v>
      </c>
      <c r="C259" s="20" t="s">
        <v>275</v>
      </c>
      <c r="D259" s="45" t="s">
        <v>300</v>
      </c>
      <c r="E259" s="31" t="s">
        <v>38</v>
      </c>
      <c r="F259" s="22"/>
    </row>
    <row r="260" spans="1:6" ht="13.5">
      <c r="A260" s="77" t="s">
        <v>197</v>
      </c>
      <c r="B260" s="20" t="s">
        <v>41</v>
      </c>
      <c r="C260" s="20" t="s">
        <v>275</v>
      </c>
      <c r="D260" s="45" t="s">
        <v>300</v>
      </c>
      <c r="E260" s="31" t="s">
        <v>198</v>
      </c>
      <c r="F260" s="22">
        <f>309955-1+1</f>
        <v>309955</v>
      </c>
    </row>
    <row r="261" spans="1:6" ht="39">
      <c r="A261" s="77" t="s">
        <v>301</v>
      </c>
      <c r="B261" s="20" t="s">
        <v>41</v>
      </c>
      <c r="C261" s="20" t="s">
        <v>275</v>
      </c>
      <c r="D261" s="45" t="s">
        <v>302</v>
      </c>
      <c r="E261" s="31"/>
      <c r="F261" s="22">
        <f>F262</f>
        <v>1650000</v>
      </c>
    </row>
    <row r="262" spans="1:6" ht="13.5">
      <c r="A262" s="77" t="s">
        <v>197</v>
      </c>
      <c r="B262" s="20" t="s">
        <v>41</v>
      </c>
      <c r="C262" s="20" t="s">
        <v>275</v>
      </c>
      <c r="D262" s="45" t="s">
        <v>302</v>
      </c>
      <c r="E262" s="31" t="s">
        <v>198</v>
      </c>
      <c r="F262" s="22">
        <v>1650000</v>
      </c>
    </row>
    <row r="263" spans="1:6" ht="39">
      <c r="A263" s="64" t="s">
        <v>153</v>
      </c>
      <c r="B263" s="20" t="s">
        <v>41</v>
      </c>
      <c r="C263" s="20" t="s">
        <v>275</v>
      </c>
      <c r="D263" s="45" t="s">
        <v>154</v>
      </c>
      <c r="E263" s="31"/>
      <c r="F263" s="22">
        <f>F264</f>
        <v>0</v>
      </c>
    </row>
    <row r="264" spans="1:6" ht="66">
      <c r="A264" s="69" t="s">
        <v>155</v>
      </c>
      <c r="B264" s="20" t="s">
        <v>41</v>
      </c>
      <c r="C264" s="20" t="s">
        <v>275</v>
      </c>
      <c r="D264" s="56" t="s">
        <v>156</v>
      </c>
      <c r="E264" s="21"/>
      <c r="F264" s="22">
        <f>F265</f>
        <v>0</v>
      </c>
    </row>
    <row r="265" spans="1:6" ht="26.25">
      <c r="A265" s="53" t="s">
        <v>263</v>
      </c>
      <c r="B265" s="20" t="s">
        <v>41</v>
      </c>
      <c r="C265" s="20" t="s">
        <v>275</v>
      </c>
      <c r="D265" s="48" t="s">
        <v>264</v>
      </c>
      <c r="E265" s="21"/>
      <c r="F265" s="22">
        <f>F266</f>
        <v>0</v>
      </c>
    </row>
    <row r="266" spans="1:6" ht="13.5">
      <c r="A266" s="41" t="s">
        <v>265</v>
      </c>
      <c r="B266" s="20" t="s">
        <v>41</v>
      </c>
      <c r="C266" s="20" t="s">
        <v>275</v>
      </c>
      <c r="D266" s="48" t="s">
        <v>266</v>
      </c>
      <c r="E266" s="21"/>
      <c r="F266" s="22">
        <f>F267</f>
        <v>0</v>
      </c>
    </row>
    <row r="267" spans="1:6" ht="13.5">
      <c r="A267" s="29" t="s">
        <v>87</v>
      </c>
      <c r="B267" s="20" t="s">
        <v>41</v>
      </c>
      <c r="C267" s="20" t="s">
        <v>275</v>
      </c>
      <c r="D267" s="48" t="s">
        <v>266</v>
      </c>
      <c r="E267" s="21" t="s">
        <v>38</v>
      </c>
      <c r="F267" s="22"/>
    </row>
    <row r="268" spans="1:6" ht="26.25">
      <c r="A268" s="51" t="s">
        <v>303</v>
      </c>
      <c r="B268" s="20" t="s">
        <v>41</v>
      </c>
      <c r="C268" s="20" t="s">
        <v>275</v>
      </c>
      <c r="D268" s="20" t="s">
        <v>304</v>
      </c>
      <c r="E268" s="31"/>
      <c r="F268" s="22">
        <f>F269+F273</f>
        <v>20000</v>
      </c>
    </row>
    <row r="269" spans="1:6" s="36" customFormat="1" ht="52.5">
      <c r="A269" s="72" t="s">
        <v>305</v>
      </c>
      <c r="B269" s="32" t="s">
        <v>41</v>
      </c>
      <c r="C269" s="32" t="s">
        <v>275</v>
      </c>
      <c r="D269" s="32" t="s">
        <v>306</v>
      </c>
      <c r="E269" s="34"/>
      <c r="F269" s="35">
        <f>F270</f>
        <v>20000</v>
      </c>
    </row>
    <row r="270" spans="1:6" ht="26.25">
      <c r="A270" s="72" t="s">
        <v>307</v>
      </c>
      <c r="B270" s="20" t="s">
        <v>41</v>
      </c>
      <c r="C270" s="20" t="s">
        <v>275</v>
      </c>
      <c r="D270" s="20" t="s">
        <v>308</v>
      </c>
      <c r="E270" s="31"/>
      <c r="F270" s="22">
        <f>F271</f>
        <v>20000</v>
      </c>
    </row>
    <row r="271" spans="1:6" ht="26.25">
      <c r="A271" s="27" t="s">
        <v>309</v>
      </c>
      <c r="B271" s="20" t="s">
        <v>41</v>
      </c>
      <c r="C271" s="20" t="s">
        <v>275</v>
      </c>
      <c r="D271" s="20" t="s">
        <v>310</v>
      </c>
      <c r="E271" s="31"/>
      <c r="F271" s="22">
        <f>F272</f>
        <v>20000</v>
      </c>
    </row>
    <row r="272" spans="1:6" ht="25.5" customHeight="1">
      <c r="A272" s="29" t="s">
        <v>37</v>
      </c>
      <c r="B272" s="20" t="s">
        <v>41</v>
      </c>
      <c r="C272" s="20" t="s">
        <v>275</v>
      </c>
      <c r="D272" s="20" t="s">
        <v>310</v>
      </c>
      <c r="E272" s="31" t="s">
        <v>38</v>
      </c>
      <c r="F272" s="22">
        <v>20000</v>
      </c>
    </row>
    <row r="273" spans="1:6" ht="52.5" hidden="1">
      <c r="A273" s="40" t="s">
        <v>311</v>
      </c>
      <c r="B273" s="32" t="s">
        <v>41</v>
      </c>
      <c r="C273" s="32" t="s">
        <v>275</v>
      </c>
      <c r="D273" s="32" t="s">
        <v>312</v>
      </c>
      <c r="E273" s="31"/>
      <c r="F273" s="22">
        <f>F274</f>
        <v>0</v>
      </c>
    </row>
    <row r="274" spans="1:6" ht="39" hidden="1">
      <c r="A274" s="72" t="s">
        <v>313</v>
      </c>
      <c r="B274" s="20" t="s">
        <v>41</v>
      </c>
      <c r="C274" s="20" t="s">
        <v>275</v>
      </c>
      <c r="D274" s="20" t="s">
        <v>314</v>
      </c>
      <c r="E274" s="31"/>
      <c r="F274" s="22">
        <f>F275</f>
        <v>0</v>
      </c>
    </row>
    <row r="275" spans="1:6" ht="26.25" hidden="1">
      <c r="A275" s="29" t="s">
        <v>315</v>
      </c>
      <c r="B275" s="20" t="s">
        <v>41</v>
      </c>
      <c r="C275" s="20" t="s">
        <v>275</v>
      </c>
      <c r="D275" s="20" t="s">
        <v>316</v>
      </c>
      <c r="E275" s="31"/>
      <c r="F275" s="22">
        <f>F276</f>
        <v>0</v>
      </c>
    </row>
    <row r="276" spans="1:6" ht="26.25" hidden="1">
      <c r="A276" s="29" t="s">
        <v>37</v>
      </c>
      <c r="B276" s="20" t="s">
        <v>41</v>
      </c>
      <c r="C276" s="20" t="s">
        <v>275</v>
      </c>
      <c r="D276" s="20" t="s">
        <v>316</v>
      </c>
      <c r="E276" s="31" t="s">
        <v>38</v>
      </c>
      <c r="F276" s="22"/>
    </row>
    <row r="277" spans="1:6" ht="18.75" customHeight="1">
      <c r="A277" s="29" t="s">
        <v>317</v>
      </c>
      <c r="B277" s="20" t="s">
        <v>93</v>
      </c>
      <c r="C277" s="20"/>
      <c r="D277" s="20"/>
      <c r="E277" s="31"/>
      <c r="F277" s="22">
        <f>F287+F278</f>
        <v>14381116</v>
      </c>
    </row>
    <row r="278" spans="1:6" ht="0.75" customHeight="1" hidden="1">
      <c r="A278" s="29" t="s">
        <v>318</v>
      </c>
      <c r="B278" s="20" t="s">
        <v>93</v>
      </c>
      <c r="C278" s="20" t="s">
        <v>16</v>
      </c>
      <c r="D278" s="20"/>
      <c r="E278" s="31"/>
      <c r="F278" s="22">
        <f>F279</f>
        <v>0</v>
      </c>
    </row>
    <row r="279" spans="1:6" ht="39" hidden="1">
      <c r="A279" s="29" t="s">
        <v>319</v>
      </c>
      <c r="B279" s="20" t="s">
        <v>93</v>
      </c>
      <c r="C279" s="20" t="s">
        <v>16</v>
      </c>
      <c r="D279" s="20" t="s">
        <v>294</v>
      </c>
      <c r="E279" s="31"/>
      <c r="F279" s="22">
        <f>F280</f>
        <v>0</v>
      </c>
    </row>
    <row r="280" spans="1:6" ht="66" hidden="1">
      <c r="A280" s="29" t="s">
        <v>320</v>
      </c>
      <c r="B280" s="20" t="s">
        <v>93</v>
      </c>
      <c r="C280" s="20" t="s">
        <v>16</v>
      </c>
      <c r="D280" s="20" t="s">
        <v>296</v>
      </c>
      <c r="E280" s="31"/>
      <c r="F280" s="22">
        <f>F281</f>
        <v>0</v>
      </c>
    </row>
    <row r="281" spans="1:6" ht="52.5" hidden="1">
      <c r="A281" s="29" t="s">
        <v>321</v>
      </c>
      <c r="B281" s="20" t="s">
        <v>93</v>
      </c>
      <c r="C281" s="20" t="s">
        <v>16</v>
      </c>
      <c r="D281" s="20" t="s">
        <v>322</v>
      </c>
      <c r="E281" s="31"/>
      <c r="F281" s="22">
        <f>F282+F284</f>
        <v>0</v>
      </c>
    </row>
    <row r="282" spans="1:6" ht="26.25" hidden="1">
      <c r="A282" s="29" t="s">
        <v>323</v>
      </c>
      <c r="B282" s="20" t="s">
        <v>93</v>
      </c>
      <c r="C282" s="20" t="s">
        <v>16</v>
      </c>
      <c r="D282" s="20" t="s">
        <v>324</v>
      </c>
      <c r="E282" s="31"/>
      <c r="F282" s="22">
        <f>F283</f>
        <v>0</v>
      </c>
    </row>
    <row r="283" spans="1:6" ht="13.5" hidden="1">
      <c r="A283" s="77" t="s">
        <v>197</v>
      </c>
      <c r="B283" s="20" t="s">
        <v>93</v>
      </c>
      <c r="C283" s="20" t="s">
        <v>16</v>
      </c>
      <c r="D283" s="20" t="s">
        <v>324</v>
      </c>
      <c r="E283" s="31" t="s">
        <v>198</v>
      </c>
      <c r="F283" s="22"/>
    </row>
    <row r="284" spans="1:6" ht="26.25" hidden="1">
      <c r="A284" s="77" t="s">
        <v>325</v>
      </c>
      <c r="B284" s="20" t="s">
        <v>93</v>
      </c>
      <c r="C284" s="20" t="s">
        <v>16</v>
      </c>
      <c r="D284" s="20" t="s">
        <v>326</v>
      </c>
      <c r="E284" s="31"/>
      <c r="F284" s="22">
        <f>F286+F285</f>
        <v>0</v>
      </c>
    </row>
    <row r="285" spans="1:6" ht="26.25" hidden="1">
      <c r="A285" s="29" t="s">
        <v>37</v>
      </c>
      <c r="B285" s="20" t="s">
        <v>93</v>
      </c>
      <c r="C285" s="20" t="s">
        <v>16</v>
      </c>
      <c r="D285" s="20" t="s">
        <v>326</v>
      </c>
      <c r="E285" s="31" t="s">
        <v>38</v>
      </c>
      <c r="F285" s="22"/>
    </row>
    <row r="286" spans="1:6" ht="26.25" hidden="1">
      <c r="A286" s="77" t="s">
        <v>253</v>
      </c>
      <c r="B286" s="20" t="s">
        <v>93</v>
      </c>
      <c r="C286" s="20" t="s">
        <v>16</v>
      </c>
      <c r="D286" s="20" t="s">
        <v>326</v>
      </c>
      <c r="E286" s="31" t="s">
        <v>254</v>
      </c>
      <c r="F286" s="22"/>
    </row>
    <row r="287" spans="1:6" ht="13.5">
      <c r="A287" s="29" t="s">
        <v>327</v>
      </c>
      <c r="B287" s="20" t="s">
        <v>93</v>
      </c>
      <c r="C287" s="20" t="s">
        <v>18</v>
      </c>
      <c r="D287" s="20"/>
      <c r="E287" s="31"/>
      <c r="F287" s="22">
        <f>F288+F300+F305</f>
        <v>14381116</v>
      </c>
    </row>
    <row r="288" spans="1:6" ht="39">
      <c r="A288" s="19" t="s">
        <v>328</v>
      </c>
      <c r="B288" s="20" t="s">
        <v>93</v>
      </c>
      <c r="C288" s="20" t="s">
        <v>18</v>
      </c>
      <c r="D288" s="48" t="s">
        <v>329</v>
      </c>
      <c r="E288" s="31"/>
      <c r="F288" s="22">
        <f>F289</f>
        <v>13081116</v>
      </c>
    </row>
    <row r="289" spans="1:6" s="36" customFormat="1" ht="52.5">
      <c r="A289" s="78" t="s">
        <v>330</v>
      </c>
      <c r="B289" s="32" t="s">
        <v>93</v>
      </c>
      <c r="C289" s="32" t="s">
        <v>18</v>
      </c>
      <c r="D289" s="48" t="s">
        <v>331</v>
      </c>
      <c r="E289" s="34"/>
      <c r="F289" s="35">
        <f>F290</f>
        <v>13081116</v>
      </c>
    </row>
    <row r="290" spans="1:6" ht="26.25">
      <c r="A290" s="41" t="s">
        <v>332</v>
      </c>
      <c r="B290" s="20" t="s">
        <v>93</v>
      </c>
      <c r="C290" s="20" t="s">
        <v>18</v>
      </c>
      <c r="D290" s="48" t="s">
        <v>331</v>
      </c>
      <c r="E290" s="31"/>
      <c r="F290" s="22">
        <f>F291+F294+F297</f>
        <v>13081116</v>
      </c>
    </row>
    <row r="291" spans="1:6" ht="39">
      <c r="A291" s="49" t="s">
        <v>333</v>
      </c>
      <c r="B291" s="20" t="s">
        <v>93</v>
      </c>
      <c r="C291" s="20" t="s">
        <v>18</v>
      </c>
      <c r="D291" s="48" t="s">
        <v>334</v>
      </c>
      <c r="E291" s="31"/>
      <c r="F291" s="22">
        <f>F292+F293</f>
        <v>10144848</v>
      </c>
    </row>
    <row r="292" spans="1:6" ht="26.25">
      <c r="A292" s="26" t="s">
        <v>253</v>
      </c>
      <c r="B292" s="20" t="s">
        <v>93</v>
      </c>
      <c r="C292" s="20" t="s">
        <v>18</v>
      </c>
      <c r="D292" s="48" t="s">
        <v>334</v>
      </c>
      <c r="E292" s="31" t="s">
        <v>254</v>
      </c>
      <c r="F292" s="22">
        <f>10144848-10144848</f>
        <v>0</v>
      </c>
    </row>
    <row r="293" spans="1:6" ht="13.5">
      <c r="A293" s="77" t="s">
        <v>197</v>
      </c>
      <c r="B293" s="20" t="s">
        <v>93</v>
      </c>
      <c r="C293" s="20" t="s">
        <v>18</v>
      </c>
      <c r="D293" s="48" t="s">
        <v>334</v>
      </c>
      <c r="E293" s="31" t="s">
        <v>198</v>
      </c>
      <c r="F293" s="22">
        <f>10144848</f>
        <v>10144848</v>
      </c>
    </row>
    <row r="294" spans="1:6" ht="39">
      <c r="A294" s="49" t="s">
        <v>335</v>
      </c>
      <c r="B294" s="20" t="s">
        <v>93</v>
      </c>
      <c r="C294" s="20" t="s">
        <v>18</v>
      </c>
      <c r="D294" s="48" t="s">
        <v>336</v>
      </c>
      <c r="E294" s="31"/>
      <c r="F294" s="22">
        <f>F295+F296</f>
        <v>1225122</v>
      </c>
    </row>
    <row r="295" spans="1:6" ht="26.25">
      <c r="A295" s="26" t="s">
        <v>253</v>
      </c>
      <c r="B295" s="20" t="s">
        <v>93</v>
      </c>
      <c r="C295" s="20" t="s">
        <v>18</v>
      </c>
      <c r="D295" s="48" t="s">
        <v>336</v>
      </c>
      <c r="E295" s="31" t="s">
        <v>254</v>
      </c>
      <c r="F295" s="22">
        <f>1225122-1225122</f>
        <v>0</v>
      </c>
    </row>
    <row r="296" spans="1:6" ht="13.5">
      <c r="A296" s="77" t="s">
        <v>197</v>
      </c>
      <c r="B296" s="20" t="s">
        <v>93</v>
      </c>
      <c r="C296" s="20" t="s">
        <v>18</v>
      </c>
      <c r="D296" s="48" t="s">
        <v>336</v>
      </c>
      <c r="E296" s="31" t="s">
        <v>198</v>
      </c>
      <c r="F296" s="22">
        <f>1225122</f>
        <v>1225122</v>
      </c>
    </row>
    <row r="297" spans="1:6" ht="26.25">
      <c r="A297" s="49" t="s">
        <v>337</v>
      </c>
      <c r="B297" s="20" t="s">
        <v>93</v>
      </c>
      <c r="C297" s="20" t="s">
        <v>18</v>
      </c>
      <c r="D297" s="48" t="s">
        <v>338</v>
      </c>
      <c r="E297" s="31"/>
      <c r="F297" s="22">
        <f>F298+F299</f>
        <v>1711146</v>
      </c>
    </row>
    <row r="298" spans="1:6" ht="26.25">
      <c r="A298" s="26" t="s">
        <v>253</v>
      </c>
      <c r="B298" s="20" t="s">
        <v>93</v>
      </c>
      <c r="C298" s="20" t="s">
        <v>18</v>
      </c>
      <c r="D298" s="48" t="s">
        <v>338</v>
      </c>
      <c r="E298" s="31" t="s">
        <v>254</v>
      </c>
      <c r="F298" s="22">
        <f>811146-811146</f>
        <v>0</v>
      </c>
    </row>
    <row r="299" spans="1:6" ht="13.5">
      <c r="A299" s="77" t="s">
        <v>197</v>
      </c>
      <c r="B299" s="20" t="s">
        <v>93</v>
      </c>
      <c r="C299" s="20" t="s">
        <v>18</v>
      </c>
      <c r="D299" s="48" t="s">
        <v>338</v>
      </c>
      <c r="E299" s="31" t="s">
        <v>198</v>
      </c>
      <c r="F299" s="22">
        <f>811146+900000</f>
        <v>1711146</v>
      </c>
    </row>
    <row r="300" spans="1:6" ht="39">
      <c r="A300" s="78" t="s">
        <v>339</v>
      </c>
      <c r="B300" s="20" t="s">
        <v>93</v>
      </c>
      <c r="C300" s="20" t="s">
        <v>18</v>
      </c>
      <c r="D300" s="48" t="s">
        <v>294</v>
      </c>
      <c r="E300" s="31"/>
      <c r="F300" s="22">
        <f>F301</f>
        <v>1300000</v>
      </c>
    </row>
    <row r="301" spans="1:6" s="36" customFormat="1" ht="66">
      <c r="A301" s="77" t="s">
        <v>340</v>
      </c>
      <c r="B301" s="32" t="s">
        <v>93</v>
      </c>
      <c r="C301" s="32" t="s">
        <v>18</v>
      </c>
      <c r="D301" s="56" t="s">
        <v>341</v>
      </c>
      <c r="E301" s="34"/>
      <c r="F301" s="35">
        <f>F302</f>
        <v>1300000</v>
      </c>
    </row>
    <row r="302" spans="1:6" ht="39">
      <c r="A302" s="41" t="s">
        <v>342</v>
      </c>
      <c r="B302" s="20" t="s">
        <v>93</v>
      </c>
      <c r="C302" s="20" t="s">
        <v>18</v>
      </c>
      <c r="D302" s="45" t="s">
        <v>343</v>
      </c>
      <c r="E302" s="31"/>
      <c r="F302" s="22">
        <f>F303</f>
        <v>1300000</v>
      </c>
    </row>
    <row r="303" spans="1:6" ht="39">
      <c r="A303" s="27" t="s">
        <v>344</v>
      </c>
      <c r="B303" s="20" t="s">
        <v>93</v>
      </c>
      <c r="C303" s="20" t="s">
        <v>18</v>
      </c>
      <c r="D303" s="45" t="s">
        <v>345</v>
      </c>
      <c r="E303" s="31"/>
      <c r="F303" s="22">
        <f>F304</f>
        <v>1300000</v>
      </c>
    </row>
    <row r="304" spans="1:6" ht="16.5" customHeight="1">
      <c r="A304" s="77" t="s">
        <v>197</v>
      </c>
      <c r="B304" s="20" t="s">
        <v>93</v>
      </c>
      <c r="C304" s="20" t="s">
        <v>18</v>
      </c>
      <c r="D304" s="45" t="s">
        <v>345</v>
      </c>
      <c r="E304" s="31" t="s">
        <v>198</v>
      </c>
      <c r="F304" s="22">
        <f>500000+500000+300000</f>
        <v>1300000</v>
      </c>
    </row>
    <row r="305" spans="1:6" ht="39" hidden="1">
      <c r="A305" s="51" t="s">
        <v>267</v>
      </c>
      <c r="B305" s="20" t="s">
        <v>93</v>
      </c>
      <c r="C305" s="20" t="s">
        <v>18</v>
      </c>
      <c r="D305" s="48" t="s">
        <v>268</v>
      </c>
      <c r="E305" s="31"/>
      <c r="F305" s="22">
        <f>F306</f>
        <v>0</v>
      </c>
    </row>
    <row r="306" spans="1:6" s="36" customFormat="1" ht="42.75" customHeight="1" hidden="1">
      <c r="A306" s="51" t="s">
        <v>346</v>
      </c>
      <c r="B306" s="32" t="s">
        <v>93</v>
      </c>
      <c r="C306" s="32" t="s">
        <v>18</v>
      </c>
      <c r="D306" s="56" t="s">
        <v>270</v>
      </c>
      <c r="E306" s="34"/>
      <c r="F306" s="35">
        <f>F307</f>
        <v>0</v>
      </c>
    </row>
    <row r="307" spans="1:6" ht="13.5" hidden="1">
      <c r="A307" s="79" t="s">
        <v>347</v>
      </c>
      <c r="B307" s="20" t="s">
        <v>93</v>
      </c>
      <c r="C307" s="20" t="s">
        <v>18</v>
      </c>
      <c r="D307" s="48" t="s">
        <v>348</v>
      </c>
      <c r="E307" s="31"/>
      <c r="F307" s="22">
        <f>F308+F316+F310+F312+F314</f>
        <v>0</v>
      </c>
    </row>
    <row r="308" spans="1:6" ht="13.5" hidden="1">
      <c r="A308" s="49" t="s">
        <v>349</v>
      </c>
      <c r="B308" s="20" t="s">
        <v>93</v>
      </c>
      <c r="C308" s="20" t="s">
        <v>18</v>
      </c>
      <c r="D308" s="48" t="s">
        <v>350</v>
      </c>
      <c r="E308" s="31"/>
      <c r="F308" s="22">
        <f>F309</f>
        <v>0</v>
      </c>
    </row>
    <row r="309" spans="1:6" ht="16.5" customHeight="1" hidden="1">
      <c r="A309" s="77" t="s">
        <v>197</v>
      </c>
      <c r="B309" s="20" t="s">
        <v>93</v>
      </c>
      <c r="C309" s="20" t="s">
        <v>18</v>
      </c>
      <c r="D309" s="48" t="s">
        <v>350</v>
      </c>
      <c r="E309" s="31" t="s">
        <v>198</v>
      </c>
      <c r="F309" s="22"/>
    </row>
    <row r="310" spans="1:6" ht="26.25" hidden="1">
      <c r="A310" s="71" t="s">
        <v>351</v>
      </c>
      <c r="B310" s="20" t="s">
        <v>93</v>
      </c>
      <c r="C310" s="20" t="s">
        <v>18</v>
      </c>
      <c r="D310" s="48" t="s">
        <v>352</v>
      </c>
      <c r="E310" s="31"/>
      <c r="F310" s="22">
        <f>F311</f>
        <v>0</v>
      </c>
    </row>
    <row r="311" spans="1:6" ht="13.5" hidden="1">
      <c r="A311" s="77" t="s">
        <v>197</v>
      </c>
      <c r="B311" s="20" t="s">
        <v>93</v>
      </c>
      <c r="C311" s="20" t="s">
        <v>18</v>
      </c>
      <c r="D311" s="48" t="s">
        <v>352</v>
      </c>
      <c r="E311" s="31" t="s">
        <v>198</v>
      </c>
      <c r="F311" s="22"/>
    </row>
    <row r="312" spans="1:6" ht="39" hidden="1">
      <c r="A312" s="71" t="s">
        <v>353</v>
      </c>
      <c r="B312" s="20" t="s">
        <v>93</v>
      </c>
      <c r="C312" s="20" t="s">
        <v>18</v>
      </c>
      <c r="D312" s="48" t="s">
        <v>354</v>
      </c>
      <c r="E312" s="31"/>
      <c r="F312" s="22">
        <f>F313</f>
        <v>0</v>
      </c>
    </row>
    <row r="313" spans="1:6" ht="13.5" hidden="1">
      <c r="A313" s="77" t="s">
        <v>197</v>
      </c>
      <c r="B313" s="20" t="s">
        <v>93</v>
      </c>
      <c r="C313" s="20" t="s">
        <v>18</v>
      </c>
      <c r="D313" s="48" t="s">
        <v>354</v>
      </c>
      <c r="E313" s="31" t="s">
        <v>198</v>
      </c>
      <c r="F313" s="22"/>
    </row>
    <row r="314" spans="1:6" ht="24" hidden="1">
      <c r="A314" s="80" t="s">
        <v>355</v>
      </c>
      <c r="B314" s="20" t="s">
        <v>93</v>
      </c>
      <c r="C314" s="20" t="s">
        <v>18</v>
      </c>
      <c r="D314" s="48" t="s">
        <v>356</v>
      </c>
      <c r="E314" s="31"/>
      <c r="F314" s="22">
        <f>F315</f>
        <v>0</v>
      </c>
    </row>
    <row r="315" spans="1:6" ht="13.5" hidden="1">
      <c r="A315" s="77" t="s">
        <v>197</v>
      </c>
      <c r="B315" s="20" t="s">
        <v>93</v>
      </c>
      <c r="C315" s="20" t="s">
        <v>18</v>
      </c>
      <c r="D315" s="48" t="s">
        <v>356</v>
      </c>
      <c r="E315" s="31" t="s">
        <v>198</v>
      </c>
      <c r="F315" s="22"/>
    </row>
    <row r="316" spans="1:6" ht="39" hidden="1">
      <c r="A316" s="27" t="s">
        <v>344</v>
      </c>
      <c r="B316" s="20" t="s">
        <v>93</v>
      </c>
      <c r="C316" s="20" t="s">
        <v>18</v>
      </c>
      <c r="D316" s="48" t="s">
        <v>357</v>
      </c>
      <c r="E316" s="31"/>
      <c r="F316" s="22">
        <f>F317</f>
        <v>0</v>
      </c>
    </row>
    <row r="317" spans="1:6" ht="13.5" hidden="1">
      <c r="A317" s="77" t="s">
        <v>197</v>
      </c>
      <c r="B317" s="20" t="s">
        <v>93</v>
      </c>
      <c r="C317" s="20" t="s">
        <v>18</v>
      </c>
      <c r="D317" s="48" t="s">
        <v>357</v>
      </c>
      <c r="E317" s="31" t="s">
        <v>198</v>
      </c>
      <c r="F317" s="22"/>
    </row>
    <row r="318" spans="1:6" ht="13.5">
      <c r="A318" s="77" t="s">
        <v>358</v>
      </c>
      <c r="B318" s="20" t="s">
        <v>97</v>
      </c>
      <c r="C318" s="20"/>
      <c r="D318" s="48"/>
      <c r="E318" s="31"/>
      <c r="F318" s="22">
        <f aca="true" t="shared" si="0" ref="F318:F323">F319</f>
        <v>27000000</v>
      </c>
    </row>
    <row r="319" spans="1:6" ht="13.5">
      <c r="A319" s="61" t="s">
        <v>359</v>
      </c>
      <c r="B319" s="20" t="s">
        <v>97</v>
      </c>
      <c r="C319" s="20" t="s">
        <v>93</v>
      </c>
      <c r="D319" s="48"/>
      <c r="E319" s="31"/>
      <c r="F319" s="22">
        <f t="shared" si="0"/>
        <v>27000000</v>
      </c>
    </row>
    <row r="320" spans="1:6" ht="39">
      <c r="A320" s="26" t="s">
        <v>328</v>
      </c>
      <c r="B320" s="20" t="s">
        <v>97</v>
      </c>
      <c r="C320" s="20" t="s">
        <v>93</v>
      </c>
      <c r="D320" s="48" t="s">
        <v>329</v>
      </c>
      <c r="E320" s="31"/>
      <c r="F320" s="22">
        <f t="shared" si="0"/>
        <v>27000000</v>
      </c>
    </row>
    <row r="321" spans="1:6" ht="52.5">
      <c r="A321" s="26" t="s">
        <v>330</v>
      </c>
      <c r="B321" s="20" t="s">
        <v>97</v>
      </c>
      <c r="C321" s="20" t="s">
        <v>93</v>
      </c>
      <c r="D321" s="48" t="s">
        <v>331</v>
      </c>
      <c r="E321" s="31"/>
      <c r="F321" s="22">
        <f t="shared" si="0"/>
        <v>27000000</v>
      </c>
    </row>
    <row r="322" spans="1:6" ht="13.5">
      <c r="A322" s="26" t="s">
        <v>688</v>
      </c>
      <c r="B322" s="20" t="s">
        <v>97</v>
      </c>
      <c r="C322" s="20" t="s">
        <v>93</v>
      </c>
      <c r="D322" s="48" t="s">
        <v>672</v>
      </c>
      <c r="E322" s="31"/>
      <c r="F322" s="22">
        <f t="shared" si="0"/>
        <v>27000000</v>
      </c>
    </row>
    <row r="323" spans="1:6" ht="13.5">
      <c r="A323" s="26" t="s">
        <v>360</v>
      </c>
      <c r="B323" s="20" t="s">
        <v>97</v>
      </c>
      <c r="C323" s="20" t="s">
        <v>93</v>
      </c>
      <c r="D323" s="48" t="s">
        <v>687</v>
      </c>
      <c r="E323" s="31"/>
      <c r="F323" s="22">
        <f t="shared" si="0"/>
        <v>27000000</v>
      </c>
    </row>
    <row r="324" spans="1:6" ht="26.25">
      <c r="A324" s="29" t="s">
        <v>37</v>
      </c>
      <c r="B324" s="20" t="s">
        <v>97</v>
      </c>
      <c r="C324" s="20" t="s">
        <v>93</v>
      </c>
      <c r="D324" s="48" t="s">
        <v>687</v>
      </c>
      <c r="E324" s="31" t="s">
        <v>38</v>
      </c>
      <c r="F324" s="22">
        <f>30000000-1000000-2000000</f>
        <v>27000000</v>
      </c>
    </row>
    <row r="325" spans="1:6" ht="18.75" customHeight="1">
      <c r="A325" s="26" t="s">
        <v>362</v>
      </c>
      <c r="B325" s="20" t="s">
        <v>104</v>
      </c>
      <c r="C325" s="20"/>
      <c r="D325" s="187"/>
      <c r="E325" s="55"/>
      <c r="F325" s="22">
        <f>F420+F326+F340+F449+F402</f>
        <v>432874506.48</v>
      </c>
    </row>
    <row r="326" spans="1:6" ht="13.5">
      <c r="A326" s="26" t="s">
        <v>363</v>
      </c>
      <c r="B326" s="20" t="s">
        <v>104</v>
      </c>
      <c r="C326" s="20" t="s">
        <v>16</v>
      </c>
      <c r="D326" s="48"/>
      <c r="E326" s="55"/>
      <c r="F326" s="22">
        <f>F327</f>
        <v>95856050.65</v>
      </c>
    </row>
    <row r="327" spans="1:6" ht="26.25">
      <c r="A327" s="26" t="s">
        <v>364</v>
      </c>
      <c r="B327" s="20" t="s">
        <v>104</v>
      </c>
      <c r="C327" s="20" t="s">
        <v>16</v>
      </c>
      <c r="D327" s="20" t="s">
        <v>365</v>
      </c>
      <c r="E327" s="21"/>
      <c r="F327" s="22">
        <f>F328</f>
        <v>95856050.65</v>
      </c>
    </row>
    <row r="328" spans="1:6" s="36" customFormat="1" ht="39">
      <c r="A328" s="19" t="s">
        <v>366</v>
      </c>
      <c r="B328" s="32" t="s">
        <v>104</v>
      </c>
      <c r="C328" s="32" t="s">
        <v>16</v>
      </c>
      <c r="D328" s="32" t="s">
        <v>367</v>
      </c>
      <c r="E328" s="39"/>
      <c r="F328" s="35">
        <f>F329</f>
        <v>95856050.65</v>
      </c>
    </row>
    <row r="329" spans="1:6" ht="26.25">
      <c r="A329" s="41" t="s">
        <v>368</v>
      </c>
      <c r="B329" s="20" t="s">
        <v>104</v>
      </c>
      <c r="C329" s="20" t="s">
        <v>16</v>
      </c>
      <c r="D329" s="20" t="s">
        <v>369</v>
      </c>
      <c r="E329" s="21"/>
      <c r="F329" s="22">
        <f>F330+F333+F338</f>
        <v>95856050.65</v>
      </c>
    </row>
    <row r="330" spans="1:6" ht="66">
      <c r="A330" s="38" t="s">
        <v>370</v>
      </c>
      <c r="B330" s="20" t="s">
        <v>104</v>
      </c>
      <c r="C330" s="20" t="s">
        <v>16</v>
      </c>
      <c r="D330" s="20" t="s">
        <v>371</v>
      </c>
      <c r="E330" s="21"/>
      <c r="F330" s="22">
        <f>F331+F332</f>
        <v>50718054</v>
      </c>
    </row>
    <row r="331" spans="1:6" ht="39">
      <c r="A331" s="81" t="s">
        <v>25</v>
      </c>
      <c r="B331" s="20" t="s">
        <v>104</v>
      </c>
      <c r="C331" s="20" t="s">
        <v>16</v>
      </c>
      <c r="D331" s="20" t="s">
        <v>371</v>
      </c>
      <c r="E331" s="21" t="s">
        <v>26</v>
      </c>
      <c r="F331" s="22">
        <v>50174926</v>
      </c>
    </row>
    <row r="332" spans="1:6" ht="26.25">
      <c r="A332" s="29" t="s">
        <v>37</v>
      </c>
      <c r="B332" s="20" t="s">
        <v>104</v>
      </c>
      <c r="C332" s="20" t="s">
        <v>16</v>
      </c>
      <c r="D332" s="20" t="s">
        <v>371</v>
      </c>
      <c r="E332" s="21" t="s">
        <v>38</v>
      </c>
      <c r="F332" s="22">
        <v>543128</v>
      </c>
    </row>
    <row r="333" spans="1:6" ht="26.25">
      <c r="A333" s="41" t="s">
        <v>199</v>
      </c>
      <c r="B333" s="20" t="s">
        <v>104</v>
      </c>
      <c r="C333" s="20" t="s">
        <v>16</v>
      </c>
      <c r="D333" s="20" t="s">
        <v>372</v>
      </c>
      <c r="E333" s="21"/>
      <c r="F333" s="22">
        <f>F334+F335+F337+F336</f>
        <v>44077918.65</v>
      </c>
    </row>
    <row r="334" spans="1:8" ht="39">
      <c r="A334" s="29" t="s">
        <v>25</v>
      </c>
      <c r="B334" s="20" t="s">
        <v>104</v>
      </c>
      <c r="C334" s="20" t="s">
        <v>16</v>
      </c>
      <c r="D334" s="20" t="s">
        <v>372</v>
      </c>
      <c r="E334" s="21" t="s">
        <v>26</v>
      </c>
      <c r="F334" s="22">
        <v>24158600</v>
      </c>
      <c r="H334" s="28"/>
    </row>
    <row r="335" spans="1:6" ht="26.25">
      <c r="A335" s="29" t="s">
        <v>37</v>
      </c>
      <c r="B335" s="20" t="s">
        <v>104</v>
      </c>
      <c r="C335" s="20" t="s">
        <v>16</v>
      </c>
      <c r="D335" s="20" t="s">
        <v>372</v>
      </c>
      <c r="E335" s="21" t="s">
        <v>38</v>
      </c>
      <c r="F335" s="22">
        <f>15546850+362000+10000.08+326233.57+209575+1466150+130000</f>
        <v>18050808.65</v>
      </c>
    </row>
    <row r="336" spans="1:6" ht="26.25" hidden="1">
      <c r="A336" s="26" t="s">
        <v>253</v>
      </c>
      <c r="B336" s="20" t="s">
        <v>104</v>
      </c>
      <c r="C336" s="20" t="s">
        <v>16</v>
      </c>
      <c r="D336" s="20" t="s">
        <v>372</v>
      </c>
      <c r="E336" s="21" t="s">
        <v>254</v>
      </c>
      <c r="F336" s="22"/>
    </row>
    <row r="337" spans="1:9" ht="13.5">
      <c r="A337" s="41" t="s">
        <v>79</v>
      </c>
      <c r="B337" s="20" t="s">
        <v>104</v>
      </c>
      <c r="C337" s="20" t="s">
        <v>16</v>
      </c>
      <c r="D337" s="20" t="s">
        <v>372</v>
      </c>
      <c r="E337" s="21" t="s">
        <v>80</v>
      </c>
      <c r="F337" s="22">
        <v>1868510</v>
      </c>
      <c r="H337" s="113"/>
      <c r="I337" s="28"/>
    </row>
    <row r="338" spans="1:9" ht="26.25">
      <c r="A338" s="41" t="s">
        <v>725</v>
      </c>
      <c r="B338" s="20" t="s">
        <v>104</v>
      </c>
      <c r="C338" s="20" t="s">
        <v>16</v>
      </c>
      <c r="D338" s="20" t="s">
        <v>716</v>
      </c>
      <c r="E338" s="21"/>
      <c r="F338" s="22">
        <f>F339</f>
        <v>1060078</v>
      </c>
      <c r="H338" s="113"/>
      <c r="I338" s="28"/>
    </row>
    <row r="339" spans="1:9" ht="26.25">
      <c r="A339" s="29" t="s">
        <v>37</v>
      </c>
      <c r="B339" s="20" t="s">
        <v>104</v>
      </c>
      <c r="C339" s="20" t="s">
        <v>16</v>
      </c>
      <c r="D339" s="20" t="s">
        <v>716</v>
      </c>
      <c r="E339" s="21" t="s">
        <v>38</v>
      </c>
      <c r="F339" s="22">
        <f>1060078</f>
        <v>1060078</v>
      </c>
      <c r="H339" s="113"/>
      <c r="I339" s="28"/>
    </row>
    <row r="340" spans="1:6" ht="13.5">
      <c r="A340" s="26" t="s">
        <v>379</v>
      </c>
      <c r="B340" s="20" t="s">
        <v>104</v>
      </c>
      <c r="C340" s="20" t="s">
        <v>18</v>
      </c>
      <c r="D340" s="20"/>
      <c r="E340" s="21"/>
      <c r="F340" s="22">
        <f>F341+F384+F392+F376+F397</f>
        <v>280741306.77</v>
      </c>
    </row>
    <row r="341" spans="1:6" ht="26.25">
      <c r="A341" s="26" t="s">
        <v>364</v>
      </c>
      <c r="B341" s="20" t="s">
        <v>104</v>
      </c>
      <c r="C341" s="20" t="s">
        <v>18</v>
      </c>
      <c r="D341" s="20" t="s">
        <v>365</v>
      </c>
      <c r="E341" s="21"/>
      <c r="F341" s="22">
        <f>F342</f>
        <v>279563238.77</v>
      </c>
    </row>
    <row r="342" spans="1:6" s="36" customFormat="1" ht="39">
      <c r="A342" s="19" t="s">
        <v>366</v>
      </c>
      <c r="B342" s="20" t="s">
        <v>104</v>
      </c>
      <c r="C342" s="20" t="s">
        <v>18</v>
      </c>
      <c r="D342" s="20" t="s">
        <v>367</v>
      </c>
      <c r="E342" s="21"/>
      <c r="F342" s="35">
        <f>F346+F351+F343</f>
        <v>279563238.77</v>
      </c>
    </row>
    <row r="343" spans="1:6" s="36" customFormat="1" ht="13.5">
      <c r="A343" s="183" t="s">
        <v>572</v>
      </c>
      <c r="B343" s="20" t="s">
        <v>104</v>
      </c>
      <c r="C343" s="20" t="s">
        <v>18</v>
      </c>
      <c r="D343" s="20" t="s">
        <v>573</v>
      </c>
      <c r="E343" s="39"/>
      <c r="F343" s="35">
        <f>F344</f>
        <v>3419565</v>
      </c>
    </row>
    <row r="344" spans="1:6" s="36" customFormat="1" ht="53.25" customHeight="1">
      <c r="A344" s="87" t="s">
        <v>714</v>
      </c>
      <c r="B344" s="20" t="s">
        <v>104</v>
      </c>
      <c r="C344" s="20" t="s">
        <v>18</v>
      </c>
      <c r="D344" s="20" t="s">
        <v>574</v>
      </c>
      <c r="E344" s="39"/>
      <c r="F344" s="35">
        <f>F345</f>
        <v>3419565</v>
      </c>
    </row>
    <row r="345" spans="1:6" s="36" customFormat="1" ht="24.75" customHeight="1">
      <c r="A345" s="29" t="s">
        <v>37</v>
      </c>
      <c r="B345" s="20" t="s">
        <v>104</v>
      </c>
      <c r="C345" s="20" t="s">
        <v>18</v>
      </c>
      <c r="D345" s="20" t="s">
        <v>574</v>
      </c>
      <c r="E345" s="39" t="s">
        <v>38</v>
      </c>
      <c r="F345" s="35">
        <f>68392+3351173</f>
        <v>3419565</v>
      </c>
    </row>
    <row r="346" spans="1:6" s="36" customFormat="1" ht="13.5" hidden="1">
      <c r="A346" s="83" t="s">
        <v>380</v>
      </c>
      <c r="B346" s="20" t="s">
        <v>104</v>
      </c>
      <c r="C346" s="20" t="s">
        <v>18</v>
      </c>
      <c r="D346" s="20" t="s">
        <v>381</v>
      </c>
      <c r="E346" s="39"/>
      <c r="F346" s="22">
        <f>F347+F349</f>
        <v>0</v>
      </c>
    </row>
    <row r="347" spans="1:6" s="36" customFormat="1" ht="26.25" hidden="1">
      <c r="A347" s="83" t="s">
        <v>382</v>
      </c>
      <c r="B347" s="20" t="s">
        <v>104</v>
      </c>
      <c r="C347" s="20" t="s">
        <v>18</v>
      </c>
      <c r="D347" s="20" t="s">
        <v>383</v>
      </c>
      <c r="E347" s="39"/>
      <c r="F347" s="22">
        <f>F348</f>
        <v>0</v>
      </c>
    </row>
    <row r="348" spans="1:6" s="36" customFormat="1" ht="26.25" hidden="1">
      <c r="A348" s="29" t="s">
        <v>37</v>
      </c>
      <c r="B348" s="20" t="s">
        <v>104</v>
      </c>
      <c r="C348" s="20" t="s">
        <v>18</v>
      </c>
      <c r="D348" s="20" t="s">
        <v>383</v>
      </c>
      <c r="E348" s="21" t="s">
        <v>38</v>
      </c>
      <c r="F348" s="22"/>
    </row>
    <row r="349" spans="1:6" s="36" customFormat="1" ht="13.5" hidden="1">
      <c r="A349" s="83" t="s">
        <v>576</v>
      </c>
      <c r="B349" s="20" t="s">
        <v>104</v>
      </c>
      <c r="C349" s="20" t="s">
        <v>18</v>
      </c>
      <c r="D349" s="20" t="s">
        <v>575</v>
      </c>
      <c r="E349" s="39"/>
      <c r="F349" s="22">
        <f>F350</f>
        <v>0</v>
      </c>
    </row>
    <row r="350" spans="1:6" s="36" customFormat="1" ht="26.25" hidden="1">
      <c r="A350" s="29" t="s">
        <v>37</v>
      </c>
      <c r="B350" s="20" t="s">
        <v>104</v>
      </c>
      <c r="C350" s="20" t="s">
        <v>18</v>
      </c>
      <c r="D350" s="20" t="s">
        <v>575</v>
      </c>
      <c r="E350" s="21" t="s">
        <v>38</v>
      </c>
      <c r="F350" s="22"/>
    </row>
    <row r="351" spans="1:6" ht="26.25">
      <c r="A351" s="41" t="s">
        <v>384</v>
      </c>
      <c r="B351" s="20" t="s">
        <v>104</v>
      </c>
      <c r="C351" s="20" t="s">
        <v>18</v>
      </c>
      <c r="D351" s="20" t="s">
        <v>385</v>
      </c>
      <c r="E351" s="21"/>
      <c r="F351" s="22">
        <f>F352+F355+F357+F359+F361+F363+F365+F368+F372+F374</f>
        <v>276143673.77</v>
      </c>
    </row>
    <row r="352" spans="1:6" ht="78.75">
      <c r="A352" s="38" t="s">
        <v>386</v>
      </c>
      <c r="B352" s="20" t="s">
        <v>104</v>
      </c>
      <c r="C352" s="20" t="s">
        <v>18</v>
      </c>
      <c r="D352" s="20" t="s">
        <v>387</v>
      </c>
      <c r="E352" s="21"/>
      <c r="F352" s="22">
        <f>F353+F354</f>
        <v>216861514</v>
      </c>
    </row>
    <row r="353" spans="1:8" ht="39">
      <c r="A353" s="29" t="s">
        <v>25</v>
      </c>
      <c r="B353" s="20" t="s">
        <v>104</v>
      </c>
      <c r="C353" s="20" t="s">
        <v>18</v>
      </c>
      <c r="D353" s="20" t="s">
        <v>387</v>
      </c>
      <c r="E353" s="21" t="s">
        <v>26</v>
      </c>
      <c r="F353" s="22">
        <v>208726602</v>
      </c>
      <c r="H353" s="28"/>
    </row>
    <row r="354" spans="1:6" ht="26.25">
      <c r="A354" s="29" t="s">
        <v>37</v>
      </c>
      <c r="B354" s="20" t="s">
        <v>104</v>
      </c>
      <c r="C354" s="20" t="s">
        <v>18</v>
      </c>
      <c r="D354" s="20" t="s">
        <v>387</v>
      </c>
      <c r="E354" s="21" t="s">
        <v>38</v>
      </c>
      <c r="F354" s="22">
        <v>8134912</v>
      </c>
    </row>
    <row r="355" spans="1:6" ht="26.25">
      <c r="A355" s="38" t="s">
        <v>388</v>
      </c>
      <c r="B355" s="20" t="s">
        <v>104</v>
      </c>
      <c r="C355" s="20" t="s">
        <v>18</v>
      </c>
      <c r="D355" s="20" t="s">
        <v>389</v>
      </c>
      <c r="E355" s="21"/>
      <c r="F355" s="22">
        <f>F356</f>
        <v>1513610</v>
      </c>
    </row>
    <row r="356" spans="1:6" ht="26.25">
      <c r="A356" s="29" t="s">
        <v>37</v>
      </c>
      <c r="B356" s="20" t="s">
        <v>104</v>
      </c>
      <c r="C356" s="20" t="s">
        <v>18</v>
      </c>
      <c r="D356" s="20" t="s">
        <v>389</v>
      </c>
      <c r="E356" s="21" t="s">
        <v>38</v>
      </c>
      <c r="F356" s="22">
        <f>1513610</f>
        <v>1513610</v>
      </c>
    </row>
    <row r="357" spans="1:6" ht="26.25">
      <c r="A357" s="38" t="s">
        <v>390</v>
      </c>
      <c r="B357" s="20" t="s">
        <v>104</v>
      </c>
      <c r="C357" s="20" t="s">
        <v>18</v>
      </c>
      <c r="D357" s="20" t="s">
        <v>391</v>
      </c>
      <c r="E357" s="21"/>
      <c r="F357" s="22">
        <f>F358</f>
        <v>815021</v>
      </c>
    </row>
    <row r="358" spans="1:6" ht="24.75" customHeight="1">
      <c r="A358" s="29" t="s">
        <v>37</v>
      </c>
      <c r="B358" s="20" t="s">
        <v>104</v>
      </c>
      <c r="C358" s="20" t="s">
        <v>18</v>
      </c>
      <c r="D358" s="20" t="s">
        <v>391</v>
      </c>
      <c r="E358" s="21" t="s">
        <v>38</v>
      </c>
      <c r="F358" s="22">
        <f>5108548-4293527</f>
        <v>815021</v>
      </c>
    </row>
    <row r="359" spans="1:6" ht="41.25" customHeight="1">
      <c r="A359" s="38" t="s">
        <v>577</v>
      </c>
      <c r="B359" s="20" t="s">
        <v>104</v>
      </c>
      <c r="C359" s="20" t="s">
        <v>18</v>
      </c>
      <c r="D359" s="20" t="s">
        <v>392</v>
      </c>
      <c r="E359" s="21"/>
      <c r="F359" s="22">
        <f>F360</f>
        <v>1025590</v>
      </c>
    </row>
    <row r="360" spans="1:6" ht="26.25">
      <c r="A360" s="29" t="s">
        <v>37</v>
      </c>
      <c r="B360" s="20" t="s">
        <v>104</v>
      </c>
      <c r="C360" s="20" t="s">
        <v>18</v>
      </c>
      <c r="D360" s="20" t="s">
        <v>392</v>
      </c>
      <c r="E360" s="21" t="s">
        <v>38</v>
      </c>
      <c r="F360" s="22">
        <v>1025590</v>
      </c>
    </row>
    <row r="361" spans="1:6" ht="39">
      <c r="A361" s="71" t="s">
        <v>393</v>
      </c>
      <c r="B361" s="20" t="s">
        <v>104</v>
      </c>
      <c r="C361" s="20" t="s">
        <v>18</v>
      </c>
      <c r="D361" s="20" t="s">
        <v>394</v>
      </c>
      <c r="E361" s="21"/>
      <c r="F361" s="22">
        <f>F362</f>
        <v>1578555</v>
      </c>
    </row>
    <row r="362" spans="1:6" ht="29.25" customHeight="1">
      <c r="A362" s="29" t="s">
        <v>37</v>
      </c>
      <c r="B362" s="20" t="s">
        <v>104</v>
      </c>
      <c r="C362" s="20" t="s">
        <v>18</v>
      </c>
      <c r="D362" s="20" t="s">
        <v>394</v>
      </c>
      <c r="E362" s="21" t="s">
        <v>38</v>
      </c>
      <c r="F362" s="22">
        <v>1578555</v>
      </c>
    </row>
    <row r="363" spans="1:6" ht="52.5">
      <c r="A363" s="38" t="s">
        <v>395</v>
      </c>
      <c r="B363" s="20" t="s">
        <v>104</v>
      </c>
      <c r="C363" s="20" t="s">
        <v>18</v>
      </c>
      <c r="D363" s="20" t="s">
        <v>396</v>
      </c>
      <c r="E363" s="21"/>
      <c r="F363" s="22">
        <f>F364</f>
        <v>433348</v>
      </c>
    </row>
    <row r="364" spans="1:6" ht="26.25">
      <c r="A364" s="29" t="s">
        <v>37</v>
      </c>
      <c r="B364" s="20" t="s">
        <v>104</v>
      </c>
      <c r="C364" s="20" t="s">
        <v>18</v>
      </c>
      <c r="D364" s="20" t="s">
        <v>396</v>
      </c>
      <c r="E364" s="21" t="s">
        <v>38</v>
      </c>
      <c r="F364" s="22">
        <v>433348</v>
      </c>
    </row>
    <row r="365" spans="1:6" ht="39">
      <c r="A365" s="38" t="s">
        <v>397</v>
      </c>
      <c r="B365" s="20" t="s">
        <v>104</v>
      </c>
      <c r="C365" s="20" t="s">
        <v>18</v>
      </c>
      <c r="D365" s="20" t="s">
        <v>398</v>
      </c>
      <c r="E365" s="21"/>
      <c r="F365" s="22">
        <f>F366+F367</f>
        <v>4038392</v>
      </c>
    </row>
    <row r="366" spans="1:6" ht="24.75" customHeight="1">
      <c r="A366" s="29" t="s">
        <v>37</v>
      </c>
      <c r="B366" s="20" t="s">
        <v>104</v>
      </c>
      <c r="C366" s="20" t="s">
        <v>18</v>
      </c>
      <c r="D366" s="20" t="s">
        <v>398</v>
      </c>
      <c r="E366" s="21" t="s">
        <v>38</v>
      </c>
      <c r="F366" s="22">
        <f>4038392-893343</f>
        <v>3145049</v>
      </c>
    </row>
    <row r="367" spans="1:6" ht="13.5">
      <c r="A367" s="29" t="s">
        <v>210</v>
      </c>
      <c r="B367" s="20" t="s">
        <v>104</v>
      </c>
      <c r="C367" s="20" t="s">
        <v>18</v>
      </c>
      <c r="D367" s="20" t="s">
        <v>398</v>
      </c>
      <c r="E367" s="21" t="s">
        <v>211</v>
      </c>
      <c r="F367" s="22">
        <f>893343</f>
        <v>893343</v>
      </c>
    </row>
    <row r="368" spans="1:6" ht="26.25">
      <c r="A368" s="41" t="s">
        <v>199</v>
      </c>
      <c r="B368" s="20" t="s">
        <v>104</v>
      </c>
      <c r="C368" s="20" t="s">
        <v>18</v>
      </c>
      <c r="D368" s="20" t="s">
        <v>399</v>
      </c>
      <c r="E368" s="21"/>
      <c r="F368" s="22">
        <f>F369+F371+F370</f>
        <v>47839632.77</v>
      </c>
    </row>
    <row r="369" spans="1:6" ht="26.25">
      <c r="A369" s="29" t="s">
        <v>37</v>
      </c>
      <c r="B369" s="20" t="s">
        <v>104</v>
      </c>
      <c r="C369" s="20" t="s">
        <v>18</v>
      </c>
      <c r="D369" s="20" t="s">
        <v>399</v>
      </c>
      <c r="E369" s="21" t="s">
        <v>38</v>
      </c>
      <c r="F369" s="22">
        <f>31042773+8+45+4779081+509286.77+262425+3100737+145200+376527+1027065-130000</f>
        <v>41113147.77</v>
      </c>
    </row>
    <row r="370" spans="1:6" ht="26.25">
      <c r="A370" s="26" t="s">
        <v>253</v>
      </c>
      <c r="B370" s="20" t="s">
        <v>104</v>
      </c>
      <c r="C370" s="20" t="s">
        <v>18</v>
      </c>
      <c r="D370" s="20" t="s">
        <v>399</v>
      </c>
      <c r="E370" s="21" t="s">
        <v>254</v>
      </c>
      <c r="F370" s="22">
        <f>928610+3667375</f>
        <v>4595985</v>
      </c>
    </row>
    <row r="371" spans="1:9" ht="17.25" customHeight="1">
      <c r="A371" s="41" t="s">
        <v>79</v>
      </c>
      <c r="B371" s="20" t="s">
        <v>104</v>
      </c>
      <c r="C371" s="20" t="s">
        <v>18</v>
      </c>
      <c r="D371" s="20" t="s">
        <v>399</v>
      </c>
      <c r="E371" s="21" t="s">
        <v>80</v>
      </c>
      <c r="F371" s="22">
        <v>2130500</v>
      </c>
      <c r="I371" s="28"/>
    </row>
    <row r="372" spans="1:6" ht="13.5">
      <c r="A372" s="29" t="s">
        <v>400</v>
      </c>
      <c r="B372" s="20" t="s">
        <v>104</v>
      </c>
      <c r="C372" s="20" t="s">
        <v>18</v>
      </c>
      <c r="D372" s="20" t="s">
        <v>401</v>
      </c>
      <c r="E372" s="21"/>
      <c r="F372" s="22">
        <f>F373</f>
        <v>200000</v>
      </c>
    </row>
    <row r="373" spans="1:6" ht="13.5">
      <c r="A373" s="29" t="s">
        <v>210</v>
      </c>
      <c r="B373" s="20" t="s">
        <v>104</v>
      </c>
      <c r="C373" s="20" t="s">
        <v>18</v>
      </c>
      <c r="D373" s="20" t="s">
        <v>401</v>
      </c>
      <c r="E373" s="21" t="s">
        <v>211</v>
      </c>
      <c r="F373" s="22">
        <v>200000</v>
      </c>
    </row>
    <row r="374" spans="1:6" ht="26.25">
      <c r="A374" s="41" t="s">
        <v>725</v>
      </c>
      <c r="B374" s="20" t="s">
        <v>104</v>
      </c>
      <c r="C374" s="20" t="s">
        <v>18</v>
      </c>
      <c r="D374" s="20" t="s">
        <v>717</v>
      </c>
      <c r="E374" s="21"/>
      <c r="F374" s="22">
        <f>F375</f>
        <v>1838011</v>
      </c>
    </row>
    <row r="375" spans="1:6" ht="26.25">
      <c r="A375" s="29" t="s">
        <v>37</v>
      </c>
      <c r="B375" s="20" t="s">
        <v>104</v>
      </c>
      <c r="C375" s="20" t="s">
        <v>18</v>
      </c>
      <c r="D375" s="20" t="s">
        <v>717</v>
      </c>
      <c r="E375" s="21" t="s">
        <v>38</v>
      </c>
      <c r="F375" s="22">
        <f>1144476+693535</f>
        <v>1838011</v>
      </c>
    </row>
    <row r="376" spans="1:6" ht="39">
      <c r="A376" s="82" t="s">
        <v>293</v>
      </c>
      <c r="B376" s="20" t="s">
        <v>104</v>
      </c>
      <c r="C376" s="20" t="s">
        <v>18</v>
      </c>
      <c r="D376" s="20" t="s">
        <v>294</v>
      </c>
      <c r="E376" s="21"/>
      <c r="F376" s="22">
        <f>F377</f>
        <v>1106068</v>
      </c>
    </row>
    <row r="377" spans="1:6" ht="51.75" customHeight="1">
      <c r="A377" s="65" t="s">
        <v>295</v>
      </c>
      <c r="B377" s="20" t="s">
        <v>104</v>
      </c>
      <c r="C377" s="20" t="s">
        <v>18</v>
      </c>
      <c r="D377" s="32" t="s">
        <v>296</v>
      </c>
      <c r="E377" s="21"/>
      <c r="F377" s="22">
        <f>F378+F380+F382</f>
        <v>1106068</v>
      </c>
    </row>
    <row r="378" spans="1:6" ht="24" hidden="1">
      <c r="A378" s="80" t="s">
        <v>375</v>
      </c>
      <c r="B378" s="20" t="s">
        <v>104</v>
      </c>
      <c r="C378" s="20" t="s">
        <v>18</v>
      </c>
      <c r="D378" s="20" t="s">
        <v>376</v>
      </c>
      <c r="E378" s="21"/>
      <c r="F378" s="22">
        <f>F379</f>
        <v>0</v>
      </c>
    </row>
    <row r="379" spans="1:6" ht="26.25" hidden="1">
      <c r="A379" s="26" t="s">
        <v>253</v>
      </c>
      <c r="B379" s="20" t="s">
        <v>104</v>
      </c>
      <c r="C379" s="20" t="s">
        <v>18</v>
      </c>
      <c r="D379" s="20" t="s">
        <v>376</v>
      </c>
      <c r="E379" s="21" t="s">
        <v>254</v>
      </c>
      <c r="F379" s="22"/>
    </row>
    <row r="380" spans="1:6" ht="32.25" customHeight="1">
      <c r="A380" s="41" t="s">
        <v>377</v>
      </c>
      <c r="B380" s="20" t="s">
        <v>104</v>
      </c>
      <c r="C380" s="20" t="s">
        <v>18</v>
      </c>
      <c r="D380" s="20" t="s">
        <v>378</v>
      </c>
      <c r="E380" s="21"/>
      <c r="F380" s="22">
        <f>F381</f>
        <v>832708</v>
      </c>
    </row>
    <row r="381" spans="1:6" ht="26.25">
      <c r="A381" s="26" t="s">
        <v>253</v>
      </c>
      <c r="B381" s="20" t="s">
        <v>104</v>
      </c>
      <c r="C381" s="20" t="s">
        <v>18</v>
      </c>
      <c r="D381" s="20" t="s">
        <v>378</v>
      </c>
      <c r="E381" s="21" t="s">
        <v>254</v>
      </c>
      <c r="F381" s="22">
        <f>600000+232708</f>
        <v>832708</v>
      </c>
    </row>
    <row r="382" spans="1:6" ht="48.75" customHeight="1">
      <c r="A382" s="41" t="s">
        <v>702</v>
      </c>
      <c r="B382" s="20" t="s">
        <v>104</v>
      </c>
      <c r="C382" s="20" t="s">
        <v>18</v>
      </c>
      <c r="D382" s="20" t="s">
        <v>701</v>
      </c>
      <c r="E382" s="21"/>
      <c r="F382" s="22">
        <f>F383</f>
        <v>273360</v>
      </c>
    </row>
    <row r="383" spans="1:6" ht="26.25">
      <c r="A383" s="26" t="s">
        <v>253</v>
      </c>
      <c r="B383" s="20" t="s">
        <v>104</v>
      </c>
      <c r="C383" s="20" t="s">
        <v>18</v>
      </c>
      <c r="D383" s="20" t="s">
        <v>701</v>
      </c>
      <c r="E383" s="21" t="s">
        <v>254</v>
      </c>
      <c r="F383" s="22">
        <f>273360</f>
        <v>273360</v>
      </c>
    </row>
    <row r="384" spans="1:6" ht="39">
      <c r="A384" s="62" t="s">
        <v>153</v>
      </c>
      <c r="B384" s="20" t="s">
        <v>104</v>
      </c>
      <c r="C384" s="20" t="s">
        <v>18</v>
      </c>
      <c r="D384" s="48" t="s">
        <v>154</v>
      </c>
      <c r="E384" s="21"/>
      <c r="F384" s="22">
        <f>F385</f>
        <v>32000</v>
      </c>
    </row>
    <row r="385" spans="1:6" s="36" customFormat="1" ht="66">
      <c r="A385" s="63" t="s">
        <v>155</v>
      </c>
      <c r="B385" s="32" t="s">
        <v>104</v>
      </c>
      <c r="C385" s="32" t="s">
        <v>18</v>
      </c>
      <c r="D385" s="56" t="s">
        <v>156</v>
      </c>
      <c r="E385" s="39"/>
      <c r="F385" s="35">
        <f>F386+F389</f>
        <v>32000</v>
      </c>
    </row>
    <row r="386" spans="1:6" ht="26.25" hidden="1">
      <c r="A386" s="72" t="s">
        <v>157</v>
      </c>
      <c r="B386" s="20" t="s">
        <v>104</v>
      </c>
      <c r="C386" s="20" t="s">
        <v>18</v>
      </c>
      <c r="D386" s="48" t="s">
        <v>158</v>
      </c>
      <c r="E386" s="21"/>
      <c r="F386" s="22">
        <f>F387</f>
        <v>0</v>
      </c>
    </row>
    <row r="387" spans="1:6" ht="26.25" hidden="1">
      <c r="A387" s="41" t="s">
        <v>159</v>
      </c>
      <c r="B387" s="20" t="s">
        <v>104</v>
      </c>
      <c r="C387" s="20" t="s">
        <v>18</v>
      </c>
      <c r="D387" s="48" t="s">
        <v>160</v>
      </c>
      <c r="E387" s="21"/>
      <c r="F387" s="22">
        <f>F388</f>
        <v>0</v>
      </c>
    </row>
    <row r="388" spans="1:6" ht="26.25" hidden="1">
      <c r="A388" s="29" t="s">
        <v>37</v>
      </c>
      <c r="B388" s="20" t="s">
        <v>104</v>
      </c>
      <c r="C388" s="20" t="s">
        <v>18</v>
      </c>
      <c r="D388" s="48" t="s">
        <v>160</v>
      </c>
      <c r="E388" s="21" t="s">
        <v>38</v>
      </c>
      <c r="F388" s="22"/>
    </row>
    <row r="389" spans="1:6" ht="52.5">
      <c r="A389" s="72" t="s">
        <v>402</v>
      </c>
      <c r="B389" s="20" t="s">
        <v>104</v>
      </c>
      <c r="C389" s="20" t="s">
        <v>18</v>
      </c>
      <c r="D389" s="48" t="s">
        <v>403</v>
      </c>
      <c r="E389" s="21"/>
      <c r="F389" s="22">
        <f>F390</f>
        <v>32000</v>
      </c>
    </row>
    <row r="390" spans="1:6" ht="26.25">
      <c r="A390" s="41" t="s">
        <v>159</v>
      </c>
      <c r="B390" s="20" t="s">
        <v>104</v>
      </c>
      <c r="C390" s="20" t="s">
        <v>18</v>
      </c>
      <c r="D390" s="48" t="s">
        <v>404</v>
      </c>
      <c r="E390" s="21"/>
      <c r="F390" s="22">
        <f>F391</f>
        <v>32000</v>
      </c>
    </row>
    <row r="391" spans="1:6" ht="26.25">
      <c r="A391" s="29" t="s">
        <v>37</v>
      </c>
      <c r="B391" s="20" t="s">
        <v>104</v>
      </c>
      <c r="C391" s="20" t="s">
        <v>18</v>
      </c>
      <c r="D391" s="48" t="s">
        <v>404</v>
      </c>
      <c r="E391" s="21" t="s">
        <v>38</v>
      </c>
      <c r="F391" s="22">
        <v>32000</v>
      </c>
    </row>
    <row r="392" spans="1:6" ht="26.25">
      <c r="A392" s="50" t="s">
        <v>405</v>
      </c>
      <c r="B392" s="20" t="s">
        <v>104</v>
      </c>
      <c r="C392" s="20" t="s">
        <v>18</v>
      </c>
      <c r="D392" s="20" t="s">
        <v>406</v>
      </c>
      <c r="E392" s="31"/>
      <c r="F392" s="22">
        <f>F393</f>
        <v>20000</v>
      </c>
    </row>
    <row r="393" spans="1:6" ht="39">
      <c r="A393" s="40" t="s">
        <v>407</v>
      </c>
      <c r="B393" s="20" t="s">
        <v>104</v>
      </c>
      <c r="C393" s="20" t="s">
        <v>18</v>
      </c>
      <c r="D393" s="20" t="s">
        <v>408</v>
      </c>
      <c r="E393" s="31"/>
      <c r="F393" s="22">
        <f>F394</f>
        <v>20000</v>
      </c>
    </row>
    <row r="394" spans="1:6" ht="26.25">
      <c r="A394" s="49" t="s">
        <v>409</v>
      </c>
      <c r="B394" s="20" t="s">
        <v>104</v>
      </c>
      <c r="C394" s="20" t="s">
        <v>18</v>
      </c>
      <c r="D394" s="20" t="s">
        <v>410</v>
      </c>
      <c r="E394" s="31"/>
      <c r="F394" s="22">
        <f>F395</f>
        <v>20000</v>
      </c>
    </row>
    <row r="395" spans="1:6" ht="13.5">
      <c r="A395" s="49" t="s">
        <v>411</v>
      </c>
      <c r="B395" s="20" t="s">
        <v>104</v>
      </c>
      <c r="C395" s="20" t="s">
        <v>18</v>
      </c>
      <c r="D395" s="20" t="s">
        <v>412</v>
      </c>
      <c r="E395" s="31"/>
      <c r="F395" s="22">
        <f>F396</f>
        <v>20000</v>
      </c>
    </row>
    <row r="396" spans="1:6" ht="26.25">
      <c r="A396" s="29" t="s">
        <v>37</v>
      </c>
      <c r="B396" s="20" t="s">
        <v>104</v>
      </c>
      <c r="C396" s="20" t="s">
        <v>18</v>
      </c>
      <c r="D396" s="20" t="s">
        <v>412</v>
      </c>
      <c r="E396" s="21" t="s">
        <v>38</v>
      </c>
      <c r="F396" s="22">
        <v>20000</v>
      </c>
    </row>
    <row r="397" spans="1:6" ht="39">
      <c r="A397" s="62" t="s">
        <v>692</v>
      </c>
      <c r="B397" s="20" t="s">
        <v>104</v>
      </c>
      <c r="C397" s="20" t="s">
        <v>18</v>
      </c>
      <c r="D397" s="20" t="s">
        <v>689</v>
      </c>
      <c r="E397" s="21"/>
      <c r="F397" s="22">
        <f>F398</f>
        <v>20000</v>
      </c>
    </row>
    <row r="398" spans="1:6" ht="66">
      <c r="A398" s="29" t="s">
        <v>693</v>
      </c>
      <c r="B398" s="20" t="s">
        <v>104</v>
      </c>
      <c r="C398" s="20" t="s">
        <v>18</v>
      </c>
      <c r="D398" s="20" t="s">
        <v>690</v>
      </c>
      <c r="E398" s="21"/>
      <c r="F398" s="22">
        <f>F399</f>
        <v>20000</v>
      </c>
    </row>
    <row r="399" spans="1:6" ht="26.25">
      <c r="A399" s="29" t="s">
        <v>706</v>
      </c>
      <c r="B399" s="20" t="s">
        <v>104</v>
      </c>
      <c r="C399" s="20" t="s">
        <v>18</v>
      </c>
      <c r="D399" s="20" t="s">
        <v>691</v>
      </c>
      <c r="E399" s="21"/>
      <c r="F399" s="22">
        <f>F400</f>
        <v>20000</v>
      </c>
    </row>
    <row r="400" spans="1:6" ht="26.25">
      <c r="A400" s="41" t="s">
        <v>159</v>
      </c>
      <c r="B400" s="20" t="s">
        <v>104</v>
      </c>
      <c r="C400" s="20" t="s">
        <v>18</v>
      </c>
      <c r="D400" s="20" t="s">
        <v>695</v>
      </c>
      <c r="E400" s="21"/>
      <c r="F400" s="22">
        <f>F401</f>
        <v>20000</v>
      </c>
    </row>
    <row r="401" spans="1:6" ht="26.25">
      <c r="A401" s="29" t="s">
        <v>37</v>
      </c>
      <c r="B401" s="20" t="s">
        <v>104</v>
      </c>
      <c r="C401" s="20" t="s">
        <v>18</v>
      </c>
      <c r="D401" s="20" t="s">
        <v>695</v>
      </c>
      <c r="E401" s="21" t="s">
        <v>38</v>
      </c>
      <c r="F401" s="22">
        <f>20000</f>
        <v>20000</v>
      </c>
    </row>
    <row r="402" spans="1:8" ht="13.5">
      <c r="A402" s="29" t="s">
        <v>413</v>
      </c>
      <c r="B402" s="20" t="s">
        <v>104</v>
      </c>
      <c r="C402" s="20" t="s">
        <v>28</v>
      </c>
      <c r="D402" s="20"/>
      <c r="E402" s="21"/>
      <c r="F402" s="22">
        <f>F403</f>
        <v>28931900</v>
      </c>
      <c r="H402" s="28"/>
    </row>
    <row r="403" spans="1:6" ht="26.25">
      <c r="A403" s="26" t="s">
        <v>364</v>
      </c>
      <c r="B403" s="20" t="s">
        <v>104</v>
      </c>
      <c r="C403" s="20" t="s">
        <v>28</v>
      </c>
      <c r="D403" s="20" t="s">
        <v>365</v>
      </c>
      <c r="E403" s="21"/>
      <c r="F403" s="22">
        <f>F408+F404</f>
        <v>28931900</v>
      </c>
    </row>
    <row r="404" spans="1:6" s="36" customFormat="1" ht="39">
      <c r="A404" s="19" t="s">
        <v>366</v>
      </c>
      <c r="B404" s="20" t="s">
        <v>104</v>
      </c>
      <c r="C404" s="20" t="s">
        <v>28</v>
      </c>
      <c r="D404" s="20" t="s">
        <v>367</v>
      </c>
      <c r="E404" s="21"/>
      <c r="F404" s="35">
        <f>F405</f>
        <v>818667</v>
      </c>
    </row>
    <row r="405" spans="1:6" s="36" customFormat="1" ht="13.5">
      <c r="A405" s="83" t="s">
        <v>380</v>
      </c>
      <c r="B405" s="20" t="s">
        <v>104</v>
      </c>
      <c r="C405" s="20" t="s">
        <v>28</v>
      </c>
      <c r="D405" s="20" t="s">
        <v>381</v>
      </c>
      <c r="E405" s="39"/>
      <c r="F405" s="22">
        <f>F406</f>
        <v>818667</v>
      </c>
    </row>
    <row r="406" spans="1:6" s="36" customFormat="1" ht="39">
      <c r="A406" s="202" t="s">
        <v>715</v>
      </c>
      <c r="B406" s="20" t="s">
        <v>104</v>
      </c>
      <c r="C406" s="20" t="s">
        <v>28</v>
      </c>
      <c r="D406" s="20" t="s">
        <v>575</v>
      </c>
      <c r="E406" s="39"/>
      <c r="F406" s="22">
        <f>F407</f>
        <v>818667</v>
      </c>
    </row>
    <row r="407" spans="1:6" s="36" customFormat="1" ht="26.25">
      <c r="A407" s="29" t="s">
        <v>37</v>
      </c>
      <c r="B407" s="20" t="s">
        <v>104</v>
      </c>
      <c r="C407" s="20" t="s">
        <v>28</v>
      </c>
      <c r="D407" s="20" t="s">
        <v>575</v>
      </c>
      <c r="E407" s="21" t="s">
        <v>38</v>
      </c>
      <c r="F407" s="22">
        <f>49120-32746+802293.6-0.6</f>
        <v>818667</v>
      </c>
    </row>
    <row r="408" spans="1:6" ht="39">
      <c r="A408" s="29" t="s">
        <v>414</v>
      </c>
      <c r="B408" s="20" t="s">
        <v>104</v>
      </c>
      <c r="C408" s="20" t="s">
        <v>28</v>
      </c>
      <c r="D408" s="32" t="s">
        <v>415</v>
      </c>
      <c r="E408" s="21"/>
      <c r="F408" s="22">
        <f>F409+F417</f>
        <v>28113233</v>
      </c>
    </row>
    <row r="409" spans="1:6" ht="26.25">
      <c r="A409" s="41" t="s">
        <v>416</v>
      </c>
      <c r="B409" s="20" t="s">
        <v>104</v>
      </c>
      <c r="C409" s="20" t="s">
        <v>28</v>
      </c>
      <c r="D409" s="20" t="s">
        <v>417</v>
      </c>
      <c r="E409" s="21"/>
      <c r="F409" s="22">
        <f>F410+F415</f>
        <v>24019899</v>
      </c>
    </row>
    <row r="410" spans="1:6" ht="26.25">
      <c r="A410" s="41" t="s">
        <v>199</v>
      </c>
      <c r="B410" s="20" t="s">
        <v>104</v>
      </c>
      <c r="C410" s="20" t="s">
        <v>28</v>
      </c>
      <c r="D410" s="20" t="s">
        <v>418</v>
      </c>
      <c r="E410" s="21"/>
      <c r="F410" s="22">
        <f>F411+F412+F414+F413</f>
        <v>23953179</v>
      </c>
    </row>
    <row r="411" spans="1:6" ht="39">
      <c r="A411" s="29" t="s">
        <v>25</v>
      </c>
      <c r="B411" s="20" t="s">
        <v>104</v>
      </c>
      <c r="C411" s="20" t="s">
        <v>28</v>
      </c>
      <c r="D411" s="20" t="s">
        <v>418</v>
      </c>
      <c r="E411" s="21" t="s">
        <v>26</v>
      </c>
      <c r="F411" s="22">
        <v>16358400</v>
      </c>
    </row>
    <row r="412" spans="1:6" ht="26.25">
      <c r="A412" s="29" t="s">
        <v>37</v>
      </c>
      <c r="B412" s="20" t="s">
        <v>104</v>
      </c>
      <c r="C412" s="20" t="s">
        <v>28</v>
      </c>
      <c r="D412" s="20" t="s">
        <v>418</v>
      </c>
      <c r="E412" s="21" t="s">
        <v>38</v>
      </c>
      <c r="F412" s="22">
        <f>881389+55000+390000+138245+33275+4639375+15000+4291197-3009814</f>
        <v>7433667</v>
      </c>
    </row>
    <row r="413" spans="1:6" ht="26.25">
      <c r="A413" s="26" t="s">
        <v>253</v>
      </c>
      <c r="B413" s="20" t="s">
        <v>104</v>
      </c>
      <c r="C413" s="20" t="s">
        <v>28</v>
      </c>
      <c r="D413" s="20" t="s">
        <v>418</v>
      </c>
      <c r="E413" s="21" t="s">
        <v>254</v>
      </c>
      <c r="F413" s="22">
        <v>92032</v>
      </c>
    </row>
    <row r="414" spans="1:6" ht="13.5">
      <c r="A414" s="41" t="s">
        <v>79</v>
      </c>
      <c r="B414" s="20" t="s">
        <v>104</v>
      </c>
      <c r="C414" s="20" t="s">
        <v>28</v>
      </c>
      <c r="D414" s="20" t="s">
        <v>418</v>
      </c>
      <c r="E414" s="21" t="s">
        <v>80</v>
      </c>
      <c r="F414" s="22">
        <v>69080</v>
      </c>
    </row>
    <row r="415" spans="1:6" ht="26.25">
      <c r="A415" s="41" t="s">
        <v>725</v>
      </c>
      <c r="B415" s="20" t="s">
        <v>104</v>
      </c>
      <c r="C415" s="20" t="s">
        <v>28</v>
      </c>
      <c r="D415" s="20" t="s">
        <v>718</v>
      </c>
      <c r="E415" s="21"/>
      <c r="F415" s="22">
        <f>F416</f>
        <v>66720</v>
      </c>
    </row>
    <row r="416" spans="1:6" ht="26.25">
      <c r="A416" s="29" t="s">
        <v>37</v>
      </c>
      <c r="B416" s="20" t="s">
        <v>104</v>
      </c>
      <c r="C416" s="20" t="s">
        <v>28</v>
      </c>
      <c r="D416" s="20" t="s">
        <v>718</v>
      </c>
      <c r="E416" s="21" t="s">
        <v>38</v>
      </c>
      <c r="F416" s="22">
        <f>66720</f>
        <v>66720</v>
      </c>
    </row>
    <row r="417" spans="1:6" s="36" customFormat="1" ht="13.5">
      <c r="A417" s="83" t="s">
        <v>380</v>
      </c>
      <c r="B417" s="20" t="s">
        <v>104</v>
      </c>
      <c r="C417" s="20" t="s">
        <v>28</v>
      </c>
      <c r="D417" s="20" t="s">
        <v>578</v>
      </c>
      <c r="E417" s="39"/>
      <c r="F417" s="22">
        <f>F418</f>
        <v>4093334</v>
      </c>
    </row>
    <row r="418" spans="1:6" s="36" customFormat="1" ht="39">
      <c r="A418" s="202" t="s">
        <v>715</v>
      </c>
      <c r="B418" s="20" t="s">
        <v>104</v>
      </c>
      <c r="C418" s="20" t="s">
        <v>28</v>
      </c>
      <c r="D418" s="20" t="s">
        <v>579</v>
      </c>
      <c r="E418" s="39"/>
      <c r="F418" s="22">
        <f>F419</f>
        <v>4093334</v>
      </c>
    </row>
    <row r="419" spans="1:6" s="36" customFormat="1" ht="26.25">
      <c r="A419" s="29" t="s">
        <v>37</v>
      </c>
      <c r="B419" s="20" t="s">
        <v>104</v>
      </c>
      <c r="C419" s="20" t="s">
        <v>28</v>
      </c>
      <c r="D419" s="20" t="s">
        <v>579</v>
      </c>
      <c r="E419" s="21" t="s">
        <v>38</v>
      </c>
      <c r="F419" s="22">
        <f>49120+32746+4011467.4+0.6</f>
        <v>4093334</v>
      </c>
    </row>
    <row r="420" spans="1:8" ht="13.5">
      <c r="A420" s="26" t="s">
        <v>419</v>
      </c>
      <c r="B420" s="20" t="s">
        <v>104</v>
      </c>
      <c r="C420" s="20" t="s">
        <v>104</v>
      </c>
      <c r="D420" s="20"/>
      <c r="E420" s="21"/>
      <c r="F420" s="22">
        <f>F421</f>
        <v>17680142.060000002</v>
      </c>
      <c r="H420" s="28"/>
    </row>
    <row r="421" spans="1:6" ht="52.5">
      <c r="A421" s="41" t="s">
        <v>420</v>
      </c>
      <c r="B421" s="20" t="s">
        <v>104</v>
      </c>
      <c r="C421" s="20" t="s">
        <v>104</v>
      </c>
      <c r="D421" s="48" t="s">
        <v>421</v>
      </c>
      <c r="E421" s="21"/>
      <c r="F421" s="22">
        <f>F422+F427</f>
        <v>17680142.060000002</v>
      </c>
    </row>
    <row r="422" spans="1:6" s="36" customFormat="1" ht="66">
      <c r="A422" s="41" t="s">
        <v>422</v>
      </c>
      <c r="B422" s="32" t="s">
        <v>104</v>
      </c>
      <c r="C422" s="32" t="s">
        <v>104</v>
      </c>
      <c r="D422" s="56" t="s">
        <v>423</v>
      </c>
      <c r="E422" s="57"/>
      <c r="F422" s="35">
        <f>F423</f>
        <v>150000</v>
      </c>
    </row>
    <row r="423" spans="1:6" ht="39">
      <c r="A423" s="41" t="s">
        <v>424</v>
      </c>
      <c r="B423" s="20" t="s">
        <v>104</v>
      </c>
      <c r="C423" s="20" t="s">
        <v>104</v>
      </c>
      <c r="D423" s="48" t="s">
        <v>425</v>
      </c>
      <c r="E423" s="55"/>
      <c r="F423" s="22">
        <f>F424</f>
        <v>150000</v>
      </c>
    </row>
    <row r="424" spans="1:6" ht="13.5">
      <c r="A424" s="41" t="s">
        <v>426</v>
      </c>
      <c r="B424" s="20" t="s">
        <v>104</v>
      </c>
      <c r="C424" s="20" t="s">
        <v>104</v>
      </c>
      <c r="D424" s="48" t="s">
        <v>427</v>
      </c>
      <c r="E424" s="55"/>
      <c r="F424" s="22">
        <f>F425+F426</f>
        <v>150000</v>
      </c>
    </row>
    <row r="425" spans="1:6" ht="26.25">
      <c r="A425" s="29" t="s">
        <v>37</v>
      </c>
      <c r="B425" s="20" t="s">
        <v>104</v>
      </c>
      <c r="C425" s="20" t="s">
        <v>104</v>
      </c>
      <c r="D425" s="48" t="s">
        <v>427</v>
      </c>
      <c r="E425" s="55" t="s">
        <v>38</v>
      </c>
      <c r="F425" s="22">
        <v>100000</v>
      </c>
    </row>
    <row r="426" spans="1:6" ht="13.5">
      <c r="A426" s="26" t="s">
        <v>210</v>
      </c>
      <c r="B426" s="20" t="s">
        <v>104</v>
      </c>
      <c r="C426" s="20" t="s">
        <v>104</v>
      </c>
      <c r="D426" s="48" t="s">
        <v>427</v>
      </c>
      <c r="E426" s="55" t="s">
        <v>211</v>
      </c>
      <c r="F426" s="22">
        <v>50000</v>
      </c>
    </row>
    <row r="427" spans="1:6" s="36" customFormat="1" ht="52.5">
      <c r="A427" s="51" t="s">
        <v>428</v>
      </c>
      <c r="B427" s="32" t="s">
        <v>104</v>
      </c>
      <c r="C427" s="32" t="s">
        <v>104</v>
      </c>
      <c r="D427" s="56" t="s">
        <v>429</v>
      </c>
      <c r="E427" s="57"/>
      <c r="F427" s="35">
        <f>F428+F440+F437</f>
        <v>17530142.060000002</v>
      </c>
    </row>
    <row r="428" spans="1:6" ht="26.25">
      <c r="A428" s="41" t="s">
        <v>430</v>
      </c>
      <c r="B428" s="20" t="s">
        <v>104</v>
      </c>
      <c r="C428" s="20" t="s">
        <v>104</v>
      </c>
      <c r="D428" s="48" t="s">
        <v>431</v>
      </c>
      <c r="E428" s="55"/>
      <c r="F428" s="22">
        <f>F429+F432+F435</f>
        <v>1814670</v>
      </c>
    </row>
    <row r="429" spans="1:6" ht="14.25" customHeight="1">
      <c r="A429" s="26" t="s">
        <v>432</v>
      </c>
      <c r="B429" s="20" t="s">
        <v>104</v>
      </c>
      <c r="C429" s="20" t="s">
        <v>104</v>
      </c>
      <c r="D429" s="48" t="s">
        <v>433</v>
      </c>
      <c r="E429" s="21"/>
      <c r="F429" s="22">
        <f>F430+F431</f>
        <v>706632</v>
      </c>
    </row>
    <row r="430" spans="1:6" ht="26.25">
      <c r="A430" s="29" t="s">
        <v>37</v>
      </c>
      <c r="B430" s="20" t="s">
        <v>104</v>
      </c>
      <c r="C430" s="20" t="s">
        <v>104</v>
      </c>
      <c r="D430" s="48" t="s">
        <v>433</v>
      </c>
      <c r="E430" s="55" t="s">
        <v>38</v>
      </c>
      <c r="F430" s="22">
        <v>297132</v>
      </c>
    </row>
    <row r="431" spans="1:6" ht="13.5">
      <c r="A431" s="26" t="s">
        <v>210</v>
      </c>
      <c r="B431" s="20" t="s">
        <v>104</v>
      </c>
      <c r="C431" s="20" t="s">
        <v>104</v>
      </c>
      <c r="D431" s="48" t="s">
        <v>433</v>
      </c>
      <c r="E431" s="55" t="s">
        <v>211</v>
      </c>
      <c r="F431" s="22">
        <v>409500</v>
      </c>
    </row>
    <row r="432" spans="1:6" ht="13.5">
      <c r="A432" s="38" t="s">
        <v>434</v>
      </c>
      <c r="B432" s="20" t="s">
        <v>104</v>
      </c>
      <c r="C432" s="20" t="s">
        <v>104</v>
      </c>
      <c r="D432" s="48" t="s">
        <v>435</v>
      </c>
      <c r="E432" s="21"/>
      <c r="F432" s="22">
        <f>F434+F433</f>
        <v>1108038</v>
      </c>
    </row>
    <row r="433" spans="1:8" ht="26.25">
      <c r="A433" s="29" t="s">
        <v>37</v>
      </c>
      <c r="B433" s="20" t="s">
        <v>104</v>
      </c>
      <c r="C433" s="20" t="s">
        <v>104</v>
      </c>
      <c r="D433" s="48" t="s">
        <v>435</v>
      </c>
      <c r="E433" s="21" t="s">
        <v>38</v>
      </c>
      <c r="F433" s="22">
        <v>478038</v>
      </c>
      <c r="H433" s="28"/>
    </row>
    <row r="434" spans="1:8" ht="12.75" customHeight="1">
      <c r="A434" s="26" t="s">
        <v>210</v>
      </c>
      <c r="B434" s="20" t="s">
        <v>104</v>
      </c>
      <c r="C434" s="20" t="s">
        <v>104</v>
      </c>
      <c r="D434" s="48" t="s">
        <v>435</v>
      </c>
      <c r="E434" s="55" t="s">
        <v>211</v>
      </c>
      <c r="F434" s="22">
        <v>630000</v>
      </c>
      <c r="H434" s="28"/>
    </row>
    <row r="435" spans="1:6" ht="13.5" hidden="1">
      <c r="A435" s="84" t="s">
        <v>436</v>
      </c>
      <c r="B435" s="20" t="s">
        <v>104</v>
      </c>
      <c r="C435" s="20" t="s">
        <v>104</v>
      </c>
      <c r="D435" s="48" t="s">
        <v>437</v>
      </c>
      <c r="E435" s="21"/>
      <c r="F435" s="22">
        <f>F436</f>
        <v>0</v>
      </c>
    </row>
    <row r="436" spans="1:6" ht="13.5" hidden="1">
      <c r="A436" s="26" t="s">
        <v>210</v>
      </c>
      <c r="B436" s="20" t="s">
        <v>104</v>
      </c>
      <c r="C436" s="20" t="s">
        <v>104</v>
      </c>
      <c r="D436" s="48" t="s">
        <v>437</v>
      </c>
      <c r="E436" s="55" t="s">
        <v>211</v>
      </c>
      <c r="F436" s="22"/>
    </row>
    <row r="437" spans="1:6" ht="13.5">
      <c r="A437" s="41" t="s">
        <v>438</v>
      </c>
      <c r="B437" s="20" t="s">
        <v>104</v>
      </c>
      <c r="C437" s="20" t="s">
        <v>104</v>
      </c>
      <c r="D437" s="48" t="s">
        <v>439</v>
      </c>
      <c r="E437" s="55"/>
      <c r="F437" s="22">
        <f>F438</f>
        <v>40000</v>
      </c>
    </row>
    <row r="438" spans="1:6" ht="13.5">
      <c r="A438" s="29" t="s">
        <v>436</v>
      </c>
      <c r="B438" s="20" t="s">
        <v>104</v>
      </c>
      <c r="C438" s="20" t="s">
        <v>104</v>
      </c>
      <c r="D438" s="48" t="s">
        <v>440</v>
      </c>
      <c r="E438" s="55"/>
      <c r="F438" s="22">
        <f>F439</f>
        <v>40000</v>
      </c>
    </row>
    <row r="439" spans="1:6" ht="26.25">
      <c r="A439" s="29" t="s">
        <v>37</v>
      </c>
      <c r="B439" s="20" t="s">
        <v>104</v>
      </c>
      <c r="C439" s="20" t="s">
        <v>104</v>
      </c>
      <c r="D439" s="48" t="s">
        <v>440</v>
      </c>
      <c r="E439" s="55" t="s">
        <v>38</v>
      </c>
      <c r="F439" s="22">
        <v>40000</v>
      </c>
    </row>
    <row r="440" spans="1:6" ht="39">
      <c r="A440" s="41" t="s">
        <v>441</v>
      </c>
      <c r="B440" s="20" t="s">
        <v>104</v>
      </c>
      <c r="C440" s="20" t="s">
        <v>104</v>
      </c>
      <c r="D440" s="48" t="s">
        <v>442</v>
      </c>
      <c r="E440" s="55"/>
      <c r="F440" s="22">
        <f>F445+F441+F443</f>
        <v>15675472.06</v>
      </c>
    </row>
    <row r="441" spans="1:6" ht="31.5" customHeight="1">
      <c r="A441" s="41" t="s">
        <v>699</v>
      </c>
      <c r="B441" s="20" t="s">
        <v>104</v>
      </c>
      <c r="C441" s="20" t="s">
        <v>104</v>
      </c>
      <c r="D441" s="48" t="s">
        <v>698</v>
      </c>
      <c r="E441" s="55"/>
      <c r="F441" s="22">
        <f>F442</f>
        <v>9186415</v>
      </c>
    </row>
    <row r="442" spans="1:6" ht="26.25">
      <c r="A442" s="29" t="s">
        <v>37</v>
      </c>
      <c r="B442" s="20" t="s">
        <v>104</v>
      </c>
      <c r="C442" s="20" t="s">
        <v>104</v>
      </c>
      <c r="D442" s="48" t="s">
        <v>698</v>
      </c>
      <c r="E442" s="55" t="s">
        <v>38</v>
      </c>
      <c r="F442" s="22">
        <f>9186415</f>
        <v>9186415</v>
      </c>
    </row>
    <row r="443" spans="1:6" ht="32.25" customHeight="1">
      <c r="A443" s="41" t="s">
        <v>700</v>
      </c>
      <c r="B443" s="20" t="s">
        <v>104</v>
      </c>
      <c r="C443" s="20" t="s">
        <v>104</v>
      </c>
      <c r="D443" s="48" t="s">
        <v>697</v>
      </c>
      <c r="E443" s="55"/>
      <c r="F443" s="22">
        <f>F444</f>
        <v>3937035</v>
      </c>
    </row>
    <row r="444" spans="1:6" ht="26.25">
      <c r="A444" s="29" t="s">
        <v>37</v>
      </c>
      <c r="B444" s="20" t="s">
        <v>104</v>
      </c>
      <c r="C444" s="20" t="s">
        <v>104</v>
      </c>
      <c r="D444" s="48" t="s">
        <v>697</v>
      </c>
      <c r="E444" s="55" t="s">
        <v>38</v>
      </c>
      <c r="F444" s="22">
        <f>3937035</f>
        <v>3937035</v>
      </c>
    </row>
    <row r="445" spans="1:6" ht="26.25">
      <c r="A445" s="27" t="s">
        <v>199</v>
      </c>
      <c r="B445" s="20" t="s">
        <v>104</v>
      </c>
      <c r="C445" s="20" t="s">
        <v>104</v>
      </c>
      <c r="D445" s="48" t="s">
        <v>443</v>
      </c>
      <c r="E445" s="55"/>
      <c r="F445" s="22">
        <f>F446+F447+F448</f>
        <v>2552022.06</v>
      </c>
    </row>
    <row r="446" spans="1:6" ht="26.25">
      <c r="A446" s="26" t="s">
        <v>444</v>
      </c>
      <c r="B446" s="20" t="s">
        <v>104</v>
      </c>
      <c r="C446" s="20" t="s">
        <v>104</v>
      </c>
      <c r="D446" s="48" t="s">
        <v>443</v>
      </c>
      <c r="E446" s="21" t="s">
        <v>26</v>
      </c>
      <c r="F446" s="22">
        <v>657700</v>
      </c>
    </row>
    <row r="447" spans="1:6" ht="26.25">
      <c r="A447" s="29" t="s">
        <v>37</v>
      </c>
      <c r="B447" s="20" t="s">
        <v>104</v>
      </c>
      <c r="C447" s="20" t="s">
        <v>104</v>
      </c>
      <c r="D447" s="48" t="s">
        <v>443</v>
      </c>
      <c r="E447" s="55" t="s">
        <v>38</v>
      </c>
      <c r="F447" s="22">
        <f>1274360+50000+66117.06+391000+131235-70000</f>
        <v>1842712.06</v>
      </c>
    </row>
    <row r="448" spans="1:6" ht="13.5">
      <c r="A448" s="41" t="s">
        <v>79</v>
      </c>
      <c r="B448" s="20" t="s">
        <v>104</v>
      </c>
      <c r="C448" s="20" t="s">
        <v>104</v>
      </c>
      <c r="D448" s="48" t="s">
        <v>443</v>
      </c>
      <c r="E448" s="55" t="s">
        <v>80</v>
      </c>
      <c r="F448" s="22">
        <v>51610</v>
      </c>
    </row>
    <row r="449" spans="1:6" ht="13.5">
      <c r="A449" s="26" t="s">
        <v>445</v>
      </c>
      <c r="B449" s="20" t="s">
        <v>104</v>
      </c>
      <c r="C449" s="20" t="s">
        <v>215</v>
      </c>
      <c r="D449" s="20"/>
      <c r="E449" s="21"/>
      <c r="F449" s="22">
        <f>F450+F462</f>
        <v>9665107</v>
      </c>
    </row>
    <row r="450" spans="1:6" ht="26.25">
      <c r="A450" s="26" t="s">
        <v>364</v>
      </c>
      <c r="B450" s="20" t="s">
        <v>104</v>
      </c>
      <c r="C450" s="20" t="s">
        <v>215</v>
      </c>
      <c r="D450" s="20" t="s">
        <v>365</v>
      </c>
      <c r="E450" s="21"/>
      <c r="F450" s="22">
        <f>F451</f>
        <v>9665107</v>
      </c>
    </row>
    <row r="451" spans="1:6" s="36" customFormat="1" ht="52.5">
      <c r="A451" s="50" t="s">
        <v>446</v>
      </c>
      <c r="B451" s="32" t="s">
        <v>104</v>
      </c>
      <c r="C451" s="32" t="s">
        <v>215</v>
      </c>
      <c r="D451" s="32" t="s">
        <v>447</v>
      </c>
      <c r="E451" s="39"/>
      <c r="F451" s="35">
        <f>F452+F457</f>
        <v>9665107</v>
      </c>
    </row>
    <row r="452" spans="1:6" ht="26.25">
      <c r="A452" s="41" t="s">
        <v>448</v>
      </c>
      <c r="B452" s="20" t="s">
        <v>104</v>
      </c>
      <c r="C452" s="20" t="s">
        <v>215</v>
      </c>
      <c r="D452" s="20" t="s">
        <v>449</v>
      </c>
      <c r="E452" s="21"/>
      <c r="F452" s="22">
        <f>F453</f>
        <v>9437523</v>
      </c>
    </row>
    <row r="453" spans="1:6" ht="26.25">
      <c r="A453" s="41" t="s">
        <v>199</v>
      </c>
      <c r="B453" s="20" t="s">
        <v>104</v>
      </c>
      <c r="C453" s="20" t="s">
        <v>215</v>
      </c>
      <c r="D453" s="20" t="s">
        <v>450</v>
      </c>
      <c r="E453" s="21"/>
      <c r="F453" s="22">
        <f>F454+F455+F456</f>
        <v>9437523</v>
      </c>
    </row>
    <row r="454" spans="1:6" ht="39">
      <c r="A454" s="29" t="s">
        <v>25</v>
      </c>
      <c r="B454" s="20" t="s">
        <v>104</v>
      </c>
      <c r="C454" s="20" t="s">
        <v>215</v>
      </c>
      <c r="D454" s="20" t="s">
        <v>450</v>
      </c>
      <c r="E454" s="21" t="s">
        <v>26</v>
      </c>
      <c r="F454" s="22">
        <v>8000000</v>
      </c>
    </row>
    <row r="455" spans="1:6" ht="26.25">
      <c r="A455" s="29" t="s">
        <v>37</v>
      </c>
      <c r="B455" s="20" t="s">
        <v>104</v>
      </c>
      <c r="C455" s="20" t="s">
        <v>215</v>
      </c>
      <c r="D455" s="20" t="s">
        <v>450</v>
      </c>
      <c r="E455" s="21" t="s">
        <v>38</v>
      </c>
      <c r="F455" s="22">
        <f>906848+350000+25000+27875+100000</f>
        <v>1409723</v>
      </c>
    </row>
    <row r="456" spans="1:9" ht="13.5">
      <c r="A456" s="41" t="s">
        <v>79</v>
      </c>
      <c r="B456" s="20" t="s">
        <v>104</v>
      </c>
      <c r="C456" s="20" t="s">
        <v>215</v>
      </c>
      <c r="D456" s="20" t="s">
        <v>450</v>
      </c>
      <c r="E456" s="21" t="s">
        <v>80</v>
      </c>
      <c r="F456" s="22">
        <v>27800</v>
      </c>
      <c r="I456" s="28"/>
    </row>
    <row r="457" spans="1:6" ht="26.25">
      <c r="A457" s="41" t="s">
        <v>451</v>
      </c>
      <c r="B457" s="20" t="s">
        <v>104</v>
      </c>
      <c r="C457" s="20" t="s">
        <v>215</v>
      </c>
      <c r="D457" s="20" t="s">
        <v>452</v>
      </c>
      <c r="E457" s="21"/>
      <c r="F457" s="22">
        <f>F458+F460</f>
        <v>227584</v>
      </c>
    </row>
    <row r="458" spans="1:6" ht="26.25">
      <c r="A458" s="27" t="s">
        <v>453</v>
      </c>
      <c r="B458" s="20" t="s">
        <v>104</v>
      </c>
      <c r="C458" s="20" t="s">
        <v>215</v>
      </c>
      <c r="D458" s="20" t="s">
        <v>454</v>
      </c>
      <c r="E458" s="21"/>
      <c r="F458" s="22">
        <f>F459</f>
        <v>227584</v>
      </c>
    </row>
    <row r="459" spans="1:6" ht="39">
      <c r="A459" s="29" t="s">
        <v>25</v>
      </c>
      <c r="B459" s="20" t="s">
        <v>104</v>
      </c>
      <c r="C459" s="20" t="s">
        <v>215</v>
      </c>
      <c r="D459" s="20" t="s">
        <v>454</v>
      </c>
      <c r="E459" s="21" t="s">
        <v>26</v>
      </c>
      <c r="F459" s="22">
        <v>227584</v>
      </c>
    </row>
    <row r="460" spans="1:6" ht="13.5" hidden="1">
      <c r="A460" s="29" t="s">
        <v>400</v>
      </c>
      <c r="B460" s="20" t="s">
        <v>104</v>
      </c>
      <c r="C460" s="20" t="s">
        <v>215</v>
      </c>
      <c r="D460" s="20" t="s">
        <v>455</v>
      </c>
      <c r="E460" s="21"/>
      <c r="F460" s="22">
        <f>F461</f>
        <v>0</v>
      </c>
    </row>
    <row r="461" spans="1:6" ht="26.25" hidden="1">
      <c r="A461" s="29" t="s">
        <v>37</v>
      </c>
      <c r="B461" s="20" t="s">
        <v>104</v>
      </c>
      <c r="C461" s="20" t="s">
        <v>215</v>
      </c>
      <c r="D461" s="20" t="s">
        <v>455</v>
      </c>
      <c r="E461" s="21" t="s">
        <v>38</v>
      </c>
      <c r="F461" s="22"/>
    </row>
    <row r="462" spans="1:6" ht="26.25" hidden="1">
      <c r="A462" s="41" t="s">
        <v>456</v>
      </c>
      <c r="B462" s="20" t="s">
        <v>104</v>
      </c>
      <c r="C462" s="20" t="s">
        <v>215</v>
      </c>
      <c r="D462" s="30" t="s">
        <v>457</v>
      </c>
      <c r="E462" s="21"/>
      <c r="F462" s="22">
        <f>F463</f>
        <v>0</v>
      </c>
    </row>
    <row r="463" spans="1:6" ht="26.25" hidden="1">
      <c r="A463" s="41" t="s">
        <v>458</v>
      </c>
      <c r="B463" s="20" t="s">
        <v>104</v>
      </c>
      <c r="C463" s="20" t="s">
        <v>215</v>
      </c>
      <c r="D463" s="30" t="s">
        <v>459</v>
      </c>
      <c r="E463" s="21"/>
      <c r="F463" s="22">
        <f>F464</f>
        <v>0</v>
      </c>
    </row>
    <row r="464" spans="1:6" ht="13.5" hidden="1">
      <c r="A464" s="41" t="s">
        <v>460</v>
      </c>
      <c r="B464" s="20" t="s">
        <v>104</v>
      </c>
      <c r="C464" s="20" t="s">
        <v>215</v>
      </c>
      <c r="D464" s="86" t="s">
        <v>461</v>
      </c>
      <c r="E464" s="21"/>
      <c r="F464" s="22">
        <f>F465</f>
        <v>0</v>
      </c>
    </row>
    <row r="465" spans="1:6" ht="26.25" hidden="1">
      <c r="A465" s="29" t="s">
        <v>37</v>
      </c>
      <c r="B465" s="20" t="s">
        <v>104</v>
      </c>
      <c r="C465" s="20" t="s">
        <v>215</v>
      </c>
      <c r="D465" s="30" t="s">
        <v>461</v>
      </c>
      <c r="E465" s="21" t="s">
        <v>38</v>
      </c>
      <c r="F465" s="22"/>
    </row>
    <row r="466" spans="1:6" ht="13.5">
      <c r="A466" s="26" t="s">
        <v>462</v>
      </c>
      <c r="B466" s="20" t="s">
        <v>235</v>
      </c>
      <c r="C466" s="20"/>
      <c r="D466" s="20"/>
      <c r="E466" s="55"/>
      <c r="F466" s="22">
        <f>F467+F493</f>
        <v>35177236.3</v>
      </c>
    </row>
    <row r="467" spans="1:6" ht="13.5">
      <c r="A467" s="26" t="s">
        <v>463</v>
      </c>
      <c r="B467" s="20" t="s">
        <v>235</v>
      </c>
      <c r="C467" s="20" t="s">
        <v>16</v>
      </c>
      <c r="D467" s="48"/>
      <c r="E467" s="55"/>
      <c r="F467" s="22">
        <f>F468+F484+F489</f>
        <v>31160084.3</v>
      </c>
    </row>
    <row r="468" spans="1:6" ht="26.25">
      <c r="A468" s="26" t="s">
        <v>464</v>
      </c>
      <c r="B468" s="20" t="s">
        <v>235</v>
      </c>
      <c r="C468" s="20" t="s">
        <v>16</v>
      </c>
      <c r="D468" s="20" t="s">
        <v>465</v>
      </c>
      <c r="E468" s="55"/>
      <c r="F468" s="22">
        <f>F469+F478</f>
        <v>31100084.3</v>
      </c>
    </row>
    <row r="469" spans="1:6" s="36" customFormat="1" ht="26.25">
      <c r="A469" s="26" t="s">
        <v>466</v>
      </c>
      <c r="B469" s="32" t="s">
        <v>467</v>
      </c>
      <c r="C469" s="32" t="s">
        <v>16</v>
      </c>
      <c r="D469" s="32" t="s">
        <v>468</v>
      </c>
      <c r="E469" s="39"/>
      <c r="F469" s="35">
        <f>F470</f>
        <v>20843384.3</v>
      </c>
    </row>
    <row r="470" spans="1:6" ht="39">
      <c r="A470" s="40" t="s">
        <v>469</v>
      </c>
      <c r="B470" s="20" t="s">
        <v>467</v>
      </c>
      <c r="C470" s="20" t="s">
        <v>16</v>
      </c>
      <c r="D470" s="20" t="s">
        <v>470</v>
      </c>
      <c r="E470" s="21"/>
      <c r="F470" s="22">
        <f>F471+F476</f>
        <v>20843384.3</v>
      </c>
    </row>
    <row r="471" spans="1:6" ht="26.25">
      <c r="A471" s="26" t="s">
        <v>199</v>
      </c>
      <c r="B471" s="20" t="s">
        <v>467</v>
      </c>
      <c r="C471" s="20" t="s">
        <v>16</v>
      </c>
      <c r="D471" s="20" t="s">
        <v>471</v>
      </c>
      <c r="E471" s="21"/>
      <c r="F471" s="22">
        <f>F472+F473+F475+F474</f>
        <v>20318384.3</v>
      </c>
    </row>
    <row r="472" spans="1:6" ht="39">
      <c r="A472" s="29" t="s">
        <v>25</v>
      </c>
      <c r="B472" s="20" t="s">
        <v>467</v>
      </c>
      <c r="C472" s="20" t="s">
        <v>16</v>
      </c>
      <c r="D472" s="20" t="s">
        <v>471</v>
      </c>
      <c r="E472" s="21" t="s">
        <v>26</v>
      </c>
      <c r="F472" s="22">
        <v>12229600</v>
      </c>
    </row>
    <row r="473" spans="1:6" ht="26.25">
      <c r="A473" s="29" t="s">
        <v>37</v>
      </c>
      <c r="B473" s="20" t="s">
        <v>467</v>
      </c>
      <c r="C473" s="20" t="s">
        <v>16</v>
      </c>
      <c r="D473" s="20" t="s">
        <v>471</v>
      </c>
      <c r="E473" s="21" t="s">
        <v>38</v>
      </c>
      <c r="F473" s="22">
        <f>2839824+196000+116500+1390760.3+30000+434000+630000+210000</f>
        <v>5847084.3</v>
      </c>
    </row>
    <row r="474" spans="1:6" ht="26.25">
      <c r="A474" s="26" t="s">
        <v>253</v>
      </c>
      <c r="B474" s="20" t="s">
        <v>467</v>
      </c>
      <c r="C474" s="20" t="s">
        <v>16</v>
      </c>
      <c r="D474" s="20" t="s">
        <v>471</v>
      </c>
      <c r="E474" s="21" t="s">
        <v>254</v>
      </c>
      <c r="F474" s="22">
        <f>1829000</f>
        <v>1829000</v>
      </c>
    </row>
    <row r="475" spans="1:6" ht="20.25" customHeight="1">
      <c r="A475" s="61" t="s">
        <v>79</v>
      </c>
      <c r="B475" s="20" t="s">
        <v>467</v>
      </c>
      <c r="C475" s="20" t="s">
        <v>16</v>
      </c>
      <c r="D475" s="20" t="s">
        <v>471</v>
      </c>
      <c r="E475" s="21" t="s">
        <v>80</v>
      </c>
      <c r="F475" s="22">
        <v>412700</v>
      </c>
    </row>
    <row r="476" spans="1:6" ht="26.25">
      <c r="A476" s="29" t="s">
        <v>472</v>
      </c>
      <c r="B476" s="20" t="s">
        <v>235</v>
      </c>
      <c r="C476" s="20" t="s">
        <v>16</v>
      </c>
      <c r="D476" s="20" t="s">
        <v>473</v>
      </c>
      <c r="E476" s="21"/>
      <c r="F476" s="22">
        <f>F477</f>
        <v>525000</v>
      </c>
    </row>
    <row r="477" spans="1:6" ht="26.25">
      <c r="A477" s="29" t="s">
        <v>37</v>
      </c>
      <c r="B477" s="20" t="s">
        <v>235</v>
      </c>
      <c r="C477" s="20" t="s">
        <v>16</v>
      </c>
      <c r="D477" s="20" t="s">
        <v>473</v>
      </c>
      <c r="E477" s="21" t="s">
        <v>38</v>
      </c>
      <c r="F477" s="22">
        <f>25000+500000</f>
        <v>525000</v>
      </c>
    </row>
    <row r="478" spans="1:6" s="36" customFormat="1" ht="26.25">
      <c r="A478" s="26" t="s">
        <v>474</v>
      </c>
      <c r="B478" s="32" t="s">
        <v>467</v>
      </c>
      <c r="C478" s="32" t="s">
        <v>16</v>
      </c>
      <c r="D478" s="56" t="s">
        <v>475</v>
      </c>
      <c r="E478" s="39"/>
      <c r="F478" s="35">
        <f>F479</f>
        <v>10256700</v>
      </c>
    </row>
    <row r="479" spans="1:6" ht="26.25">
      <c r="A479" s="41" t="s">
        <v>476</v>
      </c>
      <c r="B479" s="20" t="s">
        <v>467</v>
      </c>
      <c r="C479" s="20" t="s">
        <v>16</v>
      </c>
      <c r="D479" s="48" t="s">
        <v>477</v>
      </c>
      <c r="E479" s="21"/>
      <c r="F479" s="22">
        <f>F480</f>
        <v>10256700</v>
      </c>
    </row>
    <row r="480" spans="1:6" ht="26.25">
      <c r="A480" s="26" t="s">
        <v>199</v>
      </c>
      <c r="B480" s="20" t="s">
        <v>467</v>
      </c>
      <c r="C480" s="20" t="s">
        <v>16</v>
      </c>
      <c r="D480" s="48" t="s">
        <v>478</v>
      </c>
      <c r="E480" s="21"/>
      <c r="F480" s="22">
        <f>F481+F482+F483</f>
        <v>10256700</v>
      </c>
    </row>
    <row r="481" spans="1:6" ht="39">
      <c r="A481" s="29" t="s">
        <v>25</v>
      </c>
      <c r="B481" s="20" t="s">
        <v>467</v>
      </c>
      <c r="C481" s="20" t="s">
        <v>16</v>
      </c>
      <c r="D481" s="48" t="s">
        <v>478</v>
      </c>
      <c r="E481" s="21" t="s">
        <v>26</v>
      </c>
      <c r="F481" s="22">
        <f>9716200+6000</f>
        <v>9722200</v>
      </c>
    </row>
    <row r="482" spans="1:6" ht="26.25">
      <c r="A482" s="29" t="s">
        <v>37</v>
      </c>
      <c r="B482" s="20" t="s">
        <v>467</v>
      </c>
      <c r="C482" s="20" t="s">
        <v>16</v>
      </c>
      <c r="D482" s="48" t="s">
        <v>478</v>
      </c>
      <c r="E482" s="21" t="s">
        <v>38</v>
      </c>
      <c r="F482" s="22">
        <f>265200+35600+228400</f>
        <v>529200</v>
      </c>
    </row>
    <row r="483" spans="1:6" ht="13.5">
      <c r="A483" s="61" t="s">
        <v>79</v>
      </c>
      <c r="B483" s="20" t="s">
        <v>467</v>
      </c>
      <c r="C483" s="20" t="s">
        <v>16</v>
      </c>
      <c r="D483" s="48" t="s">
        <v>478</v>
      </c>
      <c r="E483" s="21" t="s">
        <v>80</v>
      </c>
      <c r="F483" s="22">
        <v>5300</v>
      </c>
    </row>
    <row r="484" spans="1:6" ht="26.25">
      <c r="A484" s="50" t="s">
        <v>479</v>
      </c>
      <c r="B484" s="20" t="s">
        <v>467</v>
      </c>
      <c r="C484" s="20" t="s">
        <v>16</v>
      </c>
      <c r="D484" s="20" t="s">
        <v>406</v>
      </c>
      <c r="E484" s="31"/>
      <c r="F484" s="22">
        <f>F485</f>
        <v>10000</v>
      </c>
    </row>
    <row r="485" spans="1:6" ht="39">
      <c r="A485" s="40" t="s">
        <v>407</v>
      </c>
      <c r="B485" s="20" t="s">
        <v>467</v>
      </c>
      <c r="C485" s="20" t="s">
        <v>16</v>
      </c>
      <c r="D485" s="20" t="s">
        <v>408</v>
      </c>
      <c r="E485" s="31"/>
      <c r="F485" s="22">
        <f>F486</f>
        <v>10000</v>
      </c>
    </row>
    <row r="486" spans="1:6" ht="26.25">
      <c r="A486" s="49" t="s">
        <v>409</v>
      </c>
      <c r="B486" s="20" t="s">
        <v>467</v>
      </c>
      <c r="C486" s="20" t="s">
        <v>16</v>
      </c>
      <c r="D486" s="20" t="s">
        <v>410</v>
      </c>
      <c r="E486" s="31"/>
      <c r="F486" s="22">
        <f>F487</f>
        <v>10000</v>
      </c>
    </row>
    <row r="487" spans="1:6" ht="13.5">
      <c r="A487" s="49" t="s">
        <v>411</v>
      </c>
      <c r="B487" s="20" t="s">
        <v>467</v>
      </c>
      <c r="C487" s="20" t="s">
        <v>16</v>
      </c>
      <c r="D487" s="20" t="s">
        <v>412</v>
      </c>
      <c r="E487" s="31"/>
      <c r="F487" s="22">
        <f>F488</f>
        <v>10000</v>
      </c>
    </row>
    <row r="488" spans="1:6" ht="26.25">
      <c r="A488" s="29" t="s">
        <v>37</v>
      </c>
      <c r="B488" s="20" t="s">
        <v>467</v>
      </c>
      <c r="C488" s="20" t="s">
        <v>16</v>
      </c>
      <c r="D488" s="20" t="s">
        <v>412</v>
      </c>
      <c r="E488" s="21" t="s">
        <v>38</v>
      </c>
      <c r="F488" s="22">
        <v>10000</v>
      </c>
    </row>
    <row r="489" spans="1:6" ht="26.25">
      <c r="A489" s="41" t="s">
        <v>456</v>
      </c>
      <c r="B489" s="20" t="s">
        <v>467</v>
      </c>
      <c r="C489" s="20" t="s">
        <v>16</v>
      </c>
      <c r="D489" s="48" t="s">
        <v>457</v>
      </c>
      <c r="E489" s="21"/>
      <c r="F489" s="22">
        <f>F490</f>
        <v>50000</v>
      </c>
    </row>
    <row r="490" spans="1:6" ht="26.25">
      <c r="A490" s="29" t="s">
        <v>458</v>
      </c>
      <c r="B490" s="20" t="s">
        <v>467</v>
      </c>
      <c r="C490" s="20" t="s">
        <v>16</v>
      </c>
      <c r="D490" s="48" t="s">
        <v>459</v>
      </c>
      <c r="E490" s="21"/>
      <c r="F490" s="22">
        <f>F491</f>
        <v>50000</v>
      </c>
    </row>
    <row r="491" spans="1:6" ht="26.25">
      <c r="A491" s="29" t="s">
        <v>720</v>
      </c>
      <c r="B491" s="20" t="s">
        <v>467</v>
      </c>
      <c r="C491" s="20" t="s">
        <v>16</v>
      </c>
      <c r="D491" s="30" t="s">
        <v>721</v>
      </c>
      <c r="E491" s="21"/>
      <c r="F491" s="22">
        <f>F492</f>
        <v>50000</v>
      </c>
    </row>
    <row r="492" spans="1:6" ht="13.5">
      <c r="A492" s="26" t="s">
        <v>210</v>
      </c>
      <c r="B492" s="20" t="s">
        <v>467</v>
      </c>
      <c r="C492" s="20" t="s">
        <v>16</v>
      </c>
      <c r="D492" s="30" t="s">
        <v>721</v>
      </c>
      <c r="E492" s="21" t="s">
        <v>211</v>
      </c>
      <c r="F492" s="22">
        <f>50000</f>
        <v>50000</v>
      </c>
    </row>
    <row r="493" spans="1:6" ht="13.5">
      <c r="A493" s="26" t="s">
        <v>480</v>
      </c>
      <c r="B493" s="20" t="s">
        <v>235</v>
      </c>
      <c r="C493" s="20" t="s">
        <v>41</v>
      </c>
      <c r="D493" s="20"/>
      <c r="E493" s="21"/>
      <c r="F493" s="22">
        <f>F494</f>
        <v>4017152</v>
      </c>
    </row>
    <row r="494" spans="1:6" ht="26.25">
      <c r="A494" s="26" t="s">
        <v>464</v>
      </c>
      <c r="B494" s="20" t="s">
        <v>235</v>
      </c>
      <c r="C494" s="20" t="s">
        <v>41</v>
      </c>
      <c r="D494" s="20" t="s">
        <v>465</v>
      </c>
      <c r="E494" s="21"/>
      <c r="F494" s="22">
        <f>F495</f>
        <v>4017152</v>
      </c>
    </row>
    <row r="495" spans="1:6" ht="39">
      <c r="A495" s="26" t="s">
        <v>481</v>
      </c>
      <c r="B495" s="20" t="s">
        <v>235</v>
      </c>
      <c r="C495" s="20" t="s">
        <v>41</v>
      </c>
      <c r="D495" s="20" t="s">
        <v>482</v>
      </c>
      <c r="E495" s="21"/>
      <c r="F495" s="22">
        <f>F496+F501</f>
        <v>4017152</v>
      </c>
    </row>
    <row r="496" spans="1:6" ht="26.25">
      <c r="A496" s="89" t="s">
        <v>483</v>
      </c>
      <c r="B496" s="20" t="s">
        <v>235</v>
      </c>
      <c r="C496" s="20" t="s">
        <v>41</v>
      </c>
      <c r="D496" s="20" t="s">
        <v>484</v>
      </c>
      <c r="E496" s="21"/>
      <c r="F496" s="22">
        <f>F497</f>
        <v>3964280</v>
      </c>
    </row>
    <row r="497" spans="1:6" ht="26.25">
      <c r="A497" s="26" t="s">
        <v>199</v>
      </c>
      <c r="B497" s="20" t="s">
        <v>235</v>
      </c>
      <c r="C497" s="20" t="s">
        <v>41</v>
      </c>
      <c r="D497" s="20" t="s">
        <v>485</v>
      </c>
      <c r="E497" s="21"/>
      <c r="F497" s="22">
        <f>F498+F499+F500</f>
        <v>3964280</v>
      </c>
    </row>
    <row r="498" spans="1:6" ht="39">
      <c r="A498" s="29" t="s">
        <v>25</v>
      </c>
      <c r="B498" s="20" t="s">
        <v>235</v>
      </c>
      <c r="C498" s="20" t="s">
        <v>41</v>
      </c>
      <c r="D498" s="20" t="s">
        <v>485</v>
      </c>
      <c r="E498" s="21" t="s">
        <v>26</v>
      </c>
      <c r="F498" s="22">
        <v>3679000</v>
      </c>
    </row>
    <row r="499" spans="1:6" ht="26.25">
      <c r="A499" s="29" t="s">
        <v>37</v>
      </c>
      <c r="B499" s="20" t="s">
        <v>235</v>
      </c>
      <c r="C499" s="20" t="s">
        <v>41</v>
      </c>
      <c r="D499" s="20" t="s">
        <v>485</v>
      </c>
      <c r="E499" s="21" t="s">
        <v>38</v>
      </c>
      <c r="F499" s="22">
        <f>233280+50000</f>
        <v>283280</v>
      </c>
    </row>
    <row r="500" spans="1:6" ht="13.5">
      <c r="A500" s="61" t="s">
        <v>79</v>
      </c>
      <c r="B500" s="20" t="s">
        <v>235</v>
      </c>
      <c r="C500" s="20" t="s">
        <v>41</v>
      </c>
      <c r="D500" s="20" t="s">
        <v>485</v>
      </c>
      <c r="E500" s="21" t="s">
        <v>80</v>
      </c>
      <c r="F500" s="22">
        <v>2000</v>
      </c>
    </row>
    <row r="501" spans="1:6" ht="39">
      <c r="A501" s="90" t="s">
        <v>486</v>
      </c>
      <c r="B501" s="20" t="s">
        <v>235</v>
      </c>
      <c r="C501" s="20" t="s">
        <v>41</v>
      </c>
      <c r="D501" s="20" t="s">
        <v>487</v>
      </c>
      <c r="E501" s="21"/>
      <c r="F501" s="22">
        <f>F502</f>
        <v>52872</v>
      </c>
    </row>
    <row r="502" spans="1:6" ht="39">
      <c r="A502" s="27" t="s">
        <v>488</v>
      </c>
      <c r="B502" s="20" t="s">
        <v>235</v>
      </c>
      <c r="C502" s="20" t="s">
        <v>41</v>
      </c>
      <c r="D502" s="20" t="s">
        <v>489</v>
      </c>
      <c r="E502" s="21"/>
      <c r="F502" s="22">
        <f>F503</f>
        <v>52872</v>
      </c>
    </row>
    <row r="503" spans="1:6" ht="39">
      <c r="A503" s="29" t="s">
        <v>25</v>
      </c>
      <c r="B503" s="20" t="s">
        <v>235</v>
      </c>
      <c r="C503" s="20" t="s">
        <v>41</v>
      </c>
      <c r="D503" s="20" t="s">
        <v>489</v>
      </c>
      <c r="E503" s="21" t="s">
        <v>26</v>
      </c>
      <c r="F503" s="22">
        <v>52872</v>
      </c>
    </row>
    <row r="504" spans="1:6" ht="13.5">
      <c r="A504" s="26" t="s">
        <v>490</v>
      </c>
      <c r="B504" s="20" t="s">
        <v>215</v>
      </c>
      <c r="C504" s="20"/>
      <c r="D504" s="48"/>
      <c r="E504" s="55"/>
      <c r="F504" s="22">
        <f>F505</f>
        <v>385299</v>
      </c>
    </row>
    <row r="505" spans="1:6" ht="13.5">
      <c r="A505" s="41" t="s">
        <v>491</v>
      </c>
      <c r="B505" s="20" t="s">
        <v>215</v>
      </c>
      <c r="C505" s="20" t="s">
        <v>104</v>
      </c>
      <c r="D505" s="20"/>
      <c r="E505" s="21"/>
      <c r="F505" s="22">
        <f>F506</f>
        <v>385299</v>
      </c>
    </row>
    <row r="506" spans="1:6" ht="13.5">
      <c r="A506" s="26" t="s">
        <v>81</v>
      </c>
      <c r="B506" s="20" t="s">
        <v>215</v>
      </c>
      <c r="C506" s="20" t="s">
        <v>104</v>
      </c>
      <c r="D506" s="45" t="s">
        <v>82</v>
      </c>
      <c r="E506" s="31"/>
      <c r="F506" s="22">
        <f>F507</f>
        <v>385299</v>
      </c>
    </row>
    <row r="507" spans="1:6" ht="13.5">
      <c r="A507" s="26" t="s">
        <v>88</v>
      </c>
      <c r="B507" s="20" t="s">
        <v>215</v>
      </c>
      <c r="C507" s="20" t="s">
        <v>104</v>
      </c>
      <c r="D507" s="20" t="s">
        <v>89</v>
      </c>
      <c r="E507" s="21"/>
      <c r="F507" s="22">
        <f>F508</f>
        <v>385299</v>
      </c>
    </row>
    <row r="508" spans="1:6" ht="26.25">
      <c r="A508" s="43" t="s">
        <v>492</v>
      </c>
      <c r="B508" s="20" t="s">
        <v>215</v>
      </c>
      <c r="C508" s="20" t="s">
        <v>104</v>
      </c>
      <c r="D508" s="20" t="s">
        <v>493</v>
      </c>
      <c r="E508" s="21"/>
      <c r="F508" s="22">
        <f>F509</f>
        <v>385299</v>
      </c>
    </row>
    <row r="509" spans="1:6" ht="26.25">
      <c r="A509" s="29" t="s">
        <v>37</v>
      </c>
      <c r="B509" s="20" t="s">
        <v>215</v>
      </c>
      <c r="C509" s="20" t="s">
        <v>104</v>
      </c>
      <c r="D509" s="20" t="s">
        <v>493</v>
      </c>
      <c r="E509" s="31" t="s">
        <v>38</v>
      </c>
      <c r="F509" s="22">
        <v>385299</v>
      </c>
    </row>
    <row r="510" spans="1:6" ht="13.5">
      <c r="A510" s="26" t="s">
        <v>494</v>
      </c>
      <c r="B510" s="20" t="s">
        <v>495</v>
      </c>
      <c r="C510" s="20"/>
      <c r="D510" s="48"/>
      <c r="E510" s="55"/>
      <c r="F510" s="22">
        <f>F511+F517+F549</f>
        <v>60602408</v>
      </c>
    </row>
    <row r="511" spans="1:6" ht="13.5">
      <c r="A511" s="26" t="s">
        <v>496</v>
      </c>
      <c r="B511" s="20" t="s">
        <v>495</v>
      </c>
      <c r="C511" s="20" t="s">
        <v>16</v>
      </c>
      <c r="D511" s="20"/>
      <c r="E511" s="21"/>
      <c r="F511" s="22">
        <f>F512</f>
        <v>268100</v>
      </c>
    </row>
    <row r="512" spans="1:6" ht="26.25">
      <c r="A512" s="26" t="s">
        <v>497</v>
      </c>
      <c r="B512" s="20" t="s">
        <v>495</v>
      </c>
      <c r="C512" s="20" t="s">
        <v>16</v>
      </c>
      <c r="D512" s="20" t="s">
        <v>43</v>
      </c>
      <c r="E512" s="21"/>
      <c r="F512" s="22">
        <f>F513</f>
        <v>268100</v>
      </c>
    </row>
    <row r="513" spans="1:6" s="36" customFormat="1" ht="39">
      <c r="A513" s="51" t="s">
        <v>498</v>
      </c>
      <c r="B513" s="32" t="s">
        <v>495</v>
      </c>
      <c r="C513" s="32" t="s">
        <v>16</v>
      </c>
      <c r="D513" s="32" t="s">
        <v>121</v>
      </c>
      <c r="E513" s="39"/>
      <c r="F513" s="35">
        <f>F515</f>
        <v>268100</v>
      </c>
    </row>
    <row r="514" spans="1:6" ht="26.25">
      <c r="A514" s="54" t="s">
        <v>499</v>
      </c>
      <c r="B514" s="20" t="s">
        <v>495</v>
      </c>
      <c r="C514" s="20" t="s">
        <v>16</v>
      </c>
      <c r="D514" s="20" t="s">
        <v>500</v>
      </c>
      <c r="E514" s="21"/>
      <c r="F514" s="22">
        <f>F515</f>
        <v>268100</v>
      </c>
    </row>
    <row r="515" spans="1:6" ht="13.5">
      <c r="A515" s="51" t="s">
        <v>501</v>
      </c>
      <c r="B515" s="20" t="s">
        <v>502</v>
      </c>
      <c r="C515" s="20" t="s">
        <v>16</v>
      </c>
      <c r="D515" s="20" t="s">
        <v>503</v>
      </c>
      <c r="E515" s="21"/>
      <c r="F515" s="22">
        <f>F516</f>
        <v>268100</v>
      </c>
    </row>
    <row r="516" spans="1:6" ht="13.5">
      <c r="A516" s="61" t="s">
        <v>210</v>
      </c>
      <c r="B516" s="20" t="s">
        <v>502</v>
      </c>
      <c r="C516" s="20" t="s">
        <v>16</v>
      </c>
      <c r="D516" s="20" t="s">
        <v>503</v>
      </c>
      <c r="E516" s="21" t="s">
        <v>211</v>
      </c>
      <c r="F516" s="22">
        <v>268100</v>
      </c>
    </row>
    <row r="517" spans="1:6" ht="13.5">
      <c r="A517" s="26" t="s">
        <v>504</v>
      </c>
      <c r="B517" s="20">
        <v>10</v>
      </c>
      <c r="C517" s="20" t="s">
        <v>28</v>
      </c>
      <c r="D517" s="20"/>
      <c r="E517" s="21"/>
      <c r="F517" s="22">
        <f>F523+F538+F518</f>
        <v>33910643</v>
      </c>
    </row>
    <row r="518" spans="1:6" ht="26.25">
      <c r="A518" s="26" t="s">
        <v>464</v>
      </c>
      <c r="B518" s="20">
        <v>10</v>
      </c>
      <c r="C518" s="20" t="s">
        <v>28</v>
      </c>
      <c r="D518" s="20" t="s">
        <v>465</v>
      </c>
      <c r="E518" s="21"/>
      <c r="F518" s="22">
        <f>F519</f>
        <v>1665442</v>
      </c>
    </row>
    <row r="519" spans="1:6" s="36" customFormat="1" ht="39">
      <c r="A519" s="26" t="s">
        <v>481</v>
      </c>
      <c r="B519" s="32">
        <v>10</v>
      </c>
      <c r="C519" s="32" t="s">
        <v>28</v>
      </c>
      <c r="D519" s="32" t="s">
        <v>482</v>
      </c>
      <c r="E519" s="39"/>
      <c r="F519" s="35">
        <f>F520</f>
        <v>1665442</v>
      </c>
    </row>
    <row r="520" spans="1:6" ht="26.25">
      <c r="A520" s="54" t="s">
        <v>505</v>
      </c>
      <c r="B520" s="20">
        <v>10</v>
      </c>
      <c r="C520" s="20" t="s">
        <v>28</v>
      </c>
      <c r="D520" s="20" t="s">
        <v>506</v>
      </c>
      <c r="E520" s="21"/>
      <c r="F520" s="22">
        <f>F521</f>
        <v>1665442</v>
      </c>
    </row>
    <row r="521" spans="1:6" ht="26.25">
      <c r="A521" s="38" t="s">
        <v>507</v>
      </c>
      <c r="B521" s="20">
        <v>10</v>
      </c>
      <c r="C521" s="20" t="s">
        <v>28</v>
      </c>
      <c r="D521" s="45" t="s">
        <v>508</v>
      </c>
      <c r="E521" s="21"/>
      <c r="F521" s="22">
        <f>F522</f>
        <v>1665442</v>
      </c>
    </row>
    <row r="522" spans="1:6" ht="13.5">
      <c r="A522" s="61" t="s">
        <v>210</v>
      </c>
      <c r="B522" s="20">
        <v>10</v>
      </c>
      <c r="C522" s="20" t="s">
        <v>28</v>
      </c>
      <c r="D522" s="45" t="s">
        <v>508</v>
      </c>
      <c r="E522" s="21" t="s">
        <v>211</v>
      </c>
      <c r="F522" s="22">
        <v>1665442</v>
      </c>
    </row>
    <row r="523" spans="1:6" ht="26.25">
      <c r="A523" s="26" t="s">
        <v>509</v>
      </c>
      <c r="B523" s="20">
        <v>10</v>
      </c>
      <c r="C523" s="20" t="s">
        <v>28</v>
      </c>
      <c r="D523" s="20" t="s">
        <v>43</v>
      </c>
      <c r="E523" s="21"/>
      <c r="F523" s="22">
        <f>F524</f>
        <v>10509531</v>
      </c>
    </row>
    <row r="524" spans="1:8" s="36" customFormat="1" ht="39">
      <c r="A524" s="47" t="s">
        <v>510</v>
      </c>
      <c r="B524" s="32">
        <v>10</v>
      </c>
      <c r="C524" s="32" t="s">
        <v>28</v>
      </c>
      <c r="D524" s="32" t="s">
        <v>121</v>
      </c>
      <c r="E524" s="39"/>
      <c r="F524" s="35">
        <f>F525</f>
        <v>10509531</v>
      </c>
      <c r="H524" s="73"/>
    </row>
    <row r="525" spans="1:6" ht="26.25">
      <c r="A525" s="47" t="s">
        <v>511</v>
      </c>
      <c r="B525" s="20">
        <v>10</v>
      </c>
      <c r="C525" s="20" t="s">
        <v>28</v>
      </c>
      <c r="D525" s="20" t="s">
        <v>512</v>
      </c>
      <c r="E525" s="21"/>
      <c r="F525" s="22">
        <f>F526+F529+F532+F535</f>
        <v>10509531</v>
      </c>
    </row>
    <row r="526" spans="1:6" ht="26.25">
      <c r="A526" s="27" t="s">
        <v>513</v>
      </c>
      <c r="B526" s="20">
        <v>10</v>
      </c>
      <c r="C526" s="20" t="s">
        <v>28</v>
      </c>
      <c r="D526" s="20" t="s">
        <v>514</v>
      </c>
      <c r="E526" s="21"/>
      <c r="F526" s="22">
        <f>F528+F527</f>
        <v>43900</v>
      </c>
    </row>
    <row r="527" spans="1:6" ht="26.25">
      <c r="A527" s="29" t="s">
        <v>37</v>
      </c>
      <c r="B527" s="20">
        <v>10</v>
      </c>
      <c r="C527" s="20" t="s">
        <v>28</v>
      </c>
      <c r="D527" s="20" t="s">
        <v>514</v>
      </c>
      <c r="E527" s="21" t="s">
        <v>38</v>
      </c>
      <c r="F527" s="22">
        <f>670+100</f>
        <v>770</v>
      </c>
    </row>
    <row r="528" spans="1:6" ht="13.5">
      <c r="A528" s="92" t="s">
        <v>210</v>
      </c>
      <c r="B528" s="20">
        <v>10</v>
      </c>
      <c r="C528" s="20" t="s">
        <v>28</v>
      </c>
      <c r="D528" s="20" t="s">
        <v>514</v>
      </c>
      <c r="E528" s="21" t="s">
        <v>211</v>
      </c>
      <c r="F528" s="22">
        <f>43230-100</f>
        <v>43130</v>
      </c>
    </row>
    <row r="529" spans="1:6" ht="26.25">
      <c r="A529" s="27" t="s">
        <v>515</v>
      </c>
      <c r="B529" s="20">
        <v>10</v>
      </c>
      <c r="C529" s="20" t="s">
        <v>28</v>
      </c>
      <c r="D529" s="20" t="s">
        <v>516</v>
      </c>
      <c r="E529" s="21"/>
      <c r="F529" s="22">
        <f>F531+F530</f>
        <v>431394</v>
      </c>
    </row>
    <row r="530" spans="1:6" ht="26.25">
      <c r="A530" s="29" t="s">
        <v>37</v>
      </c>
      <c r="B530" s="20">
        <v>10</v>
      </c>
      <c r="C530" s="20" t="s">
        <v>28</v>
      </c>
      <c r="D530" s="20" t="s">
        <v>516</v>
      </c>
      <c r="E530" s="21" t="s">
        <v>38</v>
      </c>
      <c r="F530" s="22">
        <v>4700</v>
      </c>
    </row>
    <row r="531" spans="1:6" ht="13.5">
      <c r="A531" s="92" t="s">
        <v>210</v>
      </c>
      <c r="B531" s="20">
        <v>10</v>
      </c>
      <c r="C531" s="20" t="s">
        <v>28</v>
      </c>
      <c r="D531" s="20" t="s">
        <v>516</v>
      </c>
      <c r="E531" s="21" t="s">
        <v>211</v>
      </c>
      <c r="F531" s="22">
        <v>426694</v>
      </c>
    </row>
    <row r="532" spans="1:6" ht="13.5">
      <c r="A532" s="26" t="s">
        <v>517</v>
      </c>
      <c r="B532" s="20">
        <v>10</v>
      </c>
      <c r="C532" s="20" t="s">
        <v>28</v>
      </c>
      <c r="D532" s="20" t="s">
        <v>518</v>
      </c>
      <c r="E532" s="21"/>
      <c r="F532" s="22">
        <f>F534+F533</f>
        <v>9049237</v>
      </c>
    </row>
    <row r="533" spans="1:6" ht="26.25">
      <c r="A533" s="29" t="s">
        <v>37</v>
      </c>
      <c r="B533" s="20">
        <v>10</v>
      </c>
      <c r="C533" s="20" t="s">
        <v>28</v>
      </c>
      <c r="D533" s="20" t="s">
        <v>518</v>
      </c>
      <c r="E533" s="21" t="s">
        <v>38</v>
      </c>
      <c r="F533" s="22">
        <f>90000+62000</f>
        <v>152000</v>
      </c>
    </row>
    <row r="534" spans="1:6" ht="13.5">
      <c r="A534" s="92" t="s">
        <v>210</v>
      </c>
      <c r="B534" s="20">
        <v>10</v>
      </c>
      <c r="C534" s="20" t="s">
        <v>28</v>
      </c>
      <c r="D534" s="20" t="s">
        <v>518</v>
      </c>
      <c r="E534" s="21" t="s">
        <v>211</v>
      </c>
      <c r="F534" s="22">
        <f>8897237</f>
        <v>8897237</v>
      </c>
    </row>
    <row r="535" spans="1:6" ht="13.5">
      <c r="A535" s="26" t="s">
        <v>519</v>
      </c>
      <c r="B535" s="20">
        <v>10</v>
      </c>
      <c r="C535" s="20" t="s">
        <v>28</v>
      </c>
      <c r="D535" s="20" t="s">
        <v>520</v>
      </c>
      <c r="E535" s="21"/>
      <c r="F535" s="22">
        <f>F537+F536</f>
        <v>985000</v>
      </c>
    </row>
    <row r="536" spans="1:6" ht="26.25">
      <c r="A536" s="29" t="s">
        <v>37</v>
      </c>
      <c r="B536" s="20">
        <v>10</v>
      </c>
      <c r="C536" s="20" t="s">
        <v>28</v>
      </c>
      <c r="D536" s="20" t="s">
        <v>520</v>
      </c>
      <c r="E536" s="21" t="s">
        <v>38</v>
      </c>
      <c r="F536" s="22">
        <f>16000+3400</f>
        <v>19400</v>
      </c>
    </row>
    <row r="537" spans="1:6" ht="13.5">
      <c r="A537" s="92" t="s">
        <v>210</v>
      </c>
      <c r="B537" s="20">
        <v>10</v>
      </c>
      <c r="C537" s="20" t="s">
        <v>28</v>
      </c>
      <c r="D537" s="20" t="s">
        <v>520</v>
      </c>
      <c r="E537" s="21" t="s">
        <v>211</v>
      </c>
      <c r="F537" s="22">
        <f>965600</f>
        <v>965600</v>
      </c>
    </row>
    <row r="538" spans="1:6" ht="26.25">
      <c r="A538" s="26" t="s">
        <v>364</v>
      </c>
      <c r="B538" s="20">
        <v>10</v>
      </c>
      <c r="C538" s="20" t="s">
        <v>28</v>
      </c>
      <c r="D538" s="20" t="s">
        <v>365</v>
      </c>
      <c r="E538" s="21"/>
      <c r="F538" s="22">
        <f>F539+F544</f>
        <v>21735670</v>
      </c>
    </row>
    <row r="539" spans="1:6" s="36" customFormat="1" ht="39">
      <c r="A539" s="19" t="s">
        <v>366</v>
      </c>
      <c r="B539" s="32">
        <v>10</v>
      </c>
      <c r="C539" s="32" t="s">
        <v>28</v>
      </c>
      <c r="D539" s="32" t="s">
        <v>367</v>
      </c>
      <c r="E539" s="39"/>
      <c r="F539" s="35">
        <f>F540</f>
        <v>21310670</v>
      </c>
    </row>
    <row r="540" spans="1:6" ht="26.25">
      <c r="A540" s="41" t="s">
        <v>521</v>
      </c>
      <c r="B540" s="20">
        <v>10</v>
      </c>
      <c r="C540" s="20" t="s">
        <v>28</v>
      </c>
      <c r="D540" s="20" t="s">
        <v>522</v>
      </c>
      <c r="E540" s="21"/>
      <c r="F540" s="22">
        <f>F541</f>
        <v>21310670</v>
      </c>
    </row>
    <row r="541" spans="1:6" ht="52.5">
      <c r="A541" s="38" t="s">
        <v>523</v>
      </c>
      <c r="B541" s="20">
        <v>10</v>
      </c>
      <c r="C541" s="20" t="s">
        <v>28</v>
      </c>
      <c r="D541" s="20" t="s">
        <v>524</v>
      </c>
      <c r="E541" s="21"/>
      <c r="F541" s="22">
        <f>F542+F543</f>
        <v>21310670</v>
      </c>
    </row>
    <row r="542" spans="1:6" ht="26.25">
      <c r="A542" s="29" t="s">
        <v>37</v>
      </c>
      <c r="B542" s="20">
        <v>10</v>
      </c>
      <c r="C542" s="20" t="s">
        <v>28</v>
      </c>
      <c r="D542" s="20" t="s">
        <v>524</v>
      </c>
      <c r="E542" s="21" t="s">
        <v>38</v>
      </c>
      <c r="F542" s="22"/>
    </row>
    <row r="543" spans="1:6" ht="13.5">
      <c r="A543" s="92" t="s">
        <v>210</v>
      </c>
      <c r="B543" s="20">
        <v>10</v>
      </c>
      <c r="C543" s="20" t="s">
        <v>28</v>
      </c>
      <c r="D543" s="20" t="s">
        <v>524</v>
      </c>
      <c r="E543" s="21" t="s">
        <v>211</v>
      </c>
      <c r="F543" s="22">
        <v>21310670</v>
      </c>
    </row>
    <row r="544" spans="1:6" s="36" customFormat="1" ht="39">
      <c r="A544" s="29" t="s">
        <v>414</v>
      </c>
      <c r="B544" s="32">
        <v>10</v>
      </c>
      <c r="C544" s="32" t="s">
        <v>28</v>
      </c>
      <c r="D544" s="32" t="s">
        <v>415</v>
      </c>
      <c r="E544" s="39"/>
      <c r="F544" s="35">
        <f>F545</f>
        <v>425000</v>
      </c>
    </row>
    <row r="545" spans="1:6" ht="26.25">
      <c r="A545" s="47" t="s">
        <v>525</v>
      </c>
      <c r="B545" s="20">
        <v>10</v>
      </c>
      <c r="C545" s="20" t="s">
        <v>28</v>
      </c>
      <c r="D545" s="20" t="s">
        <v>674</v>
      </c>
      <c r="E545" s="21"/>
      <c r="F545" s="22">
        <f>F546</f>
        <v>425000</v>
      </c>
    </row>
    <row r="546" spans="1:6" ht="52.5">
      <c r="A546" s="77" t="s">
        <v>526</v>
      </c>
      <c r="B546" s="20">
        <v>10</v>
      </c>
      <c r="C546" s="20" t="s">
        <v>28</v>
      </c>
      <c r="D546" s="20" t="s">
        <v>675</v>
      </c>
      <c r="E546" s="21"/>
      <c r="F546" s="22">
        <f>F548</f>
        <v>425000</v>
      </c>
    </row>
    <row r="547" spans="1:6" ht="26.25" hidden="1">
      <c r="A547" s="29" t="s">
        <v>37</v>
      </c>
      <c r="B547" s="20">
        <v>10</v>
      </c>
      <c r="C547" s="20" t="s">
        <v>28</v>
      </c>
      <c r="D547" s="20" t="s">
        <v>527</v>
      </c>
      <c r="E547" s="21" t="s">
        <v>38</v>
      </c>
      <c r="F547" s="22"/>
    </row>
    <row r="548" spans="1:6" ht="13.5">
      <c r="A548" s="92" t="s">
        <v>210</v>
      </c>
      <c r="B548" s="20">
        <v>10</v>
      </c>
      <c r="C548" s="20" t="s">
        <v>28</v>
      </c>
      <c r="D548" s="20" t="s">
        <v>675</v>
      </c>
      <c r="E548" s="21" t="s">
        <v>211</v>
      </c>
      <c r="F548" s="169">
        <v>425000</v>
      </c>
    </row>
    <row r="549" spans="1:6" ht="13.5">
      <c r="A549" s="26" t="s">
        <v>528</v>
      </c>
      <c r="B549" s="20">
        <v>10</v>
      </c>
      <c r="C549" s="20" t="s">
        <v>41</v>
      </c>
      <c r="D549" s="20"/>
      <c r="E549" s="21"/>
      <c r="F549" s="22">
        <f>F567+F550+F577</f>
        <v>26423665</v>
      </c>
    </row>
    <row r="550" spans="1:7" ht="26.25">
      <c r="A550" s="26" t="s">
        <v>119</v>
      </c>
      <c r="B550" s="20">
        <v>10</v>
      </c>
      <c r="C550" s="20" t="s">
        <v>41</v>
      </c>
      <c r="D550" s="94" t="s">
        <v>43</v>
      </c>
      <c r="E550" s="21"/>
      <c r="F550" s="22">
        <f>F560+F551</f>
        <v>24309551</v>
      </c>
      <c r="G550" s="28"/>
    </row>
    <row r="551" spans="1:6" ht="39">
      <c r="A551" s="47" t="s">
        <v>510</v>
      </c>
      <c r="B551" s="20">
        <v>10</v>
      </c>
      <c r="C551" s="20" t="s">
        <v>41</v>
      </c>
      <c r="D551" s="32" t="s">
        <v>121</v>
      </c>
      <c r="E551" s="39"/>
      <c r="F551" s="35">
        <f>F552</f>
        <v>14715232</v>
      </c>
    </row>
    <row r="552" spans="1:6" ht="26.25">
      <c r="A552" s="47" t="s">
        <v>511</v>
      </c>
      <c r="B552" s="20">
        <v>10</v>
      </c>
      <c r="C552" s="20" t="s">
        <v>41</v>
      </c>
      <c r="D552" s="20" t="s">
        <v>512</v>
      </c>
      <c r="E552" s="21"/>
      <c r="F552" s="22">
        <f>F553+F556+F558</f>
        <v>14715232</v>
      </c>
    </row>
    <row r="553" spans="1:6" ht="13.5">
      <c r="A553" s="26" t="s">
        <v>529</v>
      </c>
      <c r="B553" s="20">
        <v>10</v>
      </c>
      <c r="C553" s="20" t="s">
        <v>41</v>
      </c>
      <c r="D553" s="20" t="s">
        <v>530</v>
      </c>
      <c r="E553" s="21"/>
      <c r="F553" s="22">
        <f>F555+F554</f>
        <v>1398704</v>
      </c>
    </row>
    <row r="554" spans="1:6" ht="26.25">
      <c r="A554" s="29" t="s">
        <v>37</v>
      </c>
      <c r="B554" s="20">
        <v>10</v>
      </c>
      <c r="C554" s="20" t="s">
        <v>41</v>
      </c>
      <c r="D554" s="20" t="s">
        <v>530</v>
      </c>
      <c r="E554" s="21" t="s">
        <v>38</v>
      </c>
      <c r="F554" s="22">
        <v>260</v>
      </c>
    </row>
    <row r="555" spans="1:6" ht="13.5">
      <c r="A555" s="92" t="s">
        <v>210</v>
      </c>
      <c r="B555" s="20">
        <v>10</v>
      </c>
      <c r="C555" s="20" t="s">
        <v>41</v>
      </c>
      <c r="D555" s="20" t="s">
        <v>530</v>
      </c>
      <c r="E555" s="21" t="s">
        <v>211</v>
      </c>
      <c r="F555" s="22">
        <v>1398444</v>
      </c>
    </row>
    <row r="556" spans="1:6" ht="13.5">
      <c r="A556" s="92" t="s">
        <v>709</v>
      </c>
      <c r="B556" s="20" t="s">
        <v>495</v>
      </c>
      <c r="C556" s="20" t="s">
        <v>41</v>
      </c>
      <c r="D556" s="20" t="s">
        <v>707</v>
      </c>
      <c r="E556" s="21"/>
      <c r="F556" s="22">
        <f>F557</f>
        <v>13250277</v>
      </c>
    </row>
    <row r="557" spans="1:6" ht="13.5">
      <c r="A557" s="92" t="s">
        <v>210</v>
      </c>
      <c r="B557" s="20" t="s">
        <v>495</v>
      </c>
      <c r="C557" s="20" t="s">
        <v>41</v>
      </c>
      <c r="D557" s="20" t="s">
        <v>707</v>
      </c>
      <c r="E557" s="21" t="s">
        <v>211</v>
      </c>
      <c r="F557" s="22">
        <f>13250277</f>
        <v>13250277</v>
      </c>
    </row>
    <row r="558" spans="1:6" ht="26.25">
      <c r="A558" s="92" t="s">
        <v>710</v>
      </c>
      <c r="B558" s="20" t="s">
        <v>495</v>
      </c>
      <c r="C558" s="20" t="s">
        <v>41</v>
      </c>
      <c r="D558" s="20" t="s">
        <v>708</v>
      </c>
      <c r="E558" s="21"/>
      <c r="F558" s="22">
        <f>F559</f>
        <v>66251</v>
      </c>
    </row>
    <row r="559" spans="1:6" ht="26.25">
      <c r="A559" s="29" t="s">
        <v>37</v>
      </c>
      <c r="B559" s="20" t="s">
        <v>495</v>
      </c>
      <c r="C559" s="20" t="s">
        <v>41</v>
      </c>
      <c r="D559" s="20" t="s">
        <v>708</v>
      </c>
      <c r="E559" s="21" t="s">
        <v>38</v>
      </c>
      <c r="F559" s="22">
        <f>66251</f>
        <v>66251</v>
      </c>
    </row>
    <row r="560" spans="1:6" ht="52.5">
      <c r="A560" s="51" t="s">
        <v>531</v>
      </c>
      <c r="B560" s="20">
        <v>10</v>
      </c>
      <c r="C560" s="20" t="s">
        <v>41</v>
      </c>
      <c r="D560" s="20" t="s">
        <v>45</v>
      </c>
      <c r="E560" s="21"/>
      <c r="F560" s="22">
        <f>F561+F564</f>
        <v>9594319</v>
      </c>
    </row>
    <row r="561" spans="1:6" ht="39">
      <c r="A561" s="41" t="s">
        <v>532</v>
      </c>
      <c r="B561" s="20">
        <v>10</v>
      </c>
      <c r="C561" s="20" t="s">
        <v>41</v>
      </c>
      <c r="D561" s="20" t="s">
        <v>533</v>
      </c>
      <c r="E561" s="21"/>
      <c r="F561" s="22">
        <f>F562</f>
        <v>9594269</v>
      </c>
    </row>
    <row r="562" spans="1:6" ht="26.25">
      <c r="A562" s="27" t="s">
        <v>534</v>
      </c>
      <c r="B562" s="20">
        <v>10</v>
      </c>
      <c r="C562" s="20" t="s">
        <v>41</v>
      </c>
      <c r="D562" s="20" t="s">
        <v>535</v>
      </c>
      <c r="E562" s="21"/>
      <c r="F562" s="22">
        <f>F563</f>
        <v>9594269</v>
      </c>
    </row>
    <row r="563" spans="1:6" ht="13.5">
      <c r="A563" s="92" t="s">
        <v>210</v>
      </c>
      <c r="B563" s="20">
        <v>10</v>
      </c>
      <c r="C563" s="20" t="s">
        <v>41</v>
      </c>
      <c r="D563" s="20" t="s">
        <v>535</v>
      </c>
      <c r="E563" s="21" t="s">
        <v>211</v>
      </c>
      <c r="F563" s="22">
        <v>9594269</v>
      </c>
    </row>
    <row r="564" spans="1:6" ht="39">
      <c r="A564" s="37" t="s">
        <v>46</v>
      </c>
      <c r="B564" s="20" t="s">
        <v>495</v>
      </c>
      <c r="C564" s="20" t="s">
        <v>41</v>
      </c>
      <c r="D564" s="30" t="s">
        <v>47</v>
      </c>
      <c r="E564" s="31"/>
      <c r="F564" s="22">
        <f>F565</f>
        <v>50</v>
      </c>
    </row>
    <row r="565" spans="1:6" ht="39">
      <c r="A565" s="38" t="s">
        <v>48</v>
      </c>
      <c r="B565" s="20">
        <v>10</v>
      </c>
      <c r="C565" s="20" t="s">
        <v>41</v>
      </c>
      <c r="D565" s="20" t="s">
        <v>49</v>
      </c>
      <c r="E565" s="21"/>
      <c r="F565" s="22">
        <f>F566</f>
        <v>50</v>
      </c>
    </row>
    <row r="566" spans="1:6" ht="39">
      <c r="A566" s="29" t="s">
        <v>25</v>
      </c>
      <c r="B566" s="20">
        <v>10</v>
      </c>
      <c r="C566" s="20" t="s">
        <v>41</v>
      </c>
      <c r="D566" s="20" t="s">
        <v>49</v>
      </c>
      <c r="E566" s="21" t="s">
        <v>26</v>
      </c>
      <c r="F566" s="22">
        <v>50</v>
      </c>
    </row>
    <row r="567" spans="1:6" ht="26.25">
      <c r="A567" s="26" t="s">
        <v>536</v>
      </c>
      <c r="B567" s="20">
        <v>10</v>
      </c>
      <c r="C567" s="20" t="s">
        <v>41</v>
      </c>
      <c r="D567" s="94" t="s">
        <v>365</v>
      </c>
      <c r="E567" s="21"/>
      <c r="F567" s="22">
        <f>F568+F574</f>
        <v>2113514</v>
      </c>
    </row>
    <row r="568" spans="1:6" s="36" customFormat="1" ht="39">
      <c r="A568" s="19" t="s">
        <v>366</v>
      </c>
      <c r="B568" s="32">
        <v>10</v>
      </c>
      <c r="C568" s="32" t="s">
        <v>41</v>
      </c>
      <c r="D568" s="95" t="s">
        <v>367</v>
      </c>
      <c r="E568" s="39"/>
      <c r="F568" s="35">
        <f>F569</f>
        <v>2108714</v>
      </c>
    </row>
    <row r="569" spans="1:6" ht="26.25">
      <c r="A569" s="41" t="s">
        <v>368</v>
      </c>
      <c r="B569" s="20">
        <v>10</v>
      </c>
      <c r="C569" s="20" t="s">
        <v>41</v>
      </c>
      <c r="D569" s="94" t="s">
        <v>369</v>
      </c>
      <c r="E569" s="21"/>
      <c r="F569" s="22">
        <f>F572+F570</f>
        <v>2108714</v>
      </c>
    </row>
    <row r="570" spans="1:6" ht="26.25">
      <c r="A570" s="41" t="s">
        <v>199</v>
      </c>
      <c r="B570" s="20">
        <v>10</v>
      </c>
      <c r="C570" s="20" t="s">
        <v>41</v>
      </c>
      <c r="D570" s="94" t="s">
        <v>580</v>
      </c>
      <c r="E570" s="21"/>
      <c r="F570" s="22">
        <f>F571</f>
        <v>1000</v>
      </c>
    </row>
    <row r="571" spans="1:6" ht="39">
      <c r="A571" s="29" t="s">
        <v>25</v>
      </c>
      <c r="B571" s="20">
        <v>10</v>
      </c>
      <c r="C571" s="20" t="s">
        <v>41</v>
      </c>
      <c r="D571" s="94" t="s">
        <v>580</v>
      </c>
      <c r="E571" s="21" t="s">
        <v>26</v>
      </c>
      <c r="F571" s="22">
        <v>1000</v>
      </c>
    </row>
    <row r="572" spans="1:6" ht="13.5">
      <c r="A572" s="27" t="s">
        <v>537</v>
      </c>
      <c r="B572" s="20">
        <v>10</v>
      </c>
      <c r="C572" s="20" t="s">
        <v>41</v>
      </c>
      <c r="D572" s="94" t="s">
        <v>538</v>
      </c>
      <c r="E572" s="21"/>
      <c r="F572" s="22">
        <f>F573</f>
        <v>2107714</v>
      </c>
    </row>
    <row r="573" spans="1:6" ht="13.5">
      <c r="A573" s="92" t="s">
        <v>210</v>
      </c>
      <c r="B573" s="20">
        <v>10</v>
      </c>
      <c r="C573" s="20" t="s">
        <v>41</v>
      </c>
      <c r="D573" s="94" t="s">
        <v>538</v>
      </c>
      <c r="E573" s="21" t="s">
        <v>211</v>
      </c>
      <c r="F573" s="22">
        <v>2107714</v>
      </c>
    </row>
    <row r="574" spans="1:6" ht="26.25">
      <c r="A574" s="41" t="s">
        <v>384</v>
      </c>
      <c r="B574" s="20" t="s">
        <v>495</v>
      </c>
      <c r="C574" s="20" t="s">
        <v>41</v>
      </c>
      <c r="D574" s="20" t="s">
        <v>385</v>
      </c>
      <c r="E574" s="21"/>
      <c r="F574" s="22">
        <f>F575</f>
        <v>4800</v>
      </c>
    </row>
    <row r="575" spans="1:6" ht="78.75">
      <c r="A575" s="38" t="s">
        <v>386</v>
      </c>
      <c r="B575" s="20">
        <v>10</v>
      </c>
      <c r="C575" s="20" t="s">
        <v>41</v>
      </c>
      <c r="D575" s="94" t="s">
        <v>581</v>
      </c>
      <c r="E575" s="21"/>
      <c r="F575" s="22">
        <f>F576</f>
        <v>4800</v>
      </c>
    </row>
    <row r="576" spans="1:6" ht="39">
      <c r="A576" s="29" t="s">
        <v>25</v>
      </c>
      <c r="B576" s="20">
        <v>10</v>
      </c>
      <c r="C576" s="20" t="s">
        <v>41</v>
      </c>
      <c r="D576" s="94" t="s">
        <v>581</v>
      </c>
      <c r="E576" s="21" t="s">
        <v>26</v>
      </c>
      <c r="F576" s="22">
        <v>4800</v>
      </c>
    </row>
    <row r="577" spans="1:6" ht="39">
      <c r="A577" s="26" t="s">
        <v>64</v>
      </c>
      <c r="B577" s="20">
        <v>10</v>
      </c>
      <c r="C577" s="20" t="s">
        <v>41</v>
      </c>
      <c r="D577" s="30" t="s">
        <v>65</v>
      </c>
      <c r="E577" s="31"/>
      <c r="F577" s="22">
        <f>F578</f>
        <v>600</v>
      </c>
    </row>
    <row r="578" spans="1:6" s="36" customFormat="1" ht="66">
      <c r="A578" s="26" t="s">
        <v>66</v>
      </c>
      <c r="B578" s="20">
        <v>10</v>
      </c>
      <c r="C578" s="20" t="s">
        <v>41</v>
      </c>
      <c r="D578" s="33" t="s">
        <v>67</v>
      </c>
      <c r="E578" s="34"/>
      <c r="F578" s="35">
        <f>F579</f>
        <v>600</v>
      </c>
    </row>
    <row r="579" spans="1:6" ht="39">
      <c r="A579" s="40" t="s">
        <v>68</v>
      </c>
      <c r="B579" s="20">
        <v>10</v>
      </c>
      <c r="C579" s="20" t="s">
        <v>41</v>
      </c>
      <c r="D579" s="30" t="s">
        <v>69</v>
      </c>
      <c r="E579" s="31"/>
      <c r="F579" s="22">
        <f>F580</f>
        <v>600</v>
      </c>
    </row>
    <row r="580" spans="1:6" ht="39">
      <c r="A580" s="38" t="s">
        <v>70</v>
      </c>
      <c r="B580" s="20">
        <v>10</v>
      </c>
      <c r="C580" s="20" t="s">
        <v>41</v>
      </c>
      <c r="D580" s="20" t="s">
        <v>71</v>
      </c>
      <c r="E580" s="21"/>
      <c r="F580" s="22">
        <f>F581</f>
        <v>600</v>
      </c>
    </row>
    <row r="581" spans="1:8" ht="39">
      <c r="A581" s="29" t="s">
        <v>25</v>
      </c>
      <c r="B581" s="20">
        <v>10</v>
      </c>
      <c r="C581" s="20" t="s">
        <v>41</v>
      </c>
      <c r="D581" s="20" t="s">
        <v>71</v>
      </c>
      <c r="E581" s="31" t="s">
        <v>26</v>
      </c>
      <c r="F581" s="22">
        <v>600</v>
      </c>
      <c r="H581" s="28"/>
    </row>
    <row r="582" spans="1:6" ht="13.5">
      <c r="A582" s="26" t="s">
        <v>539</v>
      </c>
      <c r="B582" s="20" t="s">
        <v>110</v>
      </c>
      <c r="C582" s="20"/>
      <c r="D582" s="20"/>
      <c r="E582" s="21"/>
      <c r="F582" s="22">
        <f aca="true" t="shared" si="1" ref="F582:F587">F583</f>
        <v>10580310</v>
      </c>
    </row>
    <row r="583" spans="1:6" ht="13.5">
      <c r="A583" s="26" t="s">
        <v>540</v>
      </c>
      <c r="B583" s="20" t="s">
        <v>110</v>
      </c>
      <c r="C583" s="20" t="s">
        <v>16</v>
      </c>
      <c r="D583" s="20"/>
      <c r="E583" s="21"/>
      <c r="F583" s="22">
        <f t="shared" si="1"/>
        <v>10580310</v>
      </c>
    </row>
    <row r="584" spans="1:6" ht="52.5">
      <c r="A584" s="41" t="s">
        <v>420</v>
      </c>
      <c r="B584" s="20" t="s">
        <v>110</v>
      </c>
      <c r="C584" s="20" t="s">
        <v>16</v>
      </c>
      <c r="D584" s="48" t="s">
        <v>421</v>
      </c>
      <c r="E584" s="21"/>
      <c r="F584" s="22">
        <f t="shared" si="1"/>
        <v>10580310</v>
      </c>
    </row>
    <row r="585" spans="1:6" s="36" customFormat="1" ht="66">
      <c r="A585" s="51" t="s">
        <v>541</v>
      </c>
      <c r="B585" s="32" t="s">
        <v>110</v>
      </c>
      <c r="C585" s="32" t="s">
        <v>16</v>
      </c>
      <c r="D585" s="56" t="s">
        <v>542</v>
      </c>
      <c r="E585" s="39"/>
      <c r="F585" s="35">
        <f>F586+F589</f>
        <v>10580310</v>
      </c>
    </row>
    <row r="586" spans="1:6" ht="39">
      <c r="A586" s="51" t="s">
        <v>543</v>
      </c>
      <c r="B586" s="20" t="s">
        <v>110</v>
      </c>
      <c r="C586" s="20" t="s">
        <v>16</v>
      </c>
      <c r="D586" s="48" t="s">
        <v>544</v>
      </c>
      <c r="E586" s="21"/>
      <c r="F586" s="22">
        <f t="shared" si="1"/>
        <v>200000</v>
      </c>
    </row>
    <row r="587" spans="1:6" ht="39">
      <c r="A587" s="26" t="s">
        <v>545</v>
      </c>
      <c r="B587" s="20" t="s">
        <v>110</v>
      </c>
      <c r="C587" s="20" t="s">
        <v>16</v>
      </c>
      <c r="D587" s="48" t="s">
        <v>546</v>
      </c>
      <c r="E587" s="21"/>
      <c r="F587" s="22">
        <f t="shared" si="1"/>
        <v>200000</v>
      </c>
    </row>
    <row r="588" spans="1:6" ht="26.25">
      <c r="A588" s="29" t="s">
        <v>37</v>
      </c>
      <c r="B588" s="20" t="s">
        <v>110</v>
      </c>
      <c r="C588" s="20" t="s">
        <v>16</v>
      </c>
      <c r="D588" s="48" t="s">
        <v>546</v>
      </c>
      <c r="E588" s="21" t="s">
        <v>38</v>
      </c>
      <c r="F588" s="22">
        <v>200000</v>
      </c>
    </row>
    <row r="589" spans="1:6" ht="26.25">
      <c r="A589" s="51" t="s">
        <v>547</v>
      </c>
      <c r="B589" s="20" t="s">
        <v>110</v>
      </c>
      <c r="C589" s="20" t="s">
        <v>16</v>
      </c>
      <c r="D589" s="48" t="s">
        <v>548</v>
      </c>
      <c r="E589" s="21"/>
      <c r="F589" s="22">
        <f>F590+F594</f>
        <v>10380310</v>
      </c>
    </row>
    <row r="590" spans="1:6" ht="26.25">
      <c r="A590" s="26" t="s">
        <v>199</v>
      </c>
      <c r="B590" s="20" t="s">
        <v>110</v>
      </c>
      <c r="C590" s="20" t="s">
        <v>16</v>
      </c>
      <c r="D590" s="48" t="s">
        <v>549</v>
      </c>
      <c r="E590" s="21"/>
      <c r="F590" s="22">
        <f>F592+F591+F593</f>
        <v>10327100</v>
      </c>
    </row>
    <row r="591" spans="1:6" ht="39">
      <c r="A591" s="29" t="s">
        <v>25</v>
      </c>
      <c r="B591" s="20" t="s">
        <v>110</v>
      </c>
      <c r="C591" s="20" t="s">
        <v>16</v>
      </c>
      <c r="D591" s="48" t="s">
        <v>549</v>
      </c>
      <c r="E591" s="21" t="s">
        <v>26</v>
      </c>
      <c r="F591" s="22">
        <v>6725100</v>
      </c>
    </row>
    <row r="592" spans="1:6" ht="26.25">
      <c r="A592" s="29" t="s">
        <v>37</v>
      </c>
      <c r="B592" s="20" t="s">
        <v>110</v>
      </c>
      <c r="C592" s="20" t="s">
        <v>16</v>
      </c>
      <c r="D592" s="48" t="s">
        <v>549</v>
      </c>
      <c r="E592" s="21" t="s">
        <v>38</v>
      </c>
      <c r="F592" s="22">
        <f>1037000+350000+2035000+170000</f>
        <v>3592000</v>
      </c>
    </row>
    <row r="593" spans="1:6" ht="13.5">
      <c r="A593" s="61" t="s">
        <v>79</v>
      </c>
      <c r="B593" s="20" t="s">
        <v>110</v>
      </c>
      <c r="C593" s="20" t="s">
        <v>16</v>
      </c>
      <c r="D593" s="48" t="s">
        <v>549</v>
      </c>
      <c r="E593" s="21" t="s">
        <v>80</v>
      </c>
      <c r="F593" s="22">
        <f>2365000+10000-2365000</f>
        <v>10000</v>
      </c>
    </row>
    <row r="594" spans="1:6" ht="26.25">
      <c r="A594" s="41" t="s">
        <v>725</v>
      </c>
      <c r="B594" s="20" t="s">
        <v>110</v>
      </c>
      <c r="C594" s="20" t="s">
        <v>16</v>
      </c>
      <c r="D594" s="48" t="s">
        <v>719</v>
      </c>
      <c r="E594" s="21"/>
      <c r="F594" s="22">
        <f>F595</f>
        <v>53210</v>
      </c>
    </row>
    <row r="595" spans="1:6" ht="26.25">
      <c r="A595" s="29" t="s">
        <v>37</v>
      </c>
      <c r="B595" s="20" t="s">
        <v>110</v>
      </c>
      <c r="C595" s="20" t="s">
        <v>16</v>
      </c>
      <c r="D595" s="48" t="s">
        <v>719</v>
      </c>
      <c r="E595" s="21" t="s">
        <v>38</v>
      </c>
      <c r="F595" s="22">
        <f>53210</f>
        <v>53210</v>
      </c>
    </row>
    <row r="596" spans="1:6" ht="13.5">
      <c r="A596" s="26" t="s">
        <v>550</v>
      </c>
      <c r="B596" s="20" t="s">
        <v>118</v>
      </c>
      <c r="C596" s="20"/>
      <c r="D596" s="20"/>
      <c r="E596" s="21"/>
      <c r="F596" s="22">
        <f>F597</f>
        <v>0</v>
      </c>
    </row>
    <row r="597" spans="1:6" ht="13.5">
      <c r="A597" s="26" t="s">
        <v>551</v>
      </c>
      <c r="B597" s="20" t="s">
        <v>118</v>
      </c>
      <c r="C597" s="20" t="s">
        <v>16</v>
      </c>
      <c r="D597" s="20"/>
      <c r="E597" s="21"/>
      <c r="F597" s="22">
        <f>F598</f>
        <v>0</v>
      </c>
    </row>
    <row r="598" spans="1:6" ht="66">
      <c r="A598" s="40" t="s">
        <v>552</v>
      </c>
      <c r="B598" s="20" t="s">
        <v>118</v>
      </c>
      <c r="C598" s="20" t="s">
        <v>16</v>
      </c>
      <c r="D598" s="45" t="s">
        <v>553</v>
      </c>
      <c r="E598" s="21"/>
      <c r="F598" s="22">
        <f>F599</f>
        <v>0</v>
      </c>
    </row>
    <row r="599" spans="1:6" s="36" customFormat="1" ht="52.5">
      <c r="A599" s="19" t="s">
        <v>554</v>
      </c>
      <c r="B599" s="32" t="s">
        <v>118</v>
      </c>
      <c r="C599" s="32" t="s">
        <v>16</v>
      </c>
      <c r="D599" s="45" t="s">
        <v>555</v>
      </c>
      <c r="E599" s="39"/>
      <c r="F599" s="35">
        <f>F601</f>
        <v>0</v>
      </c>
    </row>
    <row r="600" spans="1:6" s="36" customFormat="1" ht="39">
      <c r="A600" s="19" t="s">
        <v>556</v>
      </c>
      <c r="B600" s="20" t="s">
        <v>118</v>
      </c>
      <c r="C600" s="20" t="s">
        <v>16</v>
      </c>
      <c r="D600" s="45" t="s">
        <v>557</v>
      </c>
      <c r="E600" s="39"/>
      <c r="F600" s="35">
        <f>F601</f>
        <v>0</v>
      </c>
    </row>
    <row r="601" spans="1:6" ht="13.5">
      <c r="A601" s="26" t="s">
        <v>558</v>
      </c>
      <c r="B601" s="20" t="s">
        <v>118</v>
      </c>
      <c r="C601" s="20" t="s">
        <v>16</v>
      </c>
      <c r="D601" s="45" t="s">
        <v>559</v>
      </c>
      <c r="E601" s="21"/>
      <c r="F601" s="22">
        <f>F602</f>
        <v>0</v>
      </c>
    </row>
    <row r="602" spans="1:6" ht="13.5">
      <c r="A602" s="19" t="s">
        <v>560</v>
      </c>
      <c r="B602" s="20" t="s">
        <v>118</v>
      </c>
      <c r="C602" s="20" t="s">
        <v>16</v>
      </c>
      <c r="D602" s="45" t="s">
        <v>559</v>
      </c>
      <c r="E602" s="21" t="s">
        <v>561</v>
      </c>
      <c r="F602" s="22"/>
    </row>
    <row r="603" spans="1:6" ht="26.25">
      <c r="A603" s="26" t="s">
        <v>562</v>
      </c>
      <c r="B603" s="20" t="s">
        <v>563</v>
      </c>
      <c r="C603" s="20"/>
      <c r="D603" s="20"/>
      <c r="E603" s="21"/>
      <c r="F603" s="22">
        <f aca="true" t="shared" si="2" ref="F603:F608">F604</f>
        <v>11501809</v>
      </c>
    </row>
    <row r="604" spans="1:6" ht="26.25">
      <c r="A604" s="26" t="s">
        <v>564</v>
      </c>
      <c r="B604" s="20" t="s">
        <v>563</v>
      </c>
      <c r="C604" s="20" t="s">
        <v>16</v>
      </c>
      <c r="D604" s="20"/>
      <c r="E604" s="21"/>
      <c r="F604" s="22">
        <f t="shared" si="2"/>
        <v>11501809</v>
      </c>
    </row>
    <row r="605" spans="1:6" ht="38.25" customHeight="1">
      <c r="A605" s="40" t="s">
        <v>565</v>
      </c>
      <c r="B605" s="20" t="s">
        <v>563</v>
      </c>
      <c r="C605" s="20" t="s">
        <v>16</v>
      </c>
      <c r="D605" s="20" t="s">
        <v>553</v>
      </c>
      <c r="E605" s="21"/>
      <c r="F605" s="22">
        <f t="shared" si="2"/>
        <v>11501809</v>
      </c>
    </row>
    <row r="606" spans="1:6" s="36" customFormat="1" ht="52.5">
      <c r="A606" s="19" t="s">
        <v>566</v>
      </c>
      <c r="B606" s="32" t="s">
        <v>563</v>
      </c>
      <c r="C606" s="32" t="s">
        <v>16</v>
      </c>
      <c r="D606" s="32" t="s">
        <v>567</v>
      </c>
      <c r="E606" s="39"/>
      <c r="F606" s="35">
        <f t="shared" si="2"/>
        <v>11501809</v>
      </c>
    </row>
    <row r="607" spans="1:6" ht="26.25">
      <c r="A607" s="40" t="s">
        <v>568</v>
      </c>
      <c r="B607" s="20" t="s">
        <v>563</v>
      </c>
      <c r="C607" s="20" t="s">
        <v>16</v>
      </c>
      <c r="D607" s="20" t="s">
        <v>569</v>
      </c>
      <c r="E607" s="21"/>
      <c r="F607" s="22">
        <f t="shared" si="2"/>
        <v>11501809</v>
      </c>
    </row>
    <row r="608" spans="1:6" ht="39">
      <c r="A608" s="38" t="s">
        <v>570</v>
      </c>
      <c r="B608" s="20" t="s">
        <v>563</v>
      </c>
      <c r="C608" s="20" t="s">
        <v>16</v>
      </c>
      <c r="D608" s="20" t="s">
        <v>571</v>
      </c>
      <c r="E608" s="21"/>
      <c r="F608" s="22">
        <f t="shared" si="2"/>
        <v>11501809</v>
      </c>
    </row>
    <row r="609" spans="1:6" ht="14.25" thickBot="1">
      <c r="A609" s="97" t="s">
        <v>197</v>
      </c>
      <c r="B609" s="98" t="s">
        <v>563</v>
      </c>
      <c r="C609" s="98" t="s">
        <v>16</v>
      </c>
      <c r="D609" s="98" t="s">
        <v>571</v>
      </c>
      <c r="E609" s="99" t="s">
        <v>198</v>
      </c>
      <c r="F609" s="100">
        <v>11501809</v>
      </c>
    </row>
    <row r="610" spans="2:6" ht="13.5">
      <c r="B610" s="101"/>
      <c r="C610" s="101"/>
      <c r="D610" s="101"/>
      <c r="E610" s="102"/>
      <c r="F610" s="103"/>
    </row>
    <row r="611" spans="2:6" ht="13.5">
      <c r="B611" s="101"/>
      <c r="C611" s="101"/>
      <c r="D611" s="101"/>
      <c r="E611" s="102"/>
      <c r="F611" s="103"/>
    </row>
  </sheetData>
  <sheetProtection/>
  <mergeCells count="10">
    <mergeCell ref="B4:F4"/>
    <mergeCell ref="B5:F5"/>
    <mergeCell ref="B6:F6"/>
    <mergeCell ref="A8:F8"/>
    <mergeCell ref="A10:A11"/>
    <mergeCell ref="B10:B11"/>
    <mergeCell ref="C10:C11"/>
    <mergeCell ref="D10:D11"/>
    <mergeCell ref="E10:E11"/>
    <mergeCell ref="F10:F11"/>
  </mergeCells>
  <hyperlinks>
    <hyperlink ref="A289" r:id="rId1" display="consultantplus://offline/ref=C6EF3AE28B6C46D1117CBBA251A07B11C6C7C5768D606C8B0E322DA1BBA42282C9440EEF08E6CC43400230U6VFM"/>
  </hyperlinks>
  <printOptions/>
  <pageMargins left="0.7086614173228347" right="0.2" top="0.43" bottom="0.36" header="0.31496062992125984" footer="0.31496062992125984"/>
  <pageSetup horizontalDpi="600" verticalDpi="6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64.8515625" style="5" customWidth="1"/>
    <col min="2" max="2" width="5.140625" style="10" customWidth="1"/>
    <col min="3" max="3" width="4.8515625" style="10" customWidth="1"/>
    <col min="4" max="4" width="5.00390625" style="10" customWidth="1"/>
    <col min="5" max="5" width="17.140625" style="10" customWidth="1"/>
    <col min="6" max="6" width="5.7109375" style="104" customWidth="1"/>
    <col min="7" max="7" width="15.7109375" style="103" hidden="1" customWidth="1"/>
    <col min="8" max="8" width="12.7109375" style="114" hidden="1" customWidth="1"/>
    <col min="9" max="9" width="16.8515625" style="103" customWidth="1"/>
    <col min="10" max="10" width="17.8515625" style="1" customWidth="1"/>
    <col min="11" max="11" width="20.00390625" style="1" customWidth="1"/>
    <col min="12" max="12" width="13.8515625" style="1" bestFit="1" customWidth="1"/>
    <col min="13" max="16384" width="9.140625" style="1" customWidth="1"/>
  </cols>
  <sheetData>
    <row r="1" spans="2:8" ht="13.5">
      <c r="B1" s="2" t="s">
        <v>582</v>
      </c>
      <c r="D1" s="2"/>
      <c r="E1" s="2"/>
      <c r="F1" s="3"/>
      <c r="H1" s="107"/>
    </row>
    <row r="2" spans="2:8" ht="15.75" customHeight="1">
      <c r="B2" s="2" t="s">
        <v>1</v>
      </c>
      <c r="C2" s="2"/>
      <c r="D2" s="2"/>
      <c r="E2" s="2"/>
      <c r="F2" s="3"/>
      <c r="H2" s="108"/>
    </row>
    <row r="3" spans="2:8" ht="15">
      <c r="B3" s="8" t="s">
        <v>2</v>
      </c>
      <c r="C3" s="8"/>
      <c r="D3" s="8"/>
      <c r="E3" s="109"/>
      <c r="F3" s="9"/>
      <c r="H3" s="108"/>
    </row>
    <row r="4" spans="1:8" ht="14.25" customHeight="1">
      <c r="A4" s="110"/>
      <c r="B4" s="8" t="s">
        <v>680</v>
      </c>
      <c r="C4" s="8"/>
      <c r="D4" s="8"/>
      <c r="E4" s="109"/>
      <c r="F4" s="9"/>
      <c r="H4" s="108"/>
    </row>
    <row r="5" spans="1:9" ht="28.5" customHeight="1">
      <c r="A5" s="111"/>
      <c r="B5" s="490" t="s">
        <v>669</v>
      </c>
      <c r="C5" s="490"/>
      <c r="D5" s="490"/>
      <c r="E5" s="490"/>
      <c r="F5" s="490"/>
      <c r="G5" s="490"/>
      <c r="H5" s="490"/>
      <c r="I5" s="490"/>
    </row>
    <row r="6" spans="1:9" ht="39" customHeight="1">
      <c r="A6" s="111"/>
      <c r="B6" s="474" t="s">
        <v>1229</v>
      </c>
      <c r="C6" s="474"/>
      <c r="D6" s="474"/>
      <c r="E6" s="474"/>
      <c r="F6" s="474"/>
      <c r="G6" s="474"/>
      <c r="H6" s="474"/>
      <c r="I6" s="474"/>
    </row>
    <row r="7" spans="1:9" ht="12.75" hidden="1">
      <c r="A7" s="111"/>
      <c r="B7" s="205"/>
      <c r="C7" s="205"/>
      <c r="D7" s="205"/>
      <c r="E7" s="205"/>
      <c r="F7" s="205"/>
      <c r="G7" s="112"/>
      <c r="H7" s="205"/>
      <c r="I7" s="205"/>
    </row>
    <row r="8" spans="1:9" ht="41.25" customHeight="1">
      <c r="A8" s="491" t="s">
        <v>626</v>
      </c>
      <c r="B8" s="491"/>
      <c r="C8" s="491"/>
      <c r="D8" s="491"/>
      <c r="E8" s="491"/>
      <c r="F8" s="491"/>
      <c r="G8" s="491"/>
      <c r="H8" s="491"/>
      <c r="I8" s="491"/>
    </row>
    <row r="9" spans="6:9" ht="18.75" customHeight="1" thickBot="1">
      <c r="F9" s="11"/>
      <c r="G9" s="113"/>
      <c r="I9" s="12" t="s">
        <v>3</v>
      </c>
    </row>
    <row r="10" spans="1:11" ht="27.75" customHeight="1">
      <c r="A10" s="476" t="s">
        <v>4</v>
      </c>
      <c r="B10" s="478" t="s">
        <v>583</v>
      </c>
      <c r="C10" s="478" t="s">
        <v>5</v>
      </c>
      <c r="D10" s="478" t="s">
        <v>6</v>
      </c>
      <c r="E10" s="480" t="s">
        <v>7</v>
      </c>
      <c r="F10" s="480" t="s">
        <v>8</v>
      </c>
      <c r="G10" s="484" t="s">
        <v>627</v>
      </c>
      <c r="H10" s="486" t="s">
        <v>584</v>
      </c>
      <c r="I10" s="488" t="s">
        <v>9</v>
      </c>
      <c r="K10" s="24"/>
    </row>
    <row r="11" spans="1:9" ht="3.75" customHeight="1" thickBot="1">
      <c r="A11" s="477"/>
      <c r="B11" s="479"/>
      <c r="C11" s="479"/>
      <c r="D11" s="479"/>
      <c r="E11" s="481"/>
      <c r="F11" s="481"/>
      <c r="G11" s="485"/>
      <c r="H11" s="487"/>
      <c r="I11" s="489"/>
    </row>
    <row r="12" spans="1:9" s="18" customFormat="1" ht="12.75" customHeight="1">
      <c r="A12" s="115">
        <v>1</v>
      </c>
      <c r="B12" s="206">
        <v>2</v>
      </c>
      <c r="C12" s="206" t="s">
        <v>11</v>
      </c>
      <c r="D12" s="206" t="s">
        <v>12</v>
      </c>
      <c r="E12" s="207" t="s">
        <v>13</v>
      </c>
      <c r="F12" s="207" t="s">
        <v>585</v>
      </c>
      <c r="G12" s="208"/>
      <c r="H12" s="209"/>
      <c r="I12" s="210" t="s">
        <v>586</v>
      </c>
    </row>
    <row r="13" spans="1:12" s="23" customFormat="1" ht="21">
      <c r="A13" s="116" t="s">
        <v>14</v>
      </c>
      <c r="B13" s="20"/>
      <c r="C13" s="20"/>
      <c r="D13" s="20"/>
      <c r="E13" s="20"/>
      <c r="F13" s="21"/>
      <c r="G13" s="60">
        <f>G14+G424+G621</f>
        <v>651490574.31</v>
      </c>
      <c r="H13" s="60">
        <f>H14+H424+H621</f>
        <v>18257058.78</v>
      </c>
      <c r="I13" s="22">
        <f>G13+H13</f>
        <v>669747633.0899999</v>
      </c>
      <c r="J13" s="1"/>
      <c r="K13" s="138"/>
      <c r="L13" s="25"/>
    </row>
    <row r="14" spans="1:11" ht="16.5" customHeight="1">
      <c r="A14" s="116" t="s">
        <v>587</v>
      </c>
      <c r="B14" s="20" t="s">
        <v>588</v>
      </c>
      <c r="C14" s="20"/>
      <c r="D14" s="20"/>
      <c r="E14" s="20"/>
      <c r="F14" s="21"/>
      <c r="G14" s="60">
        <f>G15+G183+G202+G278+G331+G347+G355+G397+G417+G324+G404</f>
        <v>157689751.22</v>
      </c>
      <c r="H14" s="60">
        <f>H15+H183+H202+H278+H331+H347+H355+H397+H417+H324+H404</f>
        <v>611130</v>
      </c>
      <c r="I14" s="22">
        <f>I15+I183+I202+I278+I331+I347+I355+I397+I417+I324+I404</f>
        <v>158300881.22</v>
      </c>
      <c r="J14" s="28"/>
      <c r="K14" s="28"/>
    </row>
    <row r="15" spans="1:11" ht="13.5">
      <c r="A15" s="26" t="s">
        <v>15</v>
      </c>
      <c r="B15" s="20" t="s">
        <v>588</v>
      </c>
      <c r="C15" s="20" t="s">
        <v>16</v>
      </c>
      <c r="D15" s="20"/>
      <c r="E15" s="20"/>
      <c r="F15" s="21"/>
      <c r="G15" s="60">
        <f>G16+G21+G30+G91+G96+G79+G74+G86</f>
        <v>53236765.81</v>
      </c>
      <c r="H15" s="117"/>
      <c r="I15" s="22">
        <f aca="true" t="shared" si="0" ref="I15:I93">G15+H15</f>
        <v>53236765.81</v>
      </c>
      <c r="K15" s="28"/>
    </row>
    <row r="16" spans="1:9" ht="28.5" customHeight="1">
      <c r="A16" s="27" t="s">
        <v>17</v>
      </c>
      <c r="B16" s="20" t="s">
        <v>588</v>
      </c>
      <c r="C16" s="20" t="s">
        <v>16</v>
      </c>
      <c r="D16" s="20" t="s">
        <v>18</v>
      </c>
      <c r="E16" s="20"/>
      <c r="F16" s="21"/>
      <c r="G16" s="60">
        <f>G18</f>
        <v>1561000</v>
      </c>
      <c r="H16" s="117"/>
      <c r="I16" s="22">
        <f t="shared" si="0"/>
        <v>1561000</v>
      </c>
    </row>
    <row r="17" spans="1:9" ht="19.5" customHeight="1">
      <c r="A17" s="29" t="s">
        <v>19</v>
      </c>
      <c r="B17" s="20" t="s">
        <v>588</v>
      </c>
      <c r="C17" s="20" t="s">
        <v>16</v>
      </c>
      <c r="D17" s="20" t="s">
        <v>18</v>
      </c>
      <c r="E17" s="30" t="s">
        <v>20</v>
      </c>
      <c r="F17" s="21"/>
      <c r="G17" s="60">
        <f>G18</f>
        <v>1561000</v>
      </c>
      <c r="H17" s="117"/>
      <c r="I17" s="22">
        <f t="shared" si="0"/>
        <v>1561000</v>
      </c>
    </row>
    <row r="18" spans="1:9" ht="17.25" customHeight="1">
      <c r="A18" s="26" t="s">
        <v>21</v>
      </c>
      <c r="B18" s="20" t="s">
        <v>588</v>
      </c>
      <c r="C18" s="20" t="s">
        <v>16</v>
      </c>
      <c r="D18" s="20" t="s">
        <v>18</v>
      </c>
      <c r="E18" s="30" t="s">
        <v>22</v>
      </c>
      <c r="F18" s="21"/>
      <c r="G18" s="60">
        <f>G20</f>
        <v>1561000</v>
      </c>
      <c r="H18" s="117"/>
      <c r="I18" s="22">
        <f t="shared" si="0"/>
        <v>1561000</v>
      </c>
    </row>
    <row r="19" spans="1:9" ht="30" customHeight="1">
      <c r="A19" s="27" t="s">
        <v>23</v>
      </c>
      <c r="B19" s="20" t="s">
        <v>588</v>
      </c>
      <c r="C19" s="20" t="s">
        <v>16</v>
      </c>
      <c r="D19" s="20" t="s">
        <v>18</v>
      </c>
      <c r="E19" s="30" t="s">
        <v>24</v>
      </c>
      <c r="F19" s="21"/>
      <c r="G19" s="60">
        <f>G20</f>
        <v>1561000</v>
      </c>
      <c r="H19" s="117"/>
      <c r="I19" s="22">
        <f t="shared" si="0"/>
        <v>1561000</v>
      </c>
    </row>
    <row r="20" spans="1:9" ht="41.25" customHeight="1">
      <c r="A20" s="29" t="s">
        <v>25</v>
      </c>
      <c r="B20" s="20" t="s">
        <v>588</v>
      </c>
      <c r="C20" s="20" t="s">
        <v>16</v>
      </c>
      <c r="D20" s="20" t="s">
        <v>18</v>
      </c>
      <c r="E20" s="30" t="s">
        <v>24</v>
      </c>
      <c r="F20" s="31" t="s">
        <v>26</v>
      </c>
      <c r="G20" s="60">
        <v>1561000</v>
      </c>
      <c r="H20" s="117"/>
      <c r="I20" s="22">
        <f t="shared" si="0"/>
        <v>1561000</v>
      </c>
    </row>
    <row r="21" spans="1:9" ht="42" customHeight="1">
      <c r="A21" s="27" t="s">
        <v>27</v>
      </c>
      <c r="B21" s="20" t="s">
        <v>588</v>
      </c>
      <c r="C21" s="20" t="s">
        <v>16</v>
      </c>
      <c r="D21" s="20" t="s">
        <v>28</v>
      </c>
      <c r="E21" s="20"/>
      <c r="F21" s="21"/>
      <c r="G21" s="60">
        <f>G22</f>
        <v>1694300</v>
      </c>
      <c r="H21" s="117"/>
      <c r="I21" s="22">
        <f t="shared" si="0"/>
        <v>1694300</v>
      </c>
    </row>
    <row r="22" spans="1:9" ht="30.75" customHeight="1">
      <c r="A22" s="29" t="s">
        <v>29</v>
      </c>
      <c r="B22" s="20" t="s">
        <v>588</v>
      </c>
      <c r="C22" s="20" t="s">
        <v>16</v>
      </c>
      <c r="D22" s="20" t="s">
        <v>28</v>
      </c>
      <c r="E22" s="30" t="s">
        <v>30</v>
      </c>
      <c r="F22" s="21"/>
      <c r="G22" s="60">
        <f>G23+G26</f>
        <v>1694300</v>
      </c>
      <c r="H22" s="117"/>
      <c r="I22" s="22">
        <f t="shared" si="0"/>
        <v>1694300</v>
      </c>
    </row>
    <row r="23" spans="1:9" ht="18.75" customHeight="1">
      <c r="A23" s="26" t="s">
        <v>31</v>
      </c>
      <c r="B23" s="20" t="s">
        <v>588</v>
      </c>
      <c r="C23" s="20" t="s">
        <v>16</v>
      </c>
      <c r="D23" s="20" t="s">
        <v>28</v>
      </c>
      <c r="E23" s="30" t="s">
        <v>32</v>
      </c>
      <c r="F23" s="21"/>
      <c r="G23" s="60">
        <f>G24</f>
        <v>824000</v>
      </c>
      <c r="H23" s="117"/>
      <c r="I23" s="22">
        <f t="shared" si="0"/>
        <v>824000</v>
      </c>
    </row>
    <row r="24" spans="1:9" ht="26.25">
      <c r="A24" s="27" t="s">
        <v>23</v>
      </c>
      <c r="B24" s="20" t="s">
        <v>588</v>
      </c>
      <c r="C24" s="20" t="s">
        <v>16</v>
      </c>
      <c r="D24" s="20" t="s">
        <v>28</v>
      </c>
      <c r="E24" s="30" t="s">
        <v>33</v>
      </c>
      <c r="F24" s="31"/>
      <c r="G24" s="60">
        <f>G25</f>
        <v>824000</v>
      </c>
      <c r="H24" s="117"/>
      <c r="I24" s="22">
        <f t="shared" si="0"/>
        <v>824000</v>
      </c>
    </row>
    <row r="25" spans="1:9" ht="44.25" customHeight="1">
      <c r="A25" s="29" t="s">
        <v>25</v>
      </c>
      <c r="B25" s="20" t="s">
        <v>588</v>
      </c>
      <c r="C25" s="20" t="s">
        <v>16</v>
      </c>
      <c r="D25" s="20" t="s">
        <v>28</v>
      </c>
      <c r="E25" s="30" t="s">
        <v>33</v>
      </c>
      <c r="F25" s="31" t="s">
        <v>26</v>
      </c>
      <c r="G25" s="60">
        <v>824000</v>
      </c>
      <c r="H25" s="117"/>
      <c r="I25" s="22">
        <f t="shared" si="0"/>
        <v>824000</v>
      </c>
    </row>
    <row r="26" spans="1:9" ht="18" customHeight="1">
      <c r="A26" s="26" t="s">
        <v>34</v>
      </c>
      <c r="B26" s="20" t="s">
        <v>588</v>
      </c>
      <c r="C26" s="20" t="s">
        <v>16</v>
      </c>
      <c r="D26" s="20" t="s">
        <v>28</v>
      </c>
      <c r="E26" s="30" t="s">
        <v>35</v>
      </c>
      <c r="F26" s="31"/>
      <c r="G26" s="60">
        <f>G27</f>
        <v>870300</v>
      </c>
      <c r="H26" s="117"/>
      <c r="I26" s="22">
        <f t="shared" si="0"/>
        <v>870300</v>
      </c>
    </row>
    <row r="27" spans="1:9" ht="27.75" customHeight="1">
      <c r="A27" s="27" t="s">
        <v>23</v>
      </c>
      <c r="B27" s="20" t="s">
        <v>588</v>
      </c>
      <c r="C27" s="20" t="s">
        <v>16</v>
      </c>
      <c r="D27" s="20" t="s">
        <v>28</v>
      </c>
      <c r="E27" s="30" t="s">
        <v>36</v>
      </c>
      <c r="F27" s="31"/>
      <c r="G27" s="60">
        <f>G28+G29</f>
        <v>870300</v>
      </c>
      <c r="H27" s="117"/>
      <c r="I27" s="22">
        <f t="shared" si="0"/>
        <v>870300</v>
      </c>
    </row>
    <row r="28" spans="1:9" ht="39">
      <c r="A28" s="29" t="s">
        <v>25</v>
      </c>
      <c r="B28" s="20" t="s">
        <v>588</v>
      </c>
      <c r="C28" s="20" t="s">
        <v>16</v>
      </c>
      <c r="D28" s="20" t="s">
        <v>28</v>
      </c>
      <c r="E28" s="30" t="s">
        <v>36</v>
      </c>
      <c r="F28" s="31" t="s">
        <v>26</v>
      </c>
      <c r="G28" s="60">
        <v>870300</v>
      </c>
      <c r="H28" s="117"/>
      <c r="I28" s="22">
        <f t="shared" si="0"/>
        <v>870300</v>
      </c>
    </row>
    <row r="29" spans="1:9" ht="26.25" hidden="1">
      <c r="A29" s="29" t="s">
        <v>37</v>
      </c>
      <c r="B29" s="20" t="s">
        <v>588</v>
      </c>
      <c r="C29" s="20" t="s">
        <v>16</v>
      </c>
      <c r="D29" s="20" t="s">
        <v>28</v>
      </c>
      <c r="E29" s="30" t="s">
        <v>36</v>
      </c>
      <c r="F29" s="31" t="s">
        <v>38</v>
      </c>
      <c r="G29" s="60"/>
      <c r="H29" s="117"/>
      <c r="I29" s="22">
        <f t="shared" si="0"/>
        <v>0</v>
      </c>
    </row>
    <row r="30" spans="1:9" ht="39">
      <c r="A30" s="27" t="s">
        <v>39</v>
      </c>
      <c r="B30" s="20" t="s">
        <v>588</v>
      </c>
      <c r="C30" s="20" t="s">
        <v>40</v>
      </c>
      <c r="D30" s="20" t="s">
        <v>41</v>
      </c>
      <c r="E30" s="20"/>
      <c r="F30" s="21"/>
      <c r="G30" s="60">
        <f>G31+G51+G66+G60+G45</f>
        <v>22116939</v>
      </c>
      <c r="H30" s="117"/>
      <c r="I30" s="22">
        <f t="shared" si="0"/>
        <v>22116939</v>
      </c>
    </row>
    <row r="31" spans="1:9" ht="42" customHeight="1">
      <c r="A31" s="26" t="s">
        <v>42</v>
      </c>
      <c r="B31" s="20" t="s">
        <v>588</v>
      </c>
      <c r="C31" s="20" t="s">
        <v>40</v>
      </c>
      <c r="D31" s="20" t="s">
        <v>41</v>
      </c>
      <c r="E31" s="30" t="s">
        <v>43</v>
      </c>
      <c r="F31" s="31"/>
      <c r="G31" s="60">
        <f>G37+G32</f>
        <v>3454450</v>
      </c>
      <c r="H31" s="117"/>
      <c r="I31" s="22">
        <f t="shared" si="0"/>
        <v>3454450</v>
      </c>
    </row>
    <row r="32" spans="1:9" ht="59.25" customHeight="1">
      <c r="A32" s="29" t="s">
        <v>44</v>
      </c>
      <c r="B32" s="20" t="s">
        <v>588</v>
      </c>
      <c r="C32" s="20" t="s">
        <v>16</v>
      </c>
      <c r="D32" s="20" t="s">
        <v>41</v>
      </c>
      <c r="E32" s="30" t="s">
        <v>45</v>
      </c>
      <c r="F32" s="31"/>
      <c r="G32" s="60">
        <f>G34</f>
        <v>917350</v>
      </c>
      <c r="H32" s="117"/>
      <c r="I32" s="22">
        <f t="shared" si="0"/>
        <v>917350</v>
      </c>
    </row>
    <row r="33" spans="1:9" ht="48" customHeight="1">
      <c r="A33" s="37" t="s">
        <v>46</v>
      </c>
      <c r="B33" s="20" t="s">
        <v>588</v>
      </c>
      <c r="C33" s="20" t="s">
        <v>16</v>
      </c>
      <c r="D33" s="20" t="s">
        <v>41</v>
      </c>
      <c r="E33" s="30" t="s">
        <v>47</v>
      </c>
      <c r="F33" s="31"/>
      <c r="G33" s="60">
        <f>G34</f>
        <v>917350</v>
      </c>
      <c r="H33" s="117"/>
      <c r="I33" s="22">
        <f t="shared" si="0"/>
        <v>917350</v>
      </c>
    </row>
    <row r="34" spans="1:9" ht="42" customHeight="1">
      <c r="A34" s="118" t="s">
        <v>48</v>
      </c>
      <c r="B34" s="20" t="s">
        <v>588</v>
      </c>
      <c r="C34" s="20" t="s">
        <v>16</v>
      </c>
      <c r="D34" s="20" t="s">
        <v>41</v>
      </c>
      <c r="E34" s="30" t="s">
        <v>49</v>
      </c>
      <c r="F34" s="31"/>
      <c r="G34" s="60">
        <f>G35+G36</f>
        <v>917350</v>
      </c>
      <c r="H34" s="120"/>
      <c r="I34" s="22">
        <f t="shared" si="0"/>
        <v>917350</v>
      </c>
    </row>
    <row r="35" spans="1:9" ht="42.75" customHeight="1">
      <c r="A35" s="29" t="s">
        <v>25</v>
      </c>
      <c r="B35" s="20" t="s">
        <v>588</v>
      </c>
      <c r="C35" s="20" t="s">
        <v>16</v>
      </c>
      <c r="D35" s="20" t="s">
        <v>41</v>
      </c>
      <c r="E35" s="30" t="s">
        <v>49</v>
      </c>
      <c r="F35" s="31" t="s">
        <v>26</v>
      </c>
      <c r="G35" s="60">
        <v>880350</v>
      </c>
      <c r="H35" s="120"/>
      <c r="I35" s="22">
        <f t="shared" si="0"/>
        <v>880350</v>
      </c>
    </row>
    <row r="36" spans="1:9" ht="26.25">
      <c r="A36" s="29" t="s">
        <v>37</v>
      </c>
      <c r="B36" s="20" t="s">
        <v>588</v>
      </c>
      <c r="C36" s="20" t="s">
        <v>16</v>
      </c>
      <c r="D36" s="20" t="s">
        <v>41</v>
      </c>
      <c r="E36" s="30" t="s">
        <v>49</v>
      </c>
      <c r="F36" s="31" t="s">
        <v>38</v>
      </c>
      <c r="G36" s="60">
        <v>37000</v>
      </c>
      <c r="H36" s="120"/>
      <c r="I36" s="22">
        <f t="shared" si="0"/>
        <v>37000</v>
      </c>
    </row>
    <row r="37" spans="1:9" ht="57.75" customHeight="1">
      <c r="A37" s="27" t="s">
        <v>50</v>
      </c>
      <c r="B37" s="20" t="s">
        <v>588</v>
      </c>
      <c r="C37" s="20" t="s">
        <v>16</v>
      </c>
      <c r="D37" s="20" t="s">
        <v>41</v>
      </c>
      <c r="E37" s="30" t="s">
        <v>51</v>
      </c>
      <c r="F37" s="21"/>
      <c r="G37" s="60">
        <f>G38</f>
        <v>2537100</v>
      </c>
      <c r="H37" s="120"/>
      <c r="I37" s="22">
        <f t="shared" si="0"/>
        <v>2537100</v>
      </c>
    </row>
    <row r="38" spans="1:9" ht="43.5" customHeight="1">
      <c r="A38" s="40" t="s">
        <v>52</v>
      </c>
      <c r="B38" s="20" t="s">
        <v>588</v>
      </c>
      <c r="C38" s="20" t="s">
        <v>16</v>
      </c>
      <c r="D38" s="20" t="s">
        <v>41</v>
      </c>
      <c r="E38" s="30" t="s">
        <v>53</v>
      </c>
      <c r="F38" s="21"/>
      <c r="G38" s="60">
        <f>G39+G42</f>
        <v>2537100</v>
      </c>
      <c r="H38" s="120"/>
      <c r="I38" s="22">
        <f t="shared" si="0"/>
        <v>2537100</v>
      </c>
    </row>
    <row r="39" spans="1:9" ht="33" customHeight="1">
      <c r="A39" s="27" t="s">
        <v>54</v>
      </c>
      <c r="B39" s="20" t="s">
        <v>588</v>
      </c>
      <c r="C39" s="20" t="s">
        <v>16</v>
      </c>
      <c r="D39" s="20" t="s">
        <v>41</v>
      </c>
      <c r="E39" s="30" t="s">
        <v>55</v>
      </c>
      <c r="F39" s="21"/>
      <c r="G39" s="60">
        <f>G40+G41</f>
        <v>2140600</v>
      </c>
      <c r="H39" s="120"/>
      <c r="I39" s="22">
        <f t="shared" si="0"/>
        <v>2140600</v>
      </c>
    </row>
    <row r="40" spans="1:9" ht="43.5" customHeight="1">
      <c r="A40" s="29" t="s">
        <v>25</v>
      </c>
      <c r="B40" s="20" t="s">
        <v>588</v>
      </c>
      <c r="C40" s="20" t="s">
        <v>16</v>
      </c>
      <c r="D40" s="20" t="s">
        <v>41</v>
      </c>
      <c r="E40" s="30" t="s">
        <v>55</v>
      </c>
      <c r="F40" s="31" t="s">
        <v>26</v>
      </c>
      <c r="G40" s="60">
        <v>2140600</v>
      </c>
      <c r="H40" s="120"/>
      <c r="I40" s="22">
        <f t="shared" si="0"/>
        <v>2140600</v>
      </c>
    </row>
    <row r="41" spans="1:9" ht="26.25">
      <c r="A41" s="29" t="s">
        <v>37</v>
      </c>
      <c r="B41" s="20" t="s">
        <v>588</v>
      </c>
      <c r="C41" s="20" t="s">
        <v>16</v>
      </c>
      <c r="D41" s="20" t="s">
        <v>41</v>
      </c>
      <c r="E41" s="30" t="s">
        <v>55</v>
      </c>
      <c r="F41" s="31" t="s">
        <v>38</v>
      </c>
      <c r="G41" s="60">
        <f>60633-60633</f>
        <v>0</v>
      </c>
      <c r="H41" s="117"/>
      <c r="I41" s="22">
        <f t="shared" si="0"/>
        <v>0</v>
      </c>
    </row>
    <row r="42" spans="1:9" ht="47.25" customHeight="1">
      <c r="A42" s="203" t="s">
        <v>713</v>
      </c>
      <c r="B42" s="20" t="s">
        <v>588</v>
      </c>
      <c r="C42" s="20" t="s">
        <v>16</v>
      </c>
      <c r="D42" s="20" t="s">
        <v>41</v>
      </c>
      <c r="E42" s="30" t="s">
        <v>703</v>
      </c>
      <c r="F42" s="21"/>
      <c r="G42" s="60">
        <f>G43+G44</f>
        <v>396500</v>
      </c>
      <c r="H42" s="120"/>
      <c r="I42" s="22">
        <f t="shared" si="0"/>
        <v>396500</v>
      </c>
    </row>
    <row r="43" spans="1:9" ht="43.5" customHeight="1">
      <c r="A43" s="29" t="s">
        <v>25</v>
      </c>
      <c r="B43" s="20" t="s">
        <v>588</v>
      </c>
      <c r="C43" s="20" t="s">
        <v>16</v>
      </c>
      <c r="D43" s="20" t="s">
        <v>41</v>
      </c>
      <c r="E43" s="30" t="s">
        <v>703</v>
      </c>
      <c r="F43" s="31" t="s">
        <v>26</v>
      </c>
      <c r="G43" s="60">
        <f>264255</f>
        <v>264255</v>
      </c>
      <c r="H43" s="117"/>
      <c r="I43" s="22">
        <f t="shared" si="0"/>
        <v>264255</v>
      </c>
    </row>
    <row r="44" spans="1:9" ht="26.25">
      <c r="A44" s="29" t="s">
        <v>37</v>
      </c>
      <c r="B44" s="20" t="s">
        <v>588</v>
      </c>
      <c r="C44" s="20" t="s">
        <v>16</v>
      </c>
      <c r="D44" s="20" t="s">
        <v>41</v>
      </c>
      <c r="E44" s="30" t="s">
        <v>703</v>
      </c>
      <c r="F44" s="31" t="s">
        <v>38</v>
      </c>
      <c r="G44" s="60">
        <f>132245</f>
        <v>132245</v>
      </c>
      <c r="H44" s="117"/>
      <c r="I44" s="22">
        <f t="shared" si="0"/>
        <v>132245</v>
      </c>
    </row>
    <row r="45" spans="1:9" ht="45.75" customHeight="1">
      <c r="A45" s="19" t="s">
        <v>56</v>
      </c>
      <c r="B45" s="20" t="s">
        <v>588</v>
      </c>
      <c r="C45" s="20" t="s">
        <v>16</v>
      </c>
      <c r="D45" s="20" t="s">
        <v>41</v>
      </c>
      <c r="E45" s="30" t="s">
        <v>57</v>
      </c>
      <c r="F45" s="21"/>
      <c r="G45" s="60">
        <f>G46</f>
        <v>326209</v>
      </c>
      <c r="H45" s="117"/>
      <c r="I45" s="22">
        <f t="shared" si="0"/>
        <v>326209</v>
      </c>
    </row>
    <row r="46" spans="1:9" s="36" customFormat="1" ht="72" customHeight="1">
      <c r="A46" s="40" t="s">
        <v>58</v>
      </c>
      <c r="B46" s="20" t="s">
        <v>588</v>
      </c>
      <c r="C46" s="20" t="s">
        <v>16</v>
      </c>
      <c r="D46" s="20" t="s">
        <v>41</v>
      </c>
      <c r="E46" s="30" t="s">
        <v>59</v>
      </c>
      <c r="F46" s="21"/>
      <c r="G46" s="60">
        <f>G48</f>
        <v>326209</v>
      </c>
      <c r="H46" s="117"/>
      <c r="I46" s="22">
        <f t="shared" si="0"/>
        <v>326209</v>
      </c>
    </row>
    <row r="47" spans="1:9" ht="30.75" customHeight="1">
      <c r="A47" s="41" t="s">
        <v>60</v>
      </c>
      <c r="B47" s="20" t="s">
        <v>588</v>
      </c>
      <c r="C47" s="20" t="s">
        <v>16</v>
      </c>
      <c r="D47" s="20" t="s">
        <v>41</v>
      </c>
      <c r="E47" s="30" t="s">
        <v>61</v>
      </c>
      <c r="F47" s="21"/>
      <c r="G47" s="60">
        <f>G48</f>
        <v>326209</v>
      </c>
      <c r="H47" s="117"/>
      <c r="I47" s="22">
        <f t="shared" si="0"/>
        <v>326209</v>
      </c>
    </row>
    <row r="48" spans="1:9" ht="31.5" customHeight="1">
      <c r="A48" s="118" t="s">
        <v>62</v>
      </c>
      <c r="B48" s="20" t="s">
        <v>588</v>
      </c>
      <c r="C48" s="20" t="s">
        <v>16</v>
      </c>
      <c r="D48" s="20" t="s">
        <v>41</v>
      </c>
      <c r="E48" s="30" t="s">
        <v>63</v>
      </c>
      <c r="F48" s="21"/>
      <c r="G48" s="60">
        <f>G49+G50</f>
        <v>326209</v>
      </c>
      <c r="H48" s="117"/>
      <c r="I48" s="22">
        <f t="shared" si="0"/>
        <v>326209</v>
      </c>
    </row>
    <row r="49" spans="1:9" ht="39">
      <c r="A49" s="29" t="s">
        <v>25</v>
      </c>
      <c r="B49" s="20" t="s">
        <v>588</v>
      </c>
      <c r="C49" s="20" t="s">
        <v>16</v>
      </c>
      <c r="D49" s="20" t="s">
        <v>41</v>
      </c>
      <c r="E49" s="30" t="s">
        <v>63</v>
      </c>
      <c r="F49" s="31" t="s">
        <v>26</v>
      </c>
      <c r="G49" s="60">
        <v>316209</v>
      </c>
      <c r="H49" s="117"/>
      <c r="I49" s="22">
        <f t="shared" si="0"/>
        <v>316209</v>
      </c>
    </row>
    <row r="50" spans="1:9" ht="31.5" customHeight="1">
      <c r="A50" s="29" t="s">
        <v>37</v>
      </c>
      <c r="B50" s="20" t="s">
        <v>588</v>
      </c>
      <c r="C50" s="20" t="s">
        <v>16</v>
      </c>
      <c r="D50" s="20" t="s">
        <v>41</v>
      </c>
      <c r="E50" s="30" t="s">
        <v>63</v>
      </c>
      <c r="F50" s="31" t="s">
        <v>38</v>
      </c>
      <c r="G50" s="60">
        <v>10000</v>
      </c>
      <c r="H50" s="117"/>
      <c r="I50" s="22">
        <f t="shared" si="0"/>
        <v>10000</v>
      </c>
    </row>
    <row r="51" spans="1:9" ht="54.75" customHeight="1">
      <c r="A51" s="26" t="s">
        <v>64</v>
      </c>
      <c r="B51" s="20" t="s">
        <v>588</v>
      </c>
      <c r="C51" s="20" t="s">
        <v>16</v>
      </c>
      <c r="D51" s="20" t="s">
        <v>41</v>
      </c>
      <c r="E51" s="30" t="s">
        <v>65</v>
      </c>
      <c r="F51" s="31"/>
      <c r="G51" s="60">
        <f>G52</f>
        <v>611000</v>
      </c>
      <c r="H51" s="117"/>
      <c r="I51" s="22">
        <f t="shared" si="0"/>
        <v>611000</v>
      </c>
    </row>
    <row r="52" spans="1:9" s="36" customFormat="1" ht="72.75" customHeight="1">
      <c r="A52" s="26" t="s">
        <v>66</v>
      </c>
      <c r="B52" s="20" t="s">
        <v>588</v>
      </c>
      <c r="C52" s="20" t="s">
        <v>16</v>
      </c>
      <c r="D52" s="20" t="s">
        <v>41</v>
      </c>
      <c r="E52" s="30" t="s">
        <v>67</v>
      </c>
      <c r="F52" s="31"/>
      <c r="G52" s="60">
        <f>G54+G57</f>
        <v>611000</v>
      </c>
      <c r="H52" s="117"/>
      <c r="I52" s="22">
        <f t="shared" si="0"/>
        <v>611000</v>
      </c>
    </row>
    <row r="53" spans="1:9" ht="42" customHeight="1">
      <c r="A53" s="40" t="s">
        <v>68</v>
      </c>
      <c r="B53" s="20" t="s">
        <v>588</v>
      </c>
      <c r="C53" s="20" t="s">
        <v>16</v>
      </c>
      <c r="D53" s="20" t="s">
        <v>41</v>
      </c>
      <c r="E53" s="30" t="s">
        <v>69</v>
      </c>
      <c r="F53" s="31"/>
      <c r="G53" s="60">
        <f>G54+G57</f>
        <v>611000</v>
      </c>
      <c r="H53" s="117"/>
      <c r="I53" s="22">
        <f t="shared" si="0"/>
        <v>611000</v>
      </c>
    </row>
    <row r="54" spans="1:9" ht="44.25" customHeight="1">
      <c r="A54" s="118" t="s">
        <v>70</v>
      </c>
      <c r="B54" s="20" t="s">
        <v>588</v>
      </c>
      <c r="C54" s="20" t="s">
        <v>16</v>
      </c>
      <c r="D54" s="20" t="s">
        <v>41</v>
      </c>
      <c r="E54" s="20" t="s">
        <v>71</v>
      </c>
      <c r="F54" s="21"/>
      <c r="G54" s="60">
        <f>G55+G56</f>
        <v>305200</v>
      </c>
      <c r="H54" s="117"/>
      <c r="I54" s="22">
        <f t="shared" si="0"/>
        <v>305200</v>
      </c>
    </row>
    <row r="55" spans="1:9" ht="45.75" customHeight="1">
      <c r="A55" s="29" t="s">
        <v>25</v>
      </c>
      <c r="B55" s="20" t="s">
        <v>588</v>
      </c>
      <c r="C55" s="20" t="s">
        <v>16</v>
      </c>
      <c r="D55" s="20" t="s">
        <v>41</v>
      </c>
      <c r="E55" s="20" t="s">
        <v>71</v>
      </c>
      <c r="F55" s="31" t="s">
        <v>26</v>
      </c>
      <c r="G55" s="60">
        <v>305200</v>
      </c>
      <c r="H55" s="117"/>
      <c r="I55" s="22">
        <f t="shared" si="0"/>
        <v>305200</v>
      </c>
    </row>
    <row r="56" spans="1:9" ht="26.25" hidden="1">
      <c r="A56" s="29" t="s">
        <v>37</v>
      </c>
      <c r="B56" s="20" t="s">
        <v>588</v>
      </c>
      <c r="C56" s="20" t="s">
        <v>16</v>
      </c>
      <c r="D56" s="20" t="s">
        <v>41</v>
      </c>
      <c r="E56" s="20" t="s">
        <v>71</v>
      </c>
      <c r="F56" s="31" t="s">
        <v>38</v>
      </c>
      <c r="G56" s="60"/>
      <c r="H56" s="117"/>
      <c r="I56" s="22">
        <f t="shared" si="0"/>
        <v>0</v>
      </c>
    </row>
    <row r="57" spans="1:9" ht="35.25" customHeight="1">
      <c r="A57" s="118" t="s">
        <v>72</v>
      </c>
      <c r="B57" s="20" t="s">
        <v>588</v>
      </c>
      <c r="C57" s="20" t="s">
        <v>16</v>
      </c>
      <c r="D57" s="20" t="s">
        <v>41</v>
      </c>
      <c r="E57" s="20" t="s">
        <v>73</v>
      </c>
      <c r="F57" s="21"/>
      <c r="G57" s="60">
        <f>G58+G59</f>
        <v>305800</v>
      </c>
      <c r="H57" s="117"/>
      <c r="I57" s="22">
        <f t="shared" si="0"/>
        <v>305800</v>
      </c>
    </row>
    <row r="58" spans="1:9" ht="40.5" customHeight="1">
      <c r="A58" s="29" t="s">
        <v>25</v>
      </c>
      <c r="B58" s="20" t="s">
        <v>588</v>
      </c>
      <c r="C58" s="20" t="s">
        <v>16</v>
      </c>
      <c r="D58" s="20" t="s">
        <v>41</v>
      </c>
      <c r="E58" s="20" t="s">
        <v>73</v>
      </c>
      <c r="F58" s="31" t="s">
        <v>26</v>
      </c>
      <c r="G58" s="60">
        <v>303800</v>
      </c>
      <c r="H58" s="120"/>
      <c r="I58" s="22">
        <f t="shared" si="0"/>
        <v>303800</v>
      </c>
    </row>
    <row r="59" spans="1:9" ht="26.25">
      <c r="A59" s="29" t="s">
        <v>37</v>
      </c>
      <c r="B59" s="20" t="s">
        <v>588</v>
      </c>
      <c r="C59" s="20" t="s">
        <v>16</v>
      </c>
      <c r="D59" s="20" t="s">
        <v>41</v>
      </c>
      <c r="E59" s="20" t="s">
        <v>73</v>
      </c>
      <c r="F59" s="31" t="s">
        <v>38</v>
      </c>
      <c r="G59" s="60">
        <v>2000</v>
      </c>
      <c r="H59" s="120"/>
      <c r="I59" s="22">
        <f t="shared" si="0"/>
        <v>2000</v>
      </c>
    </row>
    <row r="60" spans="1:9" ht="18" customHeight="1">
      <c r="A60" s="29" t="s">
        <v>74</v>
      </c>
      <c r="B60" s="20" t="s">
        <v>588</v>
      </c>
      <c r="C60" s="20" t="s">
        <v>16</v>
      </c>
      <c r="D60" s="20" t="s">
        <v>41</v>
      </c>
      <c r="E60" s="20" t="s">
        <v>75</v>
      </c>
      <c r="F60" s="21"/>
      <c r="G60" s="60">
        <f>G61</f>
        <v>17388900</v>
      </c>
      <c r="H60" s="120"/>
      <c r="I60" s="22">
        <f t="shared" si="0"/>
        <v>17388900</v>
      </c>
    </row>
    <row r="61" spans="1:9" ht="21" customHeight="1">
      <c r="A61" s="27" t="s">
        <v>76</v>
      </c>
      <c r="B61" s="20" t="s">
        <v>588</v>
      </c>
      <c r="C61" s="20" t="s">
        <v>16</v>
      </c>
      <c r="D61" s="20" t="s">
        <v>41</v>
      </c>
      <c r="E61" s="20" t="s">
        <v>77</v>
      </c>
      <c r="F61" s="21"/>
      <c r="G61" s="60">
        <f>G62</f>
        <v>17388900</v>
      </c>
      <c r="H61" s="120"/>
      <c r="I61" s="22">
        <f t="shared" si="0"/>
        <v>17388900</v>
      </c>
    </row>
    <row r="62" spans="1:9" ht="32.25" customHeight="1">
      <c r="A62" s="27" t="s">
        <v>23</v>
      </c>
      <c r="B62" s="20" t="s">
        <v>588</v>
      </c>
      <c r="C62" s="20" t="s">
        <v>16</v>
      </c>
      <c r="D62" s="20" t="s">
        <v>41</v>
      </c>
      <c r="E62" s="20" t="s">
        <v>78</v>
      </c>
      <c r="F62" s="21"/>
      <c r="G62" s="60">
        <f>G63+G64+G65</f>
        <v>17388900</v>
      </c>
      <c r="H62" s="120"/>
      <c r="I62" s="22">
        <f t="shared" si="0"/>
        <v>17388900</v>
      </c>
    </row>
    <row r="63" spans="1:9" ht="48.75" customHeight="1">
      <c r="A63" s="29" t="s">
        <v>25</v>
      </c>
      <c r="B63" s="20" t="s">
        <v>588</v>
      </c>
      <c r="C63" s="20" t="s">
        <v>16</v>
      </c>
      <c r="D63" s="20" t="s">
        <v>41</v>
      </c>
      <c r="E63" s="20" t="s">
        <v>78</v>
      </c>
      <c r="F63" s="31" t="s">
        <v>26</v>
      </c>
      <c r="G63" s="60">
        <f>17211100+300</f>
        <v>17211400</v>
      </c>
      <c r="H63" s="120"/>
      <c r="I63" s="22">
        <f t="shared" si="0"/>
        <v>17211400</v>
      </c>
    </row>
    <row r="64" spans="1:9" ht="30" customHeight="1">
      <c r="A64" s="29" t="s">
        <v>37</v>
      </c>
      <c r="B64" s="20" t="s">
        <v>588</v>
      </c>
      <c r="C64" s="20" t="s">
        <v>16</v>
      </c>
      <c r="D64" s="20" t="s">
        <v>41</v>
      </c>
      <c r="E64" s="20" t="s">
        <v>78</v>
      </c>
      <c r="F64" s="31" t="s">
        <v>38</v>
      </c>
      <c r="G64" s="180">
        <v>90500</v>
      </c>
      <c r="H64" s="120"/>
      <c r="I64" s="22">
        <f t="shared" si="0"/>
        <v>90500</v>
      </c>
    </row>
    <row r="65" spans="1:9" ht="18.75" customHeight="1">
      <c r="A65" s="41" t="s">
        <v>79</v>
      </c>
      <c r="B65" s="20" t="s">
        <v>588</v>
      </c>
      <c r="C65" s="20" t="s">
        <v>16</v>
      </c>
      <c r="D65" s="20" t="s">
        <v>41</v>
      </c>
      <c r="E65" s="20" t="s">
        <v>78</v>
      </c>
      <c r="F65" s="31" t="s">
        <v>80</v>
      </c>
      <c r="G65" s="60">
        <v>87000</v>
      </c>
      <c r="H65" s="120"/>
      <c r="I65" s="22">
        <f t="shared" si="0"/>
        <v>87000</v>
      </c>
    </row>
    <row r="66" spans="1:9" ht="13.5">
      <c r="A66" s="26" t="s">
        <v>81</v>
      </c>
      <c r="B66" s="20" t="s">
        <v>588</v>
      </c>
      <c r="C66" s="20" t="s">
        <v>16</v>
      </c>
      <c r="D66" s="20" t="s">
        <v>41</v>
      </c>
      <c r="E66" s="20" t="s">
        <v>82</v>
      </c>
      <c r="F66" s="21"/>
      <c r="G66" s="60">
        <f>G67+G71</f>
        <v>336380</v>
      </c>
      <c r="H66" s="117"/>
      <c r="I66" s="22">
        <f>G66+H66</f>
        <v>336380</v>
      </c>
    </row>
    <row r="67" spans="1:9" ht="17.25" customHeight="1">
      <c r="A67" s="40" t="s">
        <v>83</v>
      </c>
      <c r="B67" s="20" t="s">
        <v>588</v>
      </c>
      <c r="C67" s="20" t="s">
        <v>16</v>
      </c>
      <c r="D67" s="20" t="s">
        <v>41</v>
      </c>
      <c r="E67" s="20" t="s">
        <v>84</v>
      </c>
      <c r="F67" s="21"/>
      <c r="G67" s="60">
        <f>G68</f>
        <v>305800</v>
      </c>
      <c r="H67" s="117"/>
      <c r="I67" s="22">
        <f t="shared" si="0"/>
        <v>305800</v>
      </c>
    </row>
    <row r="68" spans="1:9" ht="27.75" customHeight="1">
      <c r="A68" s="27" t="s">
        <v>85</v>
      </c>
      <c r="B68" s="20" t="s">
        <v>588</v>
      </c>
      <c r="C68" s="20" t="s">
        <v>16</v>
      </c>
      <c r="D68" s="20" t="s">
        <v>41</v>
      </c>
      <c r="E68" s="20" t="s">
        <v>86</v>
      </c>
      <c r="F68" s="21"/>
      <c r="G68" s="60">
        <f>G69+G70</f>
        <v>305800</v>
      </c>
      <c r="H68" s="117"/>
      <c r="I68" s="22">
        <f t="shared" si="0"/>
        <v>305800</v>
      </c>
    </row>
    <row r="69" spans="1:9" ht="39">
      <c r="A69" s="29" t="s">
        <v>25</v>
      </c>
      <c r="B69" s="20" t="s">
        <v>588</v>
      </c>
      <c r="C69" s="20" t="s">
        <v>16</v>
      </c>
      <c r="D69" s="20" t="s">
        <v>41</v>
      </c>
      <c r="E69" s="20" t="s">
        <v>86</v>
      </c>
      <c r="F69" s="31" t="s">
        <v>26</v>
      </c>
      <c r="G69" s="60">
        <v>305800</v>
      </c>
      <c r="H69" s="117"/>
      <c r="I69" s="22">
        <f t="shared" si="0"/>
        <v>305800</v>
      </c>
    </row>
    <row r="70" spans="1:9" ht="13.5" hidden="1">
      <c r="A70" s="29" t="s">
        <v>87</v>
      </c>
      <c r="B70" s="20" t="s">
        <v>588</v>
      </c>
      <c r="C70" s="20" t="s">
        <v>16</v>
      </c>
      <c r="D70" s="20" t="s">
        <v>41</v>
      </c>
      <c r="E70" s="20" t="s">
        <v>86</v>
      </c>
      <c r="F70" s="31" t="s">
        <v>38</v>
      </c>
      <c r="G70" s="60">
        <f>20967-20967</f>
        <v>0</v>
      </c>
      <c r="H70" s="117"/>
      <c r="I70" s="22">
        <f t="shared" si="0"/>
        <v>0</v>
      </c>
    </row>
    <row r="71" spans="1:9" ht="13.5">
      <c r="A71" s="26" t="s">
        <v>88</v>
      </c>
      <c r="B71" s="20" t="s">
        <v>588</v>
      </c>
      <c r="C71" s="20" t="s">
        <v>16</v>
      </c>
      <c r="D71" s="20" t="s">
        <v>41</v>
      </c>
      <c r="E71" s="20" t="s">
        <v>89</v>
      </c>
      <c r="F71" s="21"/>
      <c r="G71" s="60">
        <f>G72</f>
        <v>30580</v>
      </c>
      <c r="H71" s="117"/>
      <c r="I71" s="22">
        <f t="shared" si="0"/>
        <v>30580</v>
      </c>
    </row>
    <row r="72" spans="1:9" ht="39">
      <c r="A72" s="43" t="s">
        <v>90</v>
      </c>
      <c r="B72" s="20" t="s">
        <v>588</v>
      </c>
      <c r="C72" s="20" t="s">
        <v>16</v>
      </c>
      <c r="D72" s="20" t="s">
        <v>41</v>
      </c>
      <c r="E72" s="20" t="s">
        <v>91</v>
      </c>
      <c r="F72" s="21"/>
      <c r="G72" s="60">
        <f>G73</f>
        <v>30580</v>
      </c>
      <c r="H72" s="117"/>
      <c r="I72" s="22">
        <f t="shared" si="0"/>
        <v>30580</v>
      </c>
    </row>
    <row r="73" spans="1:9" ht="39">
      <c r="A73" s="29" t="s">
        <v>25</v>
      </c>
      <c r="B73" s="20" t="s">
        <v>588</v>
      </c>
      <c r="C73" s="20" t="s">
        <v>16</v>
      </c>
      <c r="D73" s="20" t="s">
        <v>41</v>
      </c>
      <c r="E73" s="20" t="s">
        <v>91</v>
      </c>
      <c r="F73" s="31" t="s">
        <v>26</v>
      </c>
      <c r="G73" s="60">
        <v>30580</v>
      </c>
      <c r="H73" s="117"/>
      <c r="I73" s="22">
        <f t="shared" si="0"/>
        <v>30580</v>
      </c>
    </row>
    <row r="74" spans="1:9" ht="13.5">
      <c r="A74" s="119" t="s">
        <v>92</v>
      </c>
      <c r="B74" s="20" t="s">
        <v>588</v>
      </c>
      <c r="C74" s="20" t="s">
        <v>16</v>
      </c>
      <c r="D74" s="20" t="s">
        <v>93</v>
      </c>
      <c r="E74" s="20"/>
      <c r="F74" s="31"/>
      <c r="G74" s="60">
        <f>G75</f>
        <v>500</v>
      </c>
      <c r="H74" s="117"/>
      <c r="I74" s="22">
        <f t="shared" si="0"/>
        <v>500</v>
      </c>
    </row>
    <row r="75" spans="1:9" ht="13.5">
      <c r="A75" s="26" t="s">
        <v>81</v>
      </c>
      <c r="B75" s="20" t="s">
        <v>588</v>
      </c>
      <c r="C75" s="20" t="s">
        <v>16</v>
      </c>
      <c r="D75" s="20" t="s">
        <v>93</v>
      </c>
      <c r="E75" s="20" t="s">
        <v>82</v>
      </c>
      <c r="F75" s="31"/>
      <c r="G75" s="60">
        <f>G76</f>
        <v>500</v>
      </c>
      <c r="H75" s="117"/>
      <c r="I75" s="22">
        <f t="shared" si="0"/>
        <v>500</v>
      </c>
    </row>
    <row r="76" spans="1:9" ht="13.5">
      <c r="A76" s="26" t="s">
        <v>88</v>
      </c>
      <c r="B76" s="20" t="s">
        <v>588</v>
      </c>
      <c r="C76" s="20" t="s">
        <v>16</v>
      </c>
      <c r="D76" s="20" t="s">
        <v>93</v>
      </c>
      <c r="E76" s="20" t="s">
        <v>89</v>
      </c>
      <c r="F76" s="31"/>
      <c r="G76" s="60">
        <f>G77</f>
        <v>500</v>
      </c>
      <c r="H76" s="117"/>
      <c r="I76" s="22">
        <f t="shared" si="0"/>
        <v>500</v>
      </c>
    </row>
    <row r="77" spans="1:9" ht="39">
      <c r="A77" s="118" t="s">
        <v>94</v>
      </c>
      <c r="B77" s="20" t="s">
        <v>588</v>
      </c>
      <c r="C77" s="20" t="s">
        <v>16</v>
      </c>
      <c r="D77" s="20" t="s">
        <v>93</v>
      </c>
      <c r="E77" s="20" t="s">
        <v>95</v>
      </c>
      <c r="F77" s="31"/>
      <c r="G77" s="60">
        <f>G78</f>
        <v>500</v>
      </c>
      <c r="H77" s="117"/>
      <c r="I77" s="22">
        <f t="shared" si="0"/>
        <v>500</v>
      </c>
    </row>
    <row r="78" spans="1:9" ht="13.5">
      <c r="A78" s="29" t="s">
        <v>87</v>
      </c>
      <c r="B78" s="20" t="s">
        <v>588</v>
      </c>
      <c r="C78" s="20" t="s">
        <v>16</v>
      </c>
      <c r="D78" s="20" t="s">
        <v>93</v>
      </c>
      <c r="E78" s="20" t="s">
        <v>95</v>
      </c>
      <c r="F78" s="31" t="s">
        <v>38</v>
      </c>
      <c r="G78" s="60">
        <f>500</f>
        <v>500</v>
      </c>
      <c r="H78" s="117"/>
      <c r="I78" s="22">
        <f t="shared" si="0"/>
        <v>500</v>
      </c>
    </row>
    <row r="79" spans="1:9" ht="26.25">
      <c r="A79" s="26" t="s">
        <v>96</v>
      </c>
      <c r="B79" s="20" t="s">
        <v>588</v>
      </c>
      <c r="C79" s="20" t="s">
        <v>16</v>
      </c>
      <c r="D79" s="20" t="s">
        <v>97</v>
      </c>
      <c r="E79" s="20"/>
      <c r="F79" s="21"/>
      <c r="G79" s="60">
        <f>G80</f>
        <v>486000</v>
      </c>
      <c r="H79" s="117"/>
      <c r="I79" s="22">
        <f t="shared" si="0"/>
        <v>486000</v>
      </c>
    </row>
    <row r="80" spans="1:9" ht="33.75" customHeight="1">
      <c r="A80" s="44" t="s">
        <v>98</v>
      </c>
      <c r="B80" s="20" t="s">
        <v>588</v>
      </c>
      <c r="C80" s="20" t="s">
        <v>16</v>
      </c>
      <c r="D80" s="20" t="s">
        <v>97</v>
      </c>
      <c r="E80" s="45" t="s">
        <v>99</v>
      </c>
      <c r="F80" s="31"/>
      <c r="G80" s="60">
        <f>G81</f>
        <v>486000</v>
      </c>
      <c r="H80" s="117"/>
      <c r="I80" s="22">
        <f t="shared" si="0"/>
        <v>486000</v>
      </c>
    </row>
    <row r="81" spans="1:9" ht="13.5">
      <c r="A81" s="44" t="s">
        <v>100</v>
      </c>
      <c r="B81" s="20" t="s">
        <v>588</v>
      </c>
      <c r="C81" s="20" t="s">
        <v>16</v>
      </c>
      <c r="D81" s="20" t="s">
        <v>97</v>
      </c>
      <c r="E81" s="45" t="s">
        <v>101</v>
      </c>
      <c r="F81" s="31"/>
      <c r="G81" s="60">
        <f>G82</f>
        <v>486000</v>
      </c>
      <c r="H81" s="117"/>
      <c r="I81" s="22">
        <f t="shared" si="0"/>
        <v>486000</v>
      </c>
    </row>
    <row r="82" spans="1:9" ht="26.25">
      <c r="A82" s="27" t="s">
        <v>23</v>
      </c>
      <c r="B82" s="20" t="s">
        <v>588</v>
      </c>
      <c r="C82" s="20" t="s">
        <v>16</v>
      </c>
      <c r="D82" s="20" t="s">
        <v>97</v>
      </c>
      <c r="E82" s="45" t="s">
        <v>102</v>
      </c>
      <c r="F82" s="21"/>
      <c r="G82" s="60">
        <f>G83+G84+G85</f>
        <v>486000</v>
      </c>
      <c r="H82" s="117"/>
      <c r="I82" s="22">
        <f t="shared" si="0"/>
        <v>486000</v>
      </c>
    </row>
    <row r="83" spans="1:9" ht="36.75" customHeight="1">
      <c r="A83" s="29" t="s">
        <v>25</v>
      </c>
      <c r="B83" s="20" t="s">
        <v>588</v>
      </c>
      <c r="C83" s="20" t="s">
        <v>16</v>
      </c>
      <c r="D83" s="20" t="s">
        <v>97</v>
      </c>
      <c r="E83" s="45" t="s">
        <v>102</v>
      </c>
      <c r="F83" s="31" t="s">
        <v>26</v>
      </c>
      <c r="G83" s="60">
        <v>486000</v>
      </c>
      <c r="H83" s="117"/>
      <c r="I83" s="22">
        <f t="shared" si="0"/>
        <v>486000</v>
      </c>
    </row>
    <row r="84" spans="1:9" ht="13.5" hidden="1">
      <c r="A84" s="29" t="s">
        <v>87</v>
      </c>
      <c r="B84" s="20" t="s">
        <v>588</v>
      </c>
      <c r="C84" s="20" t="s">
        <v>16</v>
      </c>
      <c r="D84" s="20" t="s">
        <v>97</v>
      </c>
      <c r="E84" s="45" t="s">
        <v>102</v>
      </c>
      <c r="F84" s="31" t="s">
        <v>38</v>
      </c>
      <c r="G84" s="60"/>
      <c r="H84" s="117"/>
      <c r="I84" s="22">
        <f t="shared" si="0"/>
        <v>0</v>
      </c>
    </row>
    <row r="85" spans="1:9" ht="13.5" hidden="1">
      <c r="A85" s="41" t="s">
        <v>79</v>
      </c>
      <c r="B85" s="20" t="s">
        <v>588</v>
      </c>
      <c r="C85" s="20" t="s">
        <v>16</v>
      </c>
      <c r="D85" s="20" t="s">
        <v>97</v>
      </c>
      <c r="E85" s="45" t="s">
        <v>102</v>
      </c>
      <c r="F85" s="31" t="s">
        <v>80</v>
      </c>
      <c r="G85" s="60"/>
      <c r="H85" s="117"/>
      <c r="I85" s="22">
        <f t="shared" si="0"/>
        <v>0</v>
      </c>
    </row>
    <row r="86" spans="1:9" ht="13.5" hidden="1">
      <c r="A86" s="185" t="s">
        <v>103</v>
      </c>
      <c r="B86" s="20" t="s">
        <v>588</v>
      </c>
      <c r="C86" s="20" t="s">
        <v>16</v>
      </c>
      <c r="D86" s="20" t="s">
        <v>104</v>
      </c>
      <c r="E86" s="45"/>
      <c r="F86" s="31"/>
      <c r="G86" s="60">
        <f>G87</f>
        <v>0</v>
      </c>
      <c r="H86" s="117"/>
      <c r="I86" s="22">
        <f t="shared" si="0"/>
        <v>0</v>
      </c>
    </row>
    <row r="87" spans="1:9" ht="13.5" hidden="1">
      <c r="A87" s="26" t="s">
        <v>81</v>
      </c>
      <c r="B87" s="20" t="s">
        <v>588</v>
      </c>
      <c r="C87" s="20" t="s">
        <v>16</v>
      </c>
      <c r="D87" s="20" t="s">
        <v>104</v>
      </c>
      <c r="E87" s="45" t="s">
        <v>82</v>
      </c>
      <c r="F87" s="31"/>
      <c r="G87" s="60">
        <f>G88</f>
        <v>0</v>
      </c>
      <c r="H87" s="117"/>
      <c r="I87" s="22">
        <f t="shared" si="0"/>
        <v>0</v>
      </c>
    </row>
    <row r="88" spans="1:9" ht="13.5" hidden="1">
      <c r="A88" s="41" t="s">
        <v>105</v>
      </c>
      <c r="B88" s="20" t="s">
        <v>588</v>
      </c>
      <c r="C88" s="20" t="s">
        <v>16</v>
      </c>
      <c r="D88" s="20" t="s">
        <v>104</v>
      </c>
      <c r="E88" s="45" t="s">
        <v>106</v>
      </c>
      <c r="F88" s="31"/>
      <c r="G88" s="60">
        <f>G89</f>
        <v>0</v>
      </c>
      <c r="H88" s="117"/>
      <c r="I88" s="22">
        <f t="shared" si="0"/>
        <v>0</v>
      </c>
    </row>
    <row r="89" spans="1:9" ht="13.5" hidden="1">
      <c r="A89" s="41" t="s">
        <v>107</v>
      </c>
      <c r="B89" s="20" t="s">
        <v>588</v>
      </c>
      <c r="C89" s="20" t="s">
        <v>16</v>
      </c>
      <c r="D89" s="20" t="s">
        <v>104</v>
      </c>
      <c r="E89" s="45" t="s">
        <v>108</v>
      </c>
      <c r="F89" s="31"/>
      <c r="G89" s="60">
        <f>G90</f>
        <v>0</v>
      </c>
      <c r="H89" s="117"/>
      <c r="I89" s="22">
        <f t="shared" si="0"/>
        <v>0</v>
      </c>
    </row>
    <row r="90" spans="1:9" ht="13.5" hidden="1">
      <c r="A90" s="41" t="s">
        <v>79</v>
      </c>
      <c r="B90" s="20" t="s">
        <v>588</v>
      </c>
      <c r="C90" s="20" t="s">
        <v>16</v>
      </c>
      <c r="D90" s="20" t="s">
        <v>104</v>
      </c>
      <c r="E90" s="45" t="s">
        <v>108</v>
      </c>
      <c r="F90" s="31" t="s">
        <v>80</v>
      </c>
      <c r="G90" s="60"/>
      <c r="H90" s="117"/>
      <c r="I90" s="22">
        <f t="shared" si="0"/>
        <v>0</v>
      </c>
    </row>
    <row r="91" spans="1:9" ht="13.5">
      <c r="A91" s="26" t="s">
        <v>109</v>
      </c>
      <c r="B91" s="20" t="s">
        <v>588</v>
      </c>
      <c r="C91" s="20" t="s">
        <v>16</v>
      </c>
      <c r="D91" s="20" t="s">
        <v>110</v>
      </c>
      <c r="E91" s="20"/>
      <c r="F91" s="21"/>
      <c r="G91" s="60">
        <f>G93</f>
        <v>50000</v>
      </c>
      <c r="H91" s="117"/>
      <c r="I91" s="22">
        <f t="shared" si="0"/>
        <v>50000</v>
      </c>
    </row>
    <row r="92" spans="1:9" ht="13.5">
      <c r="A92" s="29" t="s">
        <v>111</v>
      </c>
      <c r="B92" s="20" t="s">
        <v>588</v>
      </c>
      <c r="C92" s="20" t="s">
        <v>16</v>
      </c>
      <c r="D92" s="20" t="s">
        <v>110</v>
      </c>
      <c r="E92" s="30" t="s">
        <v>112</v>
      </c>
      <c r="F92" s="46" t="s">
        <v>113</v>
      </c>
      <c r="G92" s="60">
        <f>G93</f>
        <v>50000</v>
      </c>
      <c r="H92" s="117"/>
      <c r="I92" s="22">
        <f t="shared" si="0"/>
        <v>50000</v>
      </c>
    </row>
    <row r="93" spans="1:9" ht="13.5">
      <c r="A93" s="29" t="s">
        <v>109</v>
      </c>
      <c r="B93" s="20" t="s">
        <v>588</v>
      </c>
      <c r="C93" s="20" t="s">
        <v>16</v>
      </c>
      <c r="D93" s="20" t="s">
        <v>110</v>
      </c>
      <c r="E93" s="30" t="s">
        <v>114</v>
      </c>
      <c r="F93" s="46" t="s">
        <v>113</v>
      </c>
      <c r="G93" s="60">
        <f>G94</f>
        <v>50000</v>
      </c>
      <c r="H93" s="120"/>
      <c r="I93" s="22">
        <f t="shared" si="0"/>
        <v>50000</v>
      </c>
    </row>
    <row r="94" spans="1:9" ht="13.5">
      <c r="A94" s="27" t="s">
        <v>115</v>
      </c>
      <c r="B94" s="20" t="s">
        <v>588</v>
      </c>
      <c r="C94" s="20" t="s">
        <v>16</v>
      </c>
      <c r="D94" s="20" t="s">
        <v>110</v>
      </c>
      <c r="E94" s="30" t="s">
        <v>116</v>
      </c>
      <c r="F94" s="46" t="s">
        <v>113</v>
      </c>
      <c r="G94" s="60">
        <f>G95</f>
        <v>50000</v>
      </c>
      <c r="H94" s="120"/>
      <c r="I94" s="22">
        <f aca="true" t="shared" si="1" ref="I94:I255">G94+H94</f>
        <v>50000</v>
      </c>
    </row>
    <row r="95" spans="1:9" ht="13.5">
      <c r="A95" s="29" t="s">
        <v>79</v>
      </c>
      <c r="B95" s="20" t="s">
        <v>588</v>
      </c>
      <c r="C95" s="20" t="s">
        <v>16</v>
      </c>
      <c r="D95" s="20" t="s">
        <v>110</v>
      </c>
      <c r="E95" s="30" t="s">
        <v>116</v>
      </c>
      <c r="F95" s="46" t="s">
        <v>80</v>
      </c>
      <c r="G95" s="60">
        <v>50000</v>
      </c>
      <c r="H95" s="120"/>
      <c r="I95" s="22">
        <f t="shared" si="1"/>
        <v>50000</v>
      </c>
    </row>
    <row r="96" spans="1:9" ht="13.5">
      <c r="A96" s="26" t="s">
        <v>117</v>
      </c>
      <c r="B96" s="20" t="s">
        <v>588</v>
      </c>
      <c r="C96" s="20" t="s">
        <v>16</v>
      </c>
      <c r="D96" s="20" t="s">
        <v>118</v>
      </c>
      <c r="E96" s="20"/>
      <c r="F96" s="21"/>
      <c r="G96" s="60">
        <f>G97+G118+G150+G161+G167+G179+G129+G141+G134+G124+G156</f>
        <v>27328026.810000002</v>
      </c>
      <c r="H96" s="120"/>
      <c r="I96" s="22">
        <f t="shared" si="1"/>
        <v>27328026.810000002</v>
      </c>
    </row>
    <row r="97" spans="1:9" ht="42" customHeight="1">
      <c r="A97" s="26" t="s">
        <v>589</v>
      </c>
      <c r="B97" s="20" t="s">
        <v>588</v>
      </c>
      <c r="C97" s="20" t="s">
        <v>16</v>
      </c>
      <c r="D97" s="20" t="s">
        <v>118</v>
      </c>
      <c r="E97" s="20" t="s">
        <v>43</v>
      </c>
      <c r="F97" s="21"/>
      <c r="G97" s="60">
        <f>G109+G102+G98</f>
        <v>180300</v>
      </c>
      <c r="H97" s="120"/>
      <c r="I97" s="22">
        <f t="shared" si="1"/>
        <v>180300</v>
      </c>
    </row>
    <row r="98" spans="1:9" ht="45" customHeight="1">
      <c r="A98" s="47" t="s">
        <v>120</v>
      </c>
      <c r="B98" s="20" t="s">
        <v>588</v>
      </c>
      <c r="C98" s="20" t="s">
        <v>16</v>
      </c>
      <c r="D98" s="20" t="s">
        <v>118</v>
      </c>
      <c r="E98" s="20" t="s">
        <v>121</v>
      </c>
      <c r="F98" s="21"/>
      <c r="G98" s="60">
        <f>G99</f>
        <v>14000</v>
      </c>
      <c r="H98" s="117"/>
      <c r="I98" s="22">
        <f t="shared" si="1"/>
        <v>14000</v>
      </c>
    </row>
    <row r="99" spans="1:9" ht="32.25" customHeight="1">
      <c r="A99" s="47" t="s">
        <v>122</v>
      </c>
      <c r="B99" s="20" t="s">
        <v>588</v>
      </c>
      <c r="C99" s="20" t="s">
        <v>16</v>
      </c>
      <c r="D99" s="20" t="s">
        <v>118</v>
      </c>
      <c r="E99" s="20" t="s">
        <v>123</v>
      </c>
      <c r="F99" s="21"/>
      <c r="G99" s="60">
        <f>G100</f>
        <v>14000</v>
      </c>
      <c r="H99" s="117"/>
      <c r="I99" s="22">
        <f t="shared" si="1"/>
        <v>14000</v>
      </c>
    </row>
    <row r="100" spans="1:9" ht="15.75" customHeight="1">
      <c r="A100" s="29" t="s">
        <v>124</v>
      </c>
      <c r="B100" s="20" t="s">
        <v>588</v>
      </c>
      <c r="C100" s="20" t="s">
        <v>16</v>
      </c>
      <c r="D100" s="20" t="s">
        <v>118</v>
      </c>
      <c r="E100" s="48" t="s">
        <v>125</v>
      </c>
      <c r="F100" s="21"/>
      <c r="G100" s="60">
        <f>G101</f>
        <v>14000</v>
      </c>
      <c r="H100" s="117"/>
      <c r="I100" s="22">
        <f t="shared" si="1"/>
        <v>14000</v>
      </c>
    </row>
    <row r="101" spans="1:9" ht="28.5" customHeight="1">
      <c r="A101" s="29" t="s">
        <v>37</v>
      </c>
      <c r="B101" s="20" t="s">
        <v>588</v>
      </c>
      <c r="C101" s="20" t="s">
        <v>16</v>
      </c>
      <c r="D101" s="20" t="s">
        <v>118</v>
      </c>
      <c r="E101" s="48" t="s">
        <v>125</v>
      </c>
      <c r="F101" s="21" t="s">
        <v>38</v>
      </c>
      <c r="G101" s="60">
        <v>14000</v>
      </c>
      <c r="H101" s="117"/>
      <c r="I101" s="22">
        <f t="shared" si="1"/>
        <v>14000</v>
      </c>
    </row>
    <row r="102" spans="1:9" ht="65.25" customHeight="1">
      <c r="A102" s="29" t="s">
        <v>44</v>
      </c>
      <c r="B102" s="20" t="s">
        <v>588</v>
      </c>
      <c r="C102" s="20" t="s">
        <v>16</v>
      </c>
      <c r="D102" s="20" t="s">
        <v>118</v>
      </c>
      <c r="E102" s="20" t="s">
        <v>45</v>
      </c>
      <c r="F102" s="21"/>
      <c r="G102" s="60">
        <f>G103+G106</f>
        <v>27000</v>
      </c>
      <c r="H102" s="117"/>
      <c r="I102" s="22">
        <f t="shared" si="1"/>
        <v>27000</v>
      </c>
    </row>
    <row r="103" spans="1:9" ht="39" hidden="1">
      <c r="A103" s="37" t="s">
        <v>46</v>
      </c>
      <c r="B103" s="20" t="s">
        <v>588</v>
      </c>
      <c r="C103" s="20" t="s">
        <v>16</v>
      </c>
      <c r="D103" s="20" t="s">
        <v>118</v>
      </c>
      <c r="E103" s="20" t="s">
        <v>47</v>
      </c>
      <c r="F103" s="21"/>
      <c r="G103" s="60">
        <f>G105</f>
        <v>0</v>
      </c>
      <c r="H103" s="117"/>
      <c r="I103" s="22">
        <f t="shared" si="1"/>
        <v>0</v>
      </c>
    </row>
    <row r="104" spans="1:9" ht="66" hidden="1">
      <c r="A104" s="71" t="s">
        <v>590</v>
      </c>
      <c r="B104" s="20" t="s">
        <v>588</v>
      </c>
      <c r="C104" s="20" t="s">
        <v>16</v>
      </c>
      <c r="D104" s="20" t="s">
        <v>118</v>
      </c>
      <c r="E104" s="121" t="s">
        <v>591</v>
      </c>
      <c r="F104" s="21"/>
      <c r="G104" s="60">
        <f>G105</f>
        <v>0</v>
      </c>
      <c r="H104" s="117"/>
      <c r="I104" s="22">
        <f t="shared" si="1"/>
        <v>0</v>
      </c>
    </row>
    <row r="105" spans="1:9" ht="26.25" hidden="1">
      <c r="A105" s="29" t="s">
        <v>37</v>
      </c>
      <c r="B105" s="20" t="s">
        <v>588</v>
      </c>
      <c r="C105" s="20" t="s">
        <v>16</v>
      </c>
      <c r="D105" s="20" t="s">
        <v>118</v>
      </c>
      <c r="E105" s="121" t="s">
        <v>591</v>
      </c>
      <c r="F105" s="21" t="s">
        <v>38</v>
      </c>
      <c r="G105" s="60"/>
      <c r="H105" s="117"/>
      <c r="I105" s="22">
        <f t="shared" si="1"/>
        <v>0</v>
      </c>
    </row>
    <row r="106" spans="1:9" ht="28.5" customHeight="1">
      <c r="A106" s="71" t="s">
        <v>126</v>
      </c>
      <c r="B106" s="20" t="s">
        <v>588</v>
      </c>
      <c r="C106" s="20" t="s">
        <v>16</v>
      </c>
      <c r="D106" s="20" t="s">
        <v>118</v>
      </c>
      <c r="E106" s="20" t="s">
        <v>127</v>
      </c>
      <c r="F106" s="21"/>
      <c r="G106" s="60">
        <f>G107</f>
        <v>27000</v>
      </c>
      <c r="H106" s="117"/>
      <c r="I106" s="22">
        <f t="shared" si="1"/>
        <v>27000</v>
      </c>
    </row>
    <row r="107" spans="1:9" ht="33.75" customHeight="1">
      <c r="A107" s="47" t="s">
        <v>128</v>
      </c>
      <c r="B107" s="20" t="s">
        <v>588</v>
      </c>
      <c r="C107" s="20" t="s">
        <v>16</v>
      </c>
      <c r="D107" s="20" t="s">
        <v>118</v>
      </c>
      <c r="E107" s="48" t="s">
        <v>129</v>
      </c>
      <c r="F107" s="21"/>
      <c r="G107" s="60">
        <f>G108</f>
        <v>27000</v>
      </c>
      <c r="H107" s="117"/>
      <c r="I107" s="22">
        <f t="shared" si="1"/>
        <v>27000</v>
      </c>
    </row>
    <row r="108" spans="1:9" ht="27" customHeight="1">
      <c r="A108" s="29" t="s">
        <v>37</v>
      </c>
      <c r="B108" s="20" t="s">
        <v>588</v>
      </c>
      <c r="C108" s="20" t="s">
        <v>16</v>
      </c>
      <c r="D108" s="20" t="s">
        <v>118</v>
      </c>
      <c r="E108" s="48" t="s">
        <v>129</v>
      </c>
      <c r="F108" s="21" t="s">
        <v>38</v>
      </c>
      <c r="G108" s="60">
        <v>27000</v>
      </c>
      <c r="H108" s="117"/>
      <c r="I108" s="22">
        <f t="shared" si="1"/>
        <v>27000</v>
      </c>
    </row>
    <row r="109" spans="1:9" ht="57.75" customHeight="1">
      <c r="A109" s="27" t="s">
        <v>130</v>
      </c>
      <c r="B109" s="20" t="s">
        <v>588</v>
      </c>
      <c r="C109" s="20" t="s">
        <v>16</v>
      </c>
      <c r="D109" s="20" t="s">
        <v>118</v>
      </c>
      <c r="E109" s="20" t="s">
        <v>51</v>
      </c>
      <c r="F109" s="21"/>
      <c r="G109" s="60">
        <f>G110+G115</f>
        <v>139300</v>
      </c>
      <c r="H109" s="117"/>
      <c r="I109" s="22">
        <f t="shared" si="1"/>
        <v>139300</v>
      </c>
    </row>
    <row r="110" spans="1:9" ht="30" customHeight="1">
      <c r="A110" s="27" t="s">
        <v>131</v>
      </c>
      <c r="B110" s="20" t="s">
        <v>588</v>
      </c>
      <c r="C110" s="20" t="s">
        <v>16</v>
      </c>
      <c r="D110" s="20" t="s">
        <v>118</v>
      </c>
      <c r="E110" s="20" t="s">
        <v>132</v>
      </c>
      <c r="F110" s="21"/>
      <c r="G110" s="60">
        <f>G111+G113</f>
        <v>129300</v>
      </c>
      <c r="H110" s="117"/>
      <c r="I110" s="22">
        <f t="shared" si="1"/>
        <v>129300</v>
      </c>
    </row>
    <row r="111" spans="1:9" ht="34.5" customHeight="1">
      <c r="A111" s="27" t="s">
        <v>133</v>
      </c>
      <c r="B111" s="20" t="s">
        <v>588</v>
      </c>
      <c r="C111" s="20" t="s">
        <v>16</v>
      </c>
      <c r="D111" s="20" t="s">
        <v>118</v>
      </c>
      <c r="E111" s="20" t="s">
        <v>134</v>
      </c>
      <c r="F111" s="21"/>
      <c r="G111" s="60">
        <f>G112</f>
        <v>124300</v>
      </c>
      <c r="H111" s="117"/>
      <c r="I111" s="22">
        <f t="shared" si="1"/>
        <v>124300</v>
      </c>
    </row>
    <row r="112" spans="1:9" ht="26.25">
      <c r="A112" s="29" t="s">
        <v>135</v>
      </c>
      <c r="B112" s="20" t="s">
        <v>588</v>
      </c>
      <c r="C112" s="20" t="s">
        <v>16</v>
      </c>
      <c r="D112" s="20" t="s">
        <v>118</v>
      </c>
      <c r="E112" s="20" t="s">
        <v>134</v>
      </c>
      <c r="F112" s="31" t="s">
        <v>136</v>
      </c>
      <c r="G112" s="60">
        <v>124300</v>
      </c>
      <c r="H112" s="117"/>
      <c r="I112" s="22">
        <f t="shared" si="1"/>
        <v>124300</v>
      </c>
    </row>
    <row r="113" spans="1:9" ht="18.75" customHeight="1">
      <c r="A113" s="27" t="s">
        <v>137</v>
      </c>
      <c r="B113" s="20" t="s">
        <v>588</v>
      </c>
      <c r="C113" s="20" t="s">
        <v>16</v>
      </c>
      <c r="D113" s="20" t="s">
        <v>118</v>
      </c>
      <c r="E113" s="20" t="s">
        <v>138</v>
      </c>
      <c r="F113" s="31"/>
      <c r="G113" s="60">
        <f>G114</f>
        <v>5000</v>
      </c>
      <c r="H113" s="117"/>
      <c r="I113" s="22">
        <f t="shared" si="1"/>
        <v>5000</v>
      </c>
    </row>
    <row r="114" spans="1:9" ht="26.25">
      <c r="A114" s="29" t="s">
        <v>135</v>
      </c>
      <c r="B114" s="20" t="s">
        <v>588</v>
      </c>
      <c r="C114" s="20" t="s">
        <v>16</v>
      </c>
      <c r="D114" s="20" t="s">
        <v>118</v>
      </c>
      <c r="E114" s="20" t="s">
        <v>138</v>
      </c>
      <c r="F114" s="31" t="s">
        <v>136</v>
      </c>
      <c r="G114" s="60">
        <v>5000</v>
      </c>
      <c r="H114" s="117"/>
      <c r="I114" s="22">
        <f t="shared" si="1"/>
        <v>5000</v>
      </c>
    </row>
    <row r="115" spans="1:9" ht="26.25">
      <c r="A115" s="40" t="s">
        <v>52</v>
      </c>
      <c r="B115" s="20" t="s">
        <v>588</v>
      </c>
      <c r="C115" s="20" t="s">
        <v>16</v>
      </c>
      <c r="D115" s="20" t="s">
        <v>118</v>
      </c>
      <c r="E115" s="20" t="s">
        <v>53</v>
      </c>
      <c r="F115" s="31"/>
      <c r="G115" s="60">
        <f>G116</f>
        <v>10000</v>
      </c>
      <c r="H115" s="117"/>
      <c r="I115" s="22">
        <f t="shared" si="1"/>
        <v>10000</v>
      </c>
    </row>
    <row r="116" spans="1:9" ht="21" customHeight="1">
      <c r="A116" s="71" t="s">
        <v>139</v>
      </c>
      <c r="B116" s="20" t="s">
        <v>588</v>
      </c>
      <c r="C116" s="20" t="s">
        <v>16</v>
      </c>
      <c r="D116" s="20" t="s">
        <v>118</v>
      </c>
      <c r="E116" s="20" t="s">
        <v>140</v>
      </c>
      <c r="F116" s="31"/>
      <c r="G116" s="60">
        <f>G117</f>
        <v>10000</v>
      </c>
      <c r="H116" s="117"/>
      <c r="I116" s="22">
        <f t="shared" si="1"/>
        <v>10000</v>
      </c>
    </row>
    <row r="117" spans="1:9" ht="26.25">
      <c r="A117" s="29" t="s">
        <v>37</v>
      </c>
      <c r="B117" s="20" t="s">
        <v>588</v>
      </c>
      <c r="C117" s="20" t="s">
        <v>16</v>
      </c>
      <c r="D117" s="20" t="s">
        <v>118</v>
      </c>
      <c r="E117" s="20" t="s">
        <v>140</v>
      </c>
      <c r="F117" s="31" t="s">
        <v>38</v>
      </c>
      <c r="G117" s="60">
        <v>10000</v>
      </c>
      <c r="H117" s="117"/>
      <c r="I117" s="22">
        <f t="shared" si="1"/>
        <v>10000</v>
      </c>
    </row>
    <row r="118" spans="1:9" ht="26.25">
      <c r="A118" s="82" t="s">
        <v>141</v>
      </c>
      <c r="B118" s="20" t="s">
        <v>588</v>
      </c>
      <c r="C118" s="20" t="s">
        <v>16</v>
      </c>
      <c r="D118" s="20" t="s">
        <v>118</v>
      </c>
      <c r="E118" s="20" t="s">
        <v>142</v>
      </c>
      <c r="F118" s="31"/>
      <c r="G118" s="60">
        <f>G119</f>
        <v>1335000</v>
      </c>
      <c r="H118" s="117"/>
      <c r="I118" s="22">
        <f t="shared" si="1"/>
        <v>1335000</v>
      </c>
    </row>
    <row r="119" spans="1:9" ht="59.25" customHeight="1">
      <c r="A119" s="65" t="s">
        <v>143</v>
      </c>
      <c r="B119" s="20" t="s">
        <v>588</v>
      </c>
      <c r="C119" s="20" t="s">
        <v>16</v>
      </c>
      <c r="D119" s="20" t="s">
        <v>118</v>
      </c>
      <c r="E119" s="20" t="s">
        <v>144</v>
      </c>
      <c r="F119" s="31"/>
      <c r="G119" s="60">
        <f>G120</f>
        <v>1335000</v>
      </c>
      <c r="H119" s="117"/>
      <c r="I119" s="22">
        <f t="shared" si="1"/>
        <v>1335000</v>
      </c>
    </row>
    <row r="120" spans="1:9" ht="28.5" customHeight="1">
      <c r="A120" s="65" t="s">
        <v>145</v>
      </c>
      <c r="B120" s="20" t="s">
        <v>588</v>
      </c>
      <c r="C120" s="20" t="s">
        <v>16</v>
      </c>
      <c r="D120" s="20" t="s">
        <v>118</v>
      </c>
      <c r="E120" s="20" t="s">
        <v>146</v>
      </c>
      <c r="F120" s="31"/>
      <c r="G120" s="60">
        <f>G121</f>
        <v>1335000</v>
      </c>
      <c r="H120" s="117"/>
      <c r="I120" s="22">
        <f t="shared" si="1"/>
        <v>1335000</v>
      </c>
    </row>
    <row r="121" spans="1:9" ht="18.75" customHeight="1">
      <c r="A121" s="65" t="s">
        <v>147</v>
      </c>
      <c r="B121" s="20" t="s">
        <v>588</v>
      </c>
      <c r="C121" s="20" t="s">
        <v>16</v>
      </c>
      <c r="D121" s="20" t="s">
        <v>118</v>
      </c>
      <c r="E121" s="20" t="s">
        <v>148</v>
      </c>
      <c r="F121" s="31"/>
      <c r="G121" s="60">
        <f>G123+G122</f>
        <v>1335000</v>
      </c>
      <c r="H121" s="117"/>
      <c r="I121" s="22">
        <f t="shared" si="1"/>
        <v>1335000</v>
      </c>
    </row>
    <row r="122" spans="1:9" ht="39" hidden="1">
      <c r="A122" s="29" t="s">
        <v>25</v>
      </c>
      <c r="B122" s="20" t="s">
        <v>588</v>
      </c>
      <c r="C122" s="20" t="s">
        <v>16</v>
      </c>
      <c r="D122" s="20" t="s">
        <v>118</v>
      </c>
      <c r="E122" s="20" t="s">
        <v>148</v>
      </c>
      <c r="F122" s="31" t="s">
        <v>26</v>
      </c>
      <c r="G122" s="60"/>
      <c r="H122" s="117"/>
      <c r="I122" s="22">
        <f t="shared" si="1"/>
        <v>0</v>
      </c>
    </row>
    <row r="123" spans="1:9" ht="26.25">
      <c r="A123" s="29" t="s">
        <v>37</v>
      </c>
      <c r="B123" s="20" t="s">
        <v>588</v>
      </c>
      <c r="C123" s="20" t="s">
        <v>16</v>
      </c>
      <c r="D123" s="20" t="s">
        <v>118</v>
      </c>
      <c r="E123" s="20" t="s">
        <v>148</v>
      </c>
      <c r="F123" s="21" t="s">
        <v>38</v>
      </c>
      <c r="G123" s="60">
        <f>1250000+85000</f>
        <v>1335000</v>
      </c>
      <c r="H123" s="117"/>
      <c r="I123" s="22">
        <f t="shared" si="1"/>
        <v>1335000</v>
      </c>
    </row>
    <row r="124" spans="1:9" ht="39">
      <c r="A124" s="19" t="s">
        <v>56</v>
      </c>
      <c r="B124" s="20" t="s">
        <v>588</v>
      </c>
      <c r="C124" s="20" t="s">
        <v>16</v>
      </c>
      <c r="D124" s="20" t="s">
        <v>118</v>
      </c>
      <c r="E124" s="30" t="s">
        <v>57</v>
      </c>
      <c r="F124" s="21"/>
      <c r="G124" s="60">
        <f>G125</f>
        <v>230000</v>
      </c>
      <c r="H124" s="117"/>
      <c r="I124" s="22">
        <f t="shared" si="1"/>
        <v>230000</v>
      </c>
    </row>
    <row r="125" spans="1:9" ht="66.75" customHeight="1">
      <c r="A125" s="40" t="s">
        <v>58</v>
      </c>
      <c r="B125" s="20" t="s">
        <v>588</v>
      </c>
      <c r="C125" s="20" t="s">
        <v>16</v>
      </c>
      <c r="D125" s="20" t="s">
        <v>118</v>
      </c>
      <c r="E125" s="30" t="s">
        <v>59</v>
      </c>
      <c r="F125" s="21"/>
      <c r="G125" s="60">
        <f>G126</f>
        <v>230000</v>
      </c>
      <c r="H125" s="117"/>
      <c r="I125" s="22">
        <f t="shared" si="1"/>
        <v>230000</v>
      </c>
    </row>
    <row r="126" spans="1:9" ht="26.25">
      <c r="A126" s="41" t="s">
        <v>60</v>
      </c>
      <c r="B126" s="20" t="s">
        <v>588</v>
      </c>
      <c r="C126" s="20" t="s">
        <v>16</v>
      </c>
      <c r="D126" s="20" t="s">
        <v>118</v>
      </c>
      <c r="E126" s="30" t="s">
        <v>61</v>
      </c>
      <c r="F126" s="21"/>
      <c r="G126" s="60">
        <f>G127</f>
        <v>230000</v>
      </c>
      <c r="H126" s="117"/>
      <c r="I126" s="22">
        <f t="shared" si="1"/>
        <v>230000</v>
      </c>
    </row>
    <row r="127" spans="1:9" ht="26.25">
      <c r="A127" s="29" t="s">
        <v>151</v>
      </c>
      <c r="B127" s="20" t="s">
        <v>588</v>
      </c>
      <c r="C127" s="20" t="s">
        <v>16</v>
      </c>
      <c r="D127" s="20" t="s">
        <v>118</v>
      </c>
      <c r="E127" s="30" t="s">
        <v>152</v>
      </c>
      <c r="F127" s="21"/>
      <c r="G127" s="60">
        <f>G128</f>
        <v>230000</v>
      </c>
      <c r="H127" s="117"/>
      <c r="I127" s="22">
        <f t="shared" si="1"/>
        <v>230000</v>
      </c>
    </row>
    <row r="128" spans="1:9" ht="26.25">
      <c r="A128" s="29" t="s">
        <v>37</v>
      </c>
      <c r="B128" s="20" t="s">
        <v>588</v>
      </c>
      <c r="C128" s="20" t="s">
        <v>16</v>
      </c>
      <c r="D128" s="20" t="s">
        <v>118</v>
      </c>
      <c r="E128" s="30" t="s">
        <v>152</v>
      </c>
      <c r="F128" s="31" t="s">
        <v>38</v>
      </c>
      <c r="G128" s="60">
        <v>230000</v>
      </c>
      <c r="H128" s="117"/>
      <c r="I128" s="22">
        <f t="shared" si="1"/>
        <v>230000</v>
      </c>
    </row>
    <row r="129" spans="1:9" ht="39" hidden="1">
      <c r="A129" s="82" t="s">
        <v>153</v>
      </c>
      <c r="B129" s="20" t="s">
        <v>588</v>
      </c>
      <c r="C129" s="20" t="s">
        <v>16</v>
      </c>
      <c r="D129" s="20" t="s">
        <v>118</v>
      </c>
      <c r="E129" s="20" t="s">
        <v>154</v>
      </c>
      <c r="F129" s="21"/>
      <c r="G129" s="60">
        <f>G130</f>
        <v>0</v>
      </c>
      <c r="H129" s="117"/>
      <c r="I129" s="22">
        <f t="shared" si="1"/>
        <v>0</v>
      </c>
    </row>
    <row r="130" spans="1:9" ht="66" hidden="1">
      <c r="A130" s="65" t="s">
        <v>155</v>
      </c>
      <c r="B130" s="20" t="s">
        <v>588</v>
      </c>
      <c r="C130" s="20" t="s">
        <v>16</v>
      </c>
      <c r="D130" s="20" t="s">
        <v>118</v>
      </c>
      <c r="E130" s="20" t="s">
        <v>156</v>
      </c>
      <c r="F130" s="21"/>
      <c r="G130" s="60">
        <f>G131</f>
        <v>0</v>
      </c>
      <c r="H130" s="117"/>
      <c r="I130" s="22">
        <f t="shared" si="1"/>
        <v>0</v>
      </c>
    </row>
    <row r="131" spans="1:9" ht="26.25" hidden="1">
      <c r="A131" s="122" t="s">
        <v>157</v>
      </c>
      <c r="B131" s="20" t="s">
        <v>588</v>
      </c>
      <c r="C131" s="20" t="s">
        <v>16</v>
      </c>
      <c r="D131" s="20" t="s">
        <v>118</v>
      </c>
      <c r="E131" s="20" t="s">
        <v>158</v>
      </c>
      <c r="F131" s="21"/>
      <c r="G131" s="60">
        <f>G132</f>
        <v>0</v>
      </c>
      <c r="H131" s="117"/>
      <c r="I131" s="22">
        <f t="shared" si="1"/>
        <v>0</v>
      </c>
    </row>
    <row r="132" spans="1:9" ht="26.25" hidden="1">
      <c r="A132" s="41" t="s">
        <v>159</v>
      </c>
      <c r="B132" s="20" t="s">
        <v>588</v>
      </c>
      <c r="C132" s="20" t="s">
        <v>16</v>
      </c>
      <c r="D132" s="20" t="s">
        <v>118</v>
      </c>
      <c r="E132" s="20" t="s">
        <v>160</v>
      </c>
      <c r="F132" s="21"/>
      <c r="G132" s="60">
        <f>G133</f>
        <v>0</v>
      </c>
      <c r="H132" s="117"/>
      <c r="I132" s="22">
        <f t="shared" si="1"/>
        <v>0</v>
      </c>
    </row>
    <row r="133" spans="1:9" ht="26.25" hidden="1">
      <c r="A133" s="29" t="s">
        <v>37</v>
      </c>
      <c r="B133" s="20" t="s">
        <v>588</v>
      </c>
      <c r="C133" s="20" t="s">
        <v>16</v>
      </c>
      <c r="D133" s="20" t="s">
        <v>118</v>
      </c>
      <c r="E133" s="20" t="s">
        <v>160</v>
      </c>
      <c r="F133" s="21" t="s">
        <v>38</v>
      </c>
      <c r="G133" s="60"/>
      <c r="H133" s="117"/>
      <c r="I133" s="22">
        <f t="shared" si="1"/>
        <v>0</v>
      </c>
    </row>
    <row r="134" spans="1:9" ht="42" customHeight="1">
      <c r="A134" s="26" t="s">
        <v>64</v>
      </c>
      <c r="B134" s="20" t="s">
        <v>588</v>
      </c>
      <c r="C134" s="20" t="s">
        <v>16</v>
      </c>
      <c r="D134" s="20" t="s">
        <v>118</v>
      </c>
      <c r="E134" s="30" t="s">
        <v>65</v>
      </c>
      <c r="F134" s="21"/>
      <c r="G134" s="60">
        <f>G135</f>
        <v>799515</v>
      </c>
      <c r="H134" s="120"/>
      <c r="I134" s="22">
        <f t="shared" si="1"/>
        <v>799515</v>
      </c>
    </row>
    <row r="135" spans="1:9" ht="68.25" customHeight="1">
      <c r="A135" s="53" t="s">
        <v>161</v>
      </c>
      <c r="B135" s="20" t="s">
        <v>588</v>
      </c>
      <c r="C135" s="20" t="s">
        <v>16</v>
      </c>
      <c r="D135" s="20" t="s">
        <v>118</v>
      </c>
      <c r="E135" s="30" t="s">
        <v>162</v>
      </c>
      <c r="F135" s="21"/>
      <c r="G135" s="60">
        <f>G136</f>
        <v>799515</v>
      </c>
      <c r="H135" s="120"/>
      <c r="I135" s="22">
        <f t="shared" si="1"/>
        <v>799515</v>
      </c>
    </row>
    <row r="136" spans="1:9" ht="26.25">
      <c r="A136" s="40" t="s">
        <v>163</v>
      </c>
      <c r="B136" s="20" t="s">
        <v>588</v>
      </c>
      <c r="C136" s="20" t="s">
        <v>16</v>
      </c>
      <c r="D136" s="20" t="s">
        <v>118</v>
      </c>
      <c r="E136" s="45" t="s">
        <v>164</v>
      </c>
      <c r="F136" s="21"/>
      <c r="G136" s="60">
        <f>G137+G139</f>
        <v>799515</v>
      </c>
      <c r="H136" s="120"/>
      <c r="I136" s="22">
        <f t="shared" si="1"/>
        <v>799515</v>
      </c>
    </row>
    <row r="137" spans="1:9" ht="26.25">
      <c r="A137" s="29" t="s">
        <v>165</v>
      </c>
      <c r="B137" s="20" t="s">
        <v>588</v>
      </c>
      <c r="C137" s="20" t="s">
        <v>16</v>
      </c>
      <c r="D137" s="20" t="s">
        <v>118</v>
      </c>
      <c r="E137" s="45" t="s">
        <v>166</v>
      </c>
      <c r="F137" s="21"/>
      <c r="G137" s="60">
        <f>G138</f>
        <v>738515</v>
      </c>
      <c r="H137" s="117"/>
      <c r="I137" s="22">
        <f t="shared" si="1"/>
        <v>738515</v>
      </c>
    </row>
    <row r="138" spans="1:9" ht="26.25">
      <c r="A138" s="29" t="s">
        <v>37</v>
      </c>
      <c r="B138" s="20" t="s">
        <v>588</v>
      </c>
      <c r="C138" s="20" t="s">
        <v>16</v>
      </c>
      <c r="D138" s="20" t="s">
        <v>118</v>
      </c>
      <c r="E138" s="45" t="s">
        <v>166</v>
      </c>
      <c r="F138" s="21" t="s">
        <v>38</v>
      </c>
      <c r="G138" s="60">
        <f>1159600-421085</f>
        <v>738515</v>
      </c>
      <c r="H138" s="117"/>
      <c r="I138" s="22">
        <f t="shared" si="1"/>
        <v>738515</v>
      </c>
    </row>
    <row r="139" spans="1:9" ht="13.5">
      <c r="A139" s="29" t="s">
        <v>167</v>
      </c>
      <c r="B139" s="20" t="s">
        <v>588</v>
      </c>
      <c r="C139" s="20" t="s">
        <v>16</v>
      </c>
      <c r="D139" s="20" t="s">
        <v>118</v>
      </c>
      <c r="E139" s="45" t="s">
        <v>168</v>
      </c>
      <c r="F139" s="21"/>
      <c r="G139" s="60">
        <f>G140</f>
        <v>61000</v>
      </c>
      <c r="H139" s="117"/>
      <c r="I139" s="22">
        <f t="shared" si="1"/>
        <v>61000</v>
      </c>
    </row>
    <row r="140" spans="1:9" ht="26.25">
      <c r="A140" s="29" t="s">
        <v>37</v>
      </c>
      <c r="B140" s="20" t="s">
        <v>588</v>
      </c>
      <c r="C140" s="20" t="s">
        <v>16</v>
      </c>
      <c r="D140" s="20" t="s">
        <v>118</v>
      </c>
      <c r="E140" s="45" t="s">
        <v>168</v>
      </c>
      <c r="F140" s="21" t="s">
        <v>38</v>
      </c>
      <c r="G140" s="60">
        <f>61000+20000-20000</f>
        <v>61000</v>
      </c>
      <c r="H140" s="117"/>
      <c r="I140" s="22">
        <f t="shared" si="1"/>
        <v>61000</v>
      </c>
    </row>
    <row r="141" spans="1:9" ht="42.75" customHeight="1">
      <c r="A141" s="54" t="s">
        <v>169</v>
      </c>
      <c r="B141" s="20" t="s">
        <v>588</v>
      </c>
      <c r="C141" s="20" t="s">
        <v>16</v>
      </c>
      <c r="D141" s="20" t="s">
        <v>118</v>
      </c>
      <c r="E141" s="48" t="s">
        <v>170</v>
      </c>
      <c r="F141" s="21"/>
      <c r="G141" s="60">
        <f>G142+G146</f>
        <v>440000</v>
      </c>
      <c r="H141" s="117"/>
      <c r="I141" s="22">
        <f t="shared" si="1"/>
        <v>440000</v>
      </c>
    </row>
    <row r="142" spans="1:9" ht="51" customHeight="1" hidden="1">
      <c r="A142" s="71" t="s">
        <v>171</v>
      </c>
      <c r="B142" s="20" t="s">
        <v>588</v>
      </c>
      <c r="C142" s="20" t="s">
        <v>16</v>
      </c>
      <c r="D142" s="20" t="s">
        <v>118</v>
      </c>
      <c r="E142" s="48" t="s">
        <v>172</v>
      </c>
      <c r="F142" s="21"/>
      <c r="G142" s="60">
        <f>G143</f>
        <v>0</v>
      </c>
      <c r="H142" s="117"/>
      <c r="I142" s="22">
        <f t="shared" si="1"/>
        <v>0</v>
      </c>
    </row>
    <row r="143" spans="1:9" ht="26.25" hidden="1">
      <c r="A143" s="71" t="s">
        <v>173</v>
      </c>
      <c r="B143" s="20" t="s">
        <v>588</v>
      </c>
      <c r="C143" s="20" t="s">
        <v>16</v>
      </c>
      <c r="D143" s="20" t="s">
        <v>118</v>
      </c>
      <c r="E143" s="48" t="s">
        <v>174</v>
      </c>
      <c r="F143" s="21"/>
      <c r="G143" s="60">
        <f>G144</f>
        <v>0</v>
      </c>
      <c r="H143" s="117"/>
      <c r="I143" s="22">
        <f t="shared" si="1"/>
        <v>0</v>
      </c>
    </row>
    <row r="144" spans="1:9" ht="26.25" hidden="1">
      <c r="A144" s="29" t="s">
        <v>175</v>
      </c>
      <c r="B144" s="20" t="s">
        <v>588</v>
      </c>
      <c r="C144" s="20" t="s">
        <v>16</v>
      </c>
      <c r="D144" s="20" t="s">
        <v>118</v>
      </c>
      <c r="E144" s="48" t="s">
        <v>176</v>
      </c>
      <c r="F144" s="21"/>
      <c r="G144" s="60">
        <f>G145</f>
        <v>0</v>
      </c>
      <c r="H144" s="117"/>
      <c r="I144" s="22">
        <f t="shared" si="1"/>
        <v>0</v>
      </c>
    </row>
    <row r="145" spans="1:9" ht="26.25" hidden="1">
      <c r="A145" s="29" t="s">
        <v>37</v>
      </c>
      <c r="B145" s="20" t="s">
        <v>588</v>
      </c>
      <c r="C145" s="20" t="s">
        <v>16</v>
      </c>
      <c r="D145" s="20" t="s">
        <v>118</v>
      </c>
      <c r="E145" s="48" t="s">
        <v>176</v>
      </c>
      <c r="F145" s="21" t="s">
        <v>38</v>
      </c>
      <c r="G145" s="60">
        <f>15000-15000</f>
        <v>0</v>
      </c>
      <c r="H145" s="117"/>
      <c r="I145" s="22">
        <f t="shared" si="1"/>
        <v>0</v>
      </c>
    </row>
    <row r="146" spans="1:9" ht="59.25" customHeight="1">
      <c r="A146" s="71" t="s">
        <v>177</v>
      </c>
      <c r="B146" s="20" t="s">
        <v>588</v>
      </c>
      <c r="C146" s="20" t="s">
        <v>16</v>
      </c>
      <c r="D146" s="20" t="s">
        <v>118</v>
      </c>
      <c r="E146" s="48" t="s">
        <v>178</v>
      </c>
      <c r="F146" s="21"/>
      <c r="G146" s="60">
        <f>G147</f>
        <v>440000</v>
      </c>
      <c r="H146" s="117"/>
      <c r="I146" s="22">
        <f t="shared" si="1"/>
        <v>440000</v>
      </c>
    </row>
    <row r="147" spans="1:9" ht="13.5">
      <c r="A147" s="71" t="s">
        <v>179</v>
      </c>
      <c r="B147" s="20" t="s">
        <v>588</v>
      </c>
      <c r="C147" s="20" t="s">
        <v>16</v>
      </c>
      <c r="D147" s="20" t="s">
        <v>118</v>
      </c>
      <c r="E147" s="48" t="s">
        <v>180</v>
      </c>
      <c r="F147" s="21"/>
      <c r="G147" s="60">
        <f>G148</f>
        <v>440000</v>
      </c>
      <c r="H147" s="117"/>
      <c r="I147" s="22">
        <f t="shared" si="1"/>
        <v>440000</v>
      </c>
    </row>
    <row r="148" spans="1:9" ht="23.25" customHeight="1">
      <c r="A148" s="71" t="s">
        <v>139</v>
      </c>
      <c r="B148" s="20" t="s">
        <v>588</v>
      </c>
      <c r="C148" s="20" t="s">
        <v>16</v>
      </c>
      <c r="D148" s="20" t="s">
        <v>118</v>
      </c>
      <c r="E148" s="48" t="s">
        <v>181</v>
      </c>
      <c r="F148" s="21"/>
      <c r="G148" s="60">
        <f>G149</f>
        <v>440000</v>
      </c>
      <c r="H148" s="117"/>
      <c r="I148" s="22">
        <f t="shared" si="1"/>
        <v>440000</v>
      </c>
    </row>
    <row r="149" spans="1:9" ht="30" customHeight="1">
      <c r="A149" s="29" t="s">
        <v>37</v>
      </c>
      <c r="B149" s="20" t="s">
        <v>588</v>
      </c>
      <c r="C149" s="20" t="s">
        <v>16</v>
      </c>
      <c r="D149" s="20" t="s">
        <v>118</v>
      </c>
      <c r="E149" s="48" t="s">
        <v>181</v>
      </c>
      <c r="F149" s="21" t="s">
        <v>38</v>
      </c>
      <c r="G149" s="60">
        <v>440000</v>
      </c>
      <c r="H149" s="120"/>
      <c r="I149" s="22">
        <f t="shared" si="1"/>
        <v>440000</v>
      </c>
    </row>
    <row r="150" spans="1:9" ht="46.5" customHeight="1">
      <c r="A150" s="29" t="s">
        <v>592</v>
      </c>
      <c r="B150" s="20" t="s">
        <v>588</v>
      </c>
      <c r="C150" s="20" t="s">
        <v>16</v>
      </c>
      <c r="D150" s="20" t="s">
        <v>118</v>
      </c>
      <c r="E150" s="48" t="s">
        <v>183</v>
      </c>
      <c r="F150" s="55"/>
      <c r="G150" s="60">
        <f>G151</f>
        <v>1381292</v>
      </c>
      <c r="H150" s="117"/>
      <c r="I150" s="22">
        <f t="shared" si="1"/>
        <v>1381292</v>
      </c>
    </row>
    <row r="151" spans="1:9" ht="57.75" customHeight="1">
      <c r="A151" s="29" t="s">
        <v>184</v>
      </c>
      <c r="B151" s="20" t="s">
        <v>588</v>
      </c>
      <c r="C151" s="20" t="s">
        <v>16</v>
      </c>
      <c r="D151" s="20" t="s">
        <v>118</v>
      </c>
      <c r="E151" s="48" t="s">
        <v>185</v>
      </c>
      <c r="F151" s="55"/>
      <c r="G151" s="60">
        <f>G153</f>
        <v>1381292</v>
      </c>
      <c r="H151" s="117"/>
      <c r="I151" s="22">
        <f t="shared" si="1"/>
        <v>1381292</v>
      </c>
    </row>
    <row r="152" spans="1:9" ht="62.25" customHeight="1">
      <c r="A152" s="58" t="s">
        <v>186</v>
      </c>
      <c r="B152" s="20" t="s">
        <v>588</v>
      </c>
      <c r="C152" s="20" t="s">
        <v>16</v>
      </c>
      <c r="D152" s="20" t="s">
        <v>118</v>
      </c>
      <c r="E152" s="48" t="s">
        <v>187</v>
      </c>
      <c r="F152" s="55"/>
      <c r="G152" s="60">
        <f>G153</f>
        <v>1381292</v>
      </c>
      <c r="H152" s="117"/>
      <c r="I152" s="22">
        <f t="shared" si="1"/>
        <v>1381292</v>
      </c>
    </row>
    <row r="153" spans="1:9" ht="33.75" customHeight="1">
      <c r="A153" s="27" t="s">
        <v>188</v>
      </c>
      <c r="B153" s="20" t="s">
        <v>588</v>
      </c>
      <c r="C153" s="20" t="s">
        <v>16</v>
      </c>
      <c r="D153" s="20" t="s">
        <v>118</v>
      </c>
      <c r="E153" s="48" t="s">
        <v>189</v>
      </c>
      <c r="F153" s="55"/>
      <c r="G153" s="60">
        <f>G154+G155</f>
        <v>1381292</v>
      </c>
      <c r="H153" s="117"/>
      <c r="I153" s="22">
        <f t="shared" si="1"/>
        <v>1381292</v>
      </c>
    </row>
    <row r="154" spans="1:9" ht="41.25" customHeight="1">
      <c r="A154" s="29" t="s">
        <v>25</v>
      </c>
      <c r="B154" s="20" t="s">
        <v>588</v>
      </c>
      <c r="C154" s="20" t="s">
        <v>16</v>
      </c>
      <c r="D154" s="20" t="s">
        <v>118</v>
      </c>
      <c r="E154" s="48" t="s">
        <v>189</v>
      </c>
      <c r="F154" s="55" t="s">
        <v>26</v>
      </c>
      <c r="G154" s="60">
        <f>842580+46623+14080</f>
        <v>903283</v>
      </c>
      <c r="H154" s="120"/>
      <c r="I154" s="22">
        <f t="shared" si="1"/>
        <v>903283</v>
      </c>
    </row>
    <row r="155" spans="1:9" ht="30.75" customHeight="1">
      <c r="A155" s="29" t="s">
        <v>37</v>
      </c>
      <c r="B155" s="20" t="s">
        <v>588</v>
      </c>
      <c r="C155" s="20" t="s">
        <v>16</v>
      </c>
      <c r="D155" s="20" t="s">
        <v>118</v>
      </c>
      <c r="E155" s="48" t="s">
        <v>189</v>
      </c>
      <c r="F155" s="55" t="s">
        <v>38</v>
      </c>
      <c r="G155" s="60">
        <f>538712+15000-75703</f>
        <v>478009</v>
      </c>
      <c r="H155" s="120"/>
      <c r="I155" s="22">
        <f t="shared" si="1"/>
        <v>478009</v>
      </c>
    </row>
    <row r="156" spans="1:9" ht="30.75" customHeight="1">
      <c r="A156" s="29" t="s">
        <v>74</v>
      </c>
      <c r="B156" s="20" t="s">
        <v>588</v>
      </c>
      <c r="C156" s="20" t="s">
        <v>16</v>
      </c>
      <c r="D156" s="20" t="s">
        <v>118</v>
      </c>
      <c r="E156" s="20" t="s">
        <v>75</v>
      </c>
      <c r="F156" s="55"/>
      <c r="G156" s="60">
        <f>G157</f>
        <v>332701</v>
      </c>
      <c r="H156" s="120"/>
      <c r="I156" s="22">
        <f t="shared" si="1"/>
        <v>332701</v>
      </c>
    </row>
    <row r="157" spans="1:9" ht="30.75" customHeight="1">
      <c r="A157" s="27" t="s">
        <v>76</v>
      </c>
      <c r="B157" s="20" t="s">
        <v>588</v>
      </c>
      <c r="C157" s="20" t="s">
        <v>16</v>
      </c>
      <c r="D157" s="20" t="s">
        <v>118</v>
      </c>
      <c r="E157" s="20" t="s">
        <v>77</v>
      </c>
      <c r="F157" s="55"/>
      <c r="G157" s="60">
        <f>G158</f>
        <v>332701</v>
      </c>
      <c r="H157" s="120"/>
      <c r="I157" s="22">
        <f t="shared" si="1"/>
        <v>332701</v>
      </c>
    </row>
    <row r="158" spans="1:9" ht="30.75" customHeight="1">
      <c r="A158" s="47" t="s">
        <v>190</v>
      </c>
      <c r="B158" s="20" t="s">
        <v>588</v>
      </c>
      <c r="C158" s="20" t="s">
        <v>16</v>
      </c>
      <c r="D158" s="20" t="s">
        <v>118</v>
      </c>
      <c r="E158" s="20" t="s">
        <v>191</v>
      </c>
      <c r="F158" s="55"/>
      <c r="G158" s="60">
        <f>G159+G160</f>
        <v>332701</v>
      </c>
      <c r="H158" s="120"/>
      <c r="I158" s="22">
        <f t="shared" si="1"/>
        <v>332701</v>
      </c>
    </row>
    <row r="159" spans="1:9" ht="40.5" customHeight="1">
      <c r="A159" s="29" t="s">
        <v>25</v>
      </c>
      <c r="B159" s="20" t="s">
        <v>588</v>
      </c>
      <c r="C159" s="20" t="s">
        <v>16</v>
      </c>
      <c r="D159" s="20" t="s">
        <v>118</v>
      </c>
      <c r="E159" s="20" t="s">
        <v>191</v>
      </c>
      <c r="F159" s="55" t="s">
        <v>26</v>
      </c>
      <c r="G159" s="60">
        <v>332701</v>
      </c>
      <c r="H159" s="120"/>
      <c r="I159" s="22">
        <f t="shared" si="1"/>
        <v>332701</v>
      </c>
    </row>
    <row r="160" spans="1:9" ht="30.75" customHeight="1" hidden="1">
      <c r="A160" s="29" t="s">
        <v>37</v>
      </c>
      <c r="B160" s="20" t="s">
        <v>588</v>
      </c>
      <c r="C160" s="20" t="s">
        <v>16</v>
      </c>
      <c r="D160" s="20" t="s">
        <v>118</v>
      </c>
      <c r="E160" s="20" t="s">
        <v>191</v>
      </c>
      <c r="F160" s="55" t="s">
        <v>38</v>
      </c>
      <c r="G160" s="60"/>
      <c r="H160" s="120"/>
      <c r="I160" s="22">
        <f t="shared" si="1"/>
        <v>0</v>
      </c>
    </row>
    <row r="161" spans="1:9" ht="26.25">
      <c r="A161" s="29" t="s">
        <v>192</v>
      </c>
      <c r="B161" s="20" t="s">
        <v>588</v>
      </c>
      <c r="C161" s="20" t="s">
        <v>16</v>
      </c>
      <c r="D161" s="20" t="s">
        <v>118</v>
      </c>
      <c r="E161" s="30" t="s">
        <v>193</v>
      </c>
      <c r="F161" s="55"/>
      <c r="G161" s="60">
        <f>G162</f>
        <v>8437511.810000002</v>
      </c>
      <c r="H161" s="117"/>
      <c r="I161" s="22">
        <f t="shared" si="1"/>
        <v>8437511.810000002</v>
      </c>
    </row>
    <row r="162" spans="1:9" ht="21.75" customHeight="1">
      <c r="A162" s="29" t="s">
        <v>194</v>
      </c>
      <c r="B162" s="20" t="s">
        <v>588</v>
      </c>
      <c r="C162" s="20" t="s">
        <v>16</v>
      </c>
      <c r="D162" s="20" t="s">
        <v>118</v>
      </c>
      <c r="E162" s="30" t="s">
        <v>195</v>
      </c>
      <c r="F162" s="55"/>
      <c r="G162" s="60">
        <f>G163</f>
        <v>8437511.810000002</v>
      </c>
      <c r="H162" s="117"/>
      <c r="I162" s="22">
        <f t="shared" si="1"/>
        <v>8437511.810000002</v>
      </c>
    </row>
    <row r="163" spans="1:9" ht="23.25" customHeight="1">
      <c r="A163" s="26" t="s">
        <v>139</v>
      </c>
      <c r="B163" s="20" t="s">
        <v>588</v>
      </c>
      <c r="C163" s="20" t="s">
        <v>16</v>
      </c>
      <c r="D163" s="20" t="s">
        <v>118</v>
      </c>
      <c r="E163" s="30" t="s">
        <v>196</v>
      </c>
      <c r="F163" s="55"/>
      <c r="G163" s="60">
        <f>G164+G166+G165</f>
        <v>8437511.810000002</v>
      </c>
      <c r="H163" s="117"/>
      <c r="I163" s="22">
        <f t="shared" si="1"/>
        <v>8437511.810000002</v>
      </c>
    </row>
    <row r="164" spans="1:9" ht="30" customHeight="1">
      <c r="A164" s="29" t="s">
        <v>37</v>
      </c>
      <c r="B164" s="20" t="s">
        <v>588</v>
      </c>
      <c r="C164" s="20" t="s">
        <v>16</v>
      </c>
      <c r="D164" s="20" t="s">
        <v>118</v>
      </c>
      <c r="E164" s="30" t="s">
        <v>196</v>
      </c>
      <c r="F164" s="55" t="s">
        <v>38</v>
      </c>
      <c r="G164" s="60">
        <v>129815</v>
      </c>
      <c r="H164" s="117"/>
      <c r="I164" s="22">
        <f t="shared" si="1"/>
        <v>129815</v>
      </c>
    </row>
    <row r="165" spans="1:9" ht="21" customHeight="1" hidden="1">
      <c r="A165" s="77" t="s">
        <v>197</v>
      </c>
      <c r="B165" s="20" t="s">
        <v>588</v>
      </c>
      <c r="C165" s="20" t="s">
        <v>16</v>
      </c>
      <c r="D165" s="20" t="s">
        <v>118</v>
      </c>
      <c r="E165" s="30" t="s">
        <v>196</v>
      </c>
      <c r="F165" s="55" t="s">
        <v>198</v>
      </c>
      <c r="G165" s="60"/>
      <c r="H165" s="117"/>
      <c r="I165" s="22">
        <f t="shared" si="1"/>
        <v>0</v>
      </c>
    </row>
    <row r="166" spans="1:9" ht="17.25" customHeight="1">
      <c r="A166" s="41" t="s">
        <v>79</v>
      </c>
      <c r="B166" s="20" t="s">
        <v>588</v>
      </c>
      <c r="C166" s="20" t="s">
        <v>16</v>
      </c>
      <c r="D166" s="20" t="s">
        <v>118</v>
      </c>
      <c r="E166" s="30" t="s">
        <v>196</v>
      </c>
      <c r="F166" s="55" t="s">
        <v>80</v>
      </c>
      <c r="G166" s="60">
        <f>34002145.81+100000-20368566-5172411+440063-693535</f>
        <v>8307696.810000002</v>
      </c>
      <c r="H166" s="117"/>
      <c r="I166" s="22">
        <f t="shared" si="1"/>
        <v>8307696.810000002</v>
      </c>
    </row>
    <row r="167" spans="1:9" ht="20.25" customHeight="1">
      <c r="A167" s="26" t="s">
        <v>81</v>
      </c>
      <c r="B167" s="20" t="s">
        <v>588</v>
      </c>
      <c r="C167" s="59" t="s">
        <v>16</v>
      </c>
      <c r="D167" s="20" t="s">
        <v>118</v>
      </c>
      <c r="E167" s="45" t="s">
        <v>82</v>
      </c>
      <c r="F167" s="31"/>
      <c r="G167" s="60">
        <f>G168</f>
        <v>14191707</v>
      </c>
      <c r="H167" s="117"/>
      <c r="I167" s="22">
        <f t="shared" si="1"/>
        <v>14191707</v>
      </c>
    </row>
    <row r="168" spans="1:9" ht="18.75" customHeight="1">
      <c r="A168" s="26" t="s">
        <v>88</v>
      </c>
      <c r="B168" s="20" t="s">
        <v>588</v>
      </c>
      <c r="C168" s="20" t="s">
        <v>16</v>
      </c>
      <c r="D168" s="20" t="s">
        <v>118</v>
      </c>
      <c r="E168" s="20" t="s">
        <v>89</v>
      </c>
      <c r="F168" s="21"/>
      <c r="G168" s="60">
        <f>G169+G175+G177+G173</f>
        <v>14191707</v>
      </c>
      <c r="H168" s="117"/>
      <c r="I168" s="22">
        <f t="shared" si="1"/>
        <v>14191707</v>
      </c>
    </row>
    <row r="169" spans="1:9" ht="30" customHeight="1">
      <c r="A169" s="41" t="s">
        <v>199</v>
      </c>
      <c r="B169" s="20" t="s">
        <v>588</v>
      </c>
      <c r="C169" s="20" t="s">
        <v>16</v>
      </c>
      <c r="D169" s="20" t="s">
        <v>118</v>
      </c>
      <c r="E169" s="20" t="s">
        <v>200</v>
      </c>
      <c r="F169" s="21"/>
      <c r="G169" s="60">
        <f>G170+G171+G172</f>
        <v>13819280</v>
      </c>
      <c r="H169" s="117"/>
      <c r="I169" s="22">
        <f t="shared" si="1"/>
        <v>13819280</v>
      </c>
    </row>
    <row r="170" spans="1:9" ht="42" customHeight="1">
      <c r="A170" s="29" t="s">
        <v>25</v>
      </c>
      <c r="B170" s="20" t="s">
        <v>588</v>
      </c>
      <c r="C170" s="20" t="s">
        <v>16</v>
      </c>
      <c r="D170" s="20" t="s">
        <v>118</v>
      </c>
      <c r="E170" s="20" t="s">
        <v>200</v>
      </c>
      <c r="F170" s="31" t="s">
        <v>26</v>
      </c>
      <c r="G170" s="60">
        <v>6428500</v>
      </c>
      <c r="H170" s="117"/>
      <c r="I170" s="22">
        <f t="shared" si="1"/>
        <v>6428500</v>
      </c>
    </row>
    <row r="171" spans="1:9" ht="30" customHeight="1">
      <c r="A171" s="29" t="s">
        <v>37</v>
      </c>
      <c r="B171" s="20" t="s">
        <v>588</v>
      </c>
      <c r="C171" s="20" t="s">
        <v>16</v>
      </c>
      <c r="D171" s="20" t="s">
        <v>118</v>
      </c>
      <c r="E171" s="20" t="s">
        <v>200</v>
      </c>
      <c r="F171" s="31" t="s">
        <v>38</v>
      </c>
      <c r="G171" s="60">
        <f>8039700+103600-778520</f>
        <v>7364780</v>
      </c>
      <c r="H171" s="117"/>
      <c r="I171" s="22">
        <f t="shared" si="1"/>
        <v>7364780</v>
      </c>
    </row>
    <row r="172" spans="1:9" ht="21.75" customHeight="1">
      <c r="A172" s="41" t="s">
        <v>79</v>
      </c>
      <c r="B172" s="20" t="s">
        <v>588</v>
      </c>
      <c r="C172" s="20" t="s">
        <v>16</v>
      </c>
      <c r="D172" s="20" t="s">
        <v>118</v>
      </c>
      <c r="E172" s="20" t="s">
        <v>200</v>
      </c>
      <c r="F172" s="31" t="s">
        <v>80</v>
      </c>
      <c r="G172" s="60">
        <v>26000</v>
      </c>
      <c r="H172" s="117"/>
      <c r="I172" s="22">
        <f t="shared" si="1"/>
        <v>26000</v>
      </c>
    </row>
    <row r="173" spans="1:9" ht="21.75" customHeight="1">
      <c r="A173" s="26" t="s">
        <v>139</v>
      </c>
      <c r="B173" s="20" t="s">
        <v>588</v>
      </c>
      <c r="C173" s="20" t="s">
        <v>16</v>
      </c>
      <c r="D173" s="20" t="s">
        <v>118</v>
      </c>
      <c r="E173" s="20" t="s">
        <v>696</v>
      </c>
      <c r="F173" s="31"/>
      <c r="G173" s="60">
        <f>G174</f>
        <v>119527</v>
      </c>
      <c r="H173" s="120"/>
      <c r="I173" s="22">
        <f t="shared" si="1"/>
        <v>119527</v>
      </c>
    </row>
    <row r="174" spans="1:9" ht="35.25" customHeight="1">
      <c r="A174" s="29" t="s">
        <v>37</v>
      </c>
      <c r="B174" s="20" t="s">
        <v>588</v>
      </c>
      <c r="C174" s="20" t="s">
        <v>16</v>
      </c>
      <c r="D174" s="20" t="s">
        <v>118</v>
      </c>
      <c r="E174" s="20" t="s">
        <v>696</v>
      </c>
      <c r="F174" s="31" t="s">
        <v>38</v>
      </c>
      <c r="G174" s="60">
        <v>119527</v>
      </c>
      <c r="H174" s="120"/>
      <c r="I174" s="22">
        <f t="shared" si="1"/>
        <v>119527</v>
      </c>
    </row>
    <row r="175" spans="1:9" ht="21" customHeight="1">
      <c r="A175" s="65" t="s">
        <v>201</v>
      </c>
      <c r="B175" s="20" t="s">
        <v>588</v>
      </c>
      <c r="C175" s="20" t="s">
        <v>16</v>
      </c>
      <c r="D175" s="20" t="s">
        <v>118</v>
      </c>
      <c r="E175" s="20" t="s">
        <v>202</v>
      </c>
      <c r="F175" s="31"/>
      <c r="G175" s="60">
        <f>G176</f>
        <v>100000</v>
      </c>
      <c r="H175" s="117"/>
      <c r="I175" s="22">
        <f t="shared" si="1"/>
        <v>100000</v>
      </c>
    </row>
    <row r="176" spans="1:9" ht="30" customHeight="1">
      <c r="A176" s="29" t="s">
        <v>37</v>
      </c>
      <c r="B176" s="20" t="s">
        <v>588</v>
      </c>
      <c r="C176" s="20" t="s">
        <v>16</v>
      </c>
      <c r="D176" s="20" t="s">
        <v>118</v>
      </c>
      <c r="E176" s="20" t="s">
        <v>202</v>
      </c>
      <c r="F176" s="31" t="s">
        <v>38</v>
      </c>
      <c r="G176" s="60">
        <v>100000</v>
      </c>
      <c r="H176" s="120"/>
      <c r="I176" s="22">
        <f t="shared" si="1"/>
        <v>100000</v>
      </c>
    </row>
    <row r="177" spans="1:9" ht="30" customHeight="1">
      <c r="A177" s="29" t="s">
        <v>203</v>
      </c>
      <c r="B177" s="20" t="s">
        <v>588</v>
      </c>
      <c r="C177" s="20" t="s">
        <v>16</v>
      </c>
      <c r="D177" s="20" t="s">
        <v>118</v>
      </c>
      <c r="E177" s="20" t="s">
        <v>204</v>
      </c>
      <c r="F177" s="31"/>
      <c r="G177" s="60">
        <f>G178</f>
        <v>152900</v>
      </c>
      <c r="H177" s="117"/>
      <c r="I177" s="22">
        <f t="shared" si="1"/>
        <v>152900</v>
      </c>
    </row>
    <row r="178" spans="1:9" ht="13.5">
      <c r="A178" s="29" t="s">
        <v>197</v>
      </c>
      <c r="B178" s="20" t="s">
        <v>588</v>
      </c>
      <c r="C178" s="20" t="s">
        <v>16</v>
      </c>
      <c r="D178" s="20" t="s">
        <v>118</v>
      </c>
      <c r="E178" s="20" t="s">
        <v>204</v>
      </c>
      <c r="F178" s="31" t="s">
        <v>198</v>
      </c>
      <c r="G178" s="60">
        <v>152900</v>
      </c>
      <c r="H178" s="120"/>
      <c r="I178" s="22">
        <f t="shared" si="1"/>
        <v>152900</v>
      </c>
    </row>
    <row r="179" spans="1:9" ht="13.5" hidden="1">
      <c r="A179" s="26" t="s">
        <v>205</v>
      </c>
      <c r="B179" s="20" t="s">
        <v>588</v>
      </c>
      <c r="C179" s="59" t="s">
        <v>16</v>
      </c>
      <c r="D179" s="20" t="s">
        <v>118</v>
      </c>
      <c r="E179" s="45" t="s">
        <v>206</v>
      </c>
      <c r="F179" s="31"/>
      <c r="G179" s="60">
        <f>G180</f>
        <v>0</v>
      </c>
      <c r="H179" s="117"/>
      <c r="I179" s="22">
        <f t="shared" si="1"/>
        <v>0</v>
      </c>
    </row>
    <row r="180" spans="1:9" ht="13.5" hidden="1">
      <c r="A180" s="29" t="s">
        <v>109</v>
      </c>
      <c r="B180" s="20" t="s">
        <v>588</v>
      </c>
      <c r="C180" s="59" t="s">
        <v>16</v>
      </c>
      <c r="D180" s="20" t="s">
        <v>118</v>
      </c>
      <c r="E180" s="45" t="s">
        <v>207</v>
      </c>
      <c r="F180" s="31"/>
      <c r="G180" s="60">
        <f>G181</f>
        <v>0</v>
      </c>
      <c r="H180" s="117"/>
      <c r="I180" s="22">
        <f t="shared" si="1"/>
        <v>0</v>
      </c>
    </row>
    <row r="181" spans="1:9" ht="13.5" hidden="1">
      <c r="A181" s="29" t="s">
        <v>208</v>
      </c>
      <c r="B181" s="20" t="s">
        <v>588</v>
      </c>
      <c r="C181" s="59" t="s">
        <v>16</v>
      </c>
      <c r="D181" s="20" t="s">
        <v>118</v>
      </c>
      <c r="E181" s="45" t="s">
        <v>209</v>
      </c>
      <c r="F181" s="31"/>
      <c r="G181" s="60">
        <f>G182</f>
        <v>0</v>
      </c>
      <c r="H181" s="117"/>
      <c r="I181" s="22">
        <f t="shared" si="1"/>
        <v>0</v>
      </c>
    </row>
    <row r="182" spans="1:9" ht="13.5" hidden="1">
      <c r="A182" s="61" t="s">
        <v>210</v>
      </c>
      <c r="B182" s="20" t="s">
        <v>588</v>
      </c>
      <c r="C182" s="59" t="s">
        <v>16</v>
      </c>
      <c r="D182" s="20" t="s">
        <v>118</v>
      </c>
      <c r="E182" s="45" t="s">
        <v>209</v>
      </c>
      <c r="F182" s="31" t="s">
        <v>211</v>
      </c>
      <c r="G182" s="60"/>
      <c r="H182" s="117"/>
      <c r="I182" s="22">
        <f t="shared" si="1"/>
        <v>0</v>
      </c>
    </row>
    <row r="183" spans="1:9" ht="24" customHeight="1">
      <c r="A183" s="67" t="s">
        <v>212</v>
      </c>
      <c r="B183" s="20" t="s">
        <v>588</v>
      </c>
      <c r="C183" s="20" t="s">
        <v>28</v>
      </c>
      <c r="D183" s="20" t="s">
        <v>213</v>
      </c>
      <c r="E183" s="45"/>
      <c r="F183" s="31"/>
      <c r="G183" s="60">
        <f>G184</f>
        <v>151000</v>
      </c>
      <c r="H183" s="117"/>
      <c r="I183" s="22">
        <f t="shared" si="1"/>
        <v>151000</v>
      </c>
    </row>
    <row r="184" spans="1:9" ht="27.75" customHeight="1">
      <c r="A184" s="91" t="s">
        <v>214</v>
      </c>
      <c r="B184" s="20" t="s">
        <v>588</v>
      </c>
      <c r="C184" s="20" t="s">
        <v>28</v>
      </c>
      <c r="D184" s="20" t="s">
        <v>215</v>
      </c>
      <c r="E184" s="45"/>
      <c r="F184" s="31"/>
      <c r="G184" s="60">
        <f>G185</f>
        <v>151000</v>
      </c>
      <c r="H184" s="117"/>
      <c r="I184" s="22">
        <f t="shared" si="1"/>
        <v>151000</v>
      </c>
    </row>
    <row r="185" spans="1:9" ht="54.75" customHeight="1">
      <c r="A185" s="40" t="s">
        <v>216</v>
      </c>
      <c r="B185" s="20" t="s">
        <v>588</v>
      </c>
      <c r="C185" s="20" t="s">
        <v>28</v>
      </c>
      <c r="D185" s="20" t="s">
        <v>215</v>
      </c>
      <c r="E185" s="48" t="s">
        <v>217</v>
      </c>
      <c r="F185" s="31"/>
      <c r="G185" s="60">
        <f>G186</f>
        <v>151000</v>
      </c>
      <c r="H185" s="117"/>
      <c r="I185" s="22">
        <f t="shared" si="1"/>
        <v>151000</v>
      </c>
    </row>
    <row r="186" spans="1:9" ht="86.25" customHeight="1">
      <c r="A186" s="71" t="s">
        <v>218</v>
      </c>
      <c r="B186" s="20" t="s">
        <v>588</v>
      </c>
      <c r="C186" s="20" t="s">
        <v>28</v>
      </c>
      <c r="D186" s="20" t="s">
        <v>215</v>
      </c>
      <c r="E186" s="48" t="s">
        <v>219</v>
      </c>
      <c r="F186" s="31"/>
      <c r="G186" s="60">
        <f>G187+G190+G193+G196+G199</f>
        <v>151000</v>
      </c>
      <c r="H186" s="117"/>
      <c r="I186" s="22">
        <f t="shared" si="1"/>
        <v>151000</v>
      </c>
    </row>
    <row r="187" spans="1:9" ht="0.75" customHeight="1" hidden="1">
      <c r="A187" s="71" t="s">
        <v>220</v>
      </c>
      <c r="B187" s="20" t="s">
        <v>588</v>
      </c>
      <c r="C187" s="20" t="s">
        <v>28</v>
      </c>
      <c r="D187" s="20" t="s">
        <v>215</v>
      </c>
      <c r="E187" s="48" t="s">
        <v>221</v>
      </c>
      <c r="F187" s="31"/>
      <c r="G187" s="60">
        <f>G188</f>
        <v>0</v>
      </c>
      <c r="H187" s="117"/>
      <c r="I187" s="22">
        <f t="shared" si="1"/>
        <v>0</v>
      </c>
    </row>
    <row r="188" spans="1:9" ht="39" customHeight="1" hidden="1">
      <c r="A188" s="29" t="s">
        <v>222</v>
      </c>
      <c r="B188" s="20" t="s">
        <v>588</v>
      </c>
      <c r="C188" s="20" t="s">
        <v>28</v>
      </c>
      <c r="D188" s="20" t="s">
        <v>215</v>
      </c>
      <c r="E188" s="48" t="s">
        <v>223</v>
      </c>
      <c r="F188" s="31"/>
      <c r="G188" s="60">
        <f>G189</f>
        <v>0</v>
      </c>
      <c r="H188" s="117"/>
      <c r="I188" s="22">
        <f t="shared" si="1"/>
        <v>0</v>
      </c>
    </row>
    <row r="189" spans="1:9" ht="26.25" customHeight="1" hidden="1">
      <c r="A189" s="29" t="s">
        <v>37</v>
      </c>
      <c r="B189" s="20" t="s">
        <v>588</v>
      </c>
      <c r="C189" s="20" t="s">
        <v>28</v>
      </c>
      <c r="D189" s="20" t="s">
        <v>215</v>
      </c>
      <c r="E189" s="48" t="s">
        <v>223</v>
      </c>
      <c r="F189" s="31" t="s">
        <v>38</v>
      </c>
      <c r="G189" s="60"/>
      <c r="H189" s="117"/>
      <c r="I189" s="22">
        <f t="shared" si="1"/>
        <v>0</v>
      </c>
    </row>
    <row r="190" spans="1:9" ht="60.75" customHeight="1">
      <c r="A190" s="71" t="s">
        <v>224</v>
      </c>
      <c r="B190" s="20" t="s">
        <v>588</v>
      </c>
      <c r="C190" s="20" t="s">
        <v>28</v>
      </c>
      <c r="D190" s="20" t="s">
        <v>215</v>
      </c>
      <c r="E190" s="48" t="s">
        <v>225</v>
      </c>
      <c r="F190" s="31"/>
      <c r="G190" s="60">
        <f>G191</f>
        <v>51000</v>
      </c>
      <c r="H190" s="117"/>
      <c r="I190" s="22">
        <f t="shared" si="1"/>
        <v>51000</v>
      </c>
    </row>
    <row r="191" spans="1:9" ht="43.5" customHeight="1">
      <c r="A191" s="29" t="s">
        <v>222</v>
      </c>
      <c r="B191" s="20" t="s">
        <v>588</v>
      </c>
      <c r="C191" s="20" t="s">
        <v>28</v>
      </c>
      <c r="D191" s="20" t="s">
        <v>215</v>
      </c>
      <c r="E191" s="48" t="s">
        <v>226</v>
      </c>
      <c r="F191" s="31"/>
      <c r="G191" s="60">
        <f>G192</f>
        <v>51000</v>
      </c>
      <c r="H191" s="117"/>
      <c r="I191" s="22">
        <f t="shared" si="1"/>
        <v>51000</v>
      </c>
    </row>
    <row r="192" spans="1:9" ht="30.75" customHeight="1">
      <c r="A192" s="29" t="s">
        <v>37</v>
      </c>
      <c r="B192" s="20" t="s">
        <v>588</v>
      </c>
      <c r="C192" s="20" t="s">
        <v>28</v>
      </c>
      <c r="D192" s="20" t="s">
        <v>215</v>
      </c>
      <c r="E192" s="48" t="s">
        <v>226</v>
      </c>
      <c r="F192" s="31" t="s">
        <v>38</v>
      </c>
      <c r="G192" s="60">
        <v>51000</v>
      </c>
      <c r="H192" s="120"/>
      <c r="I192" s="22">
        <f t="shared" si="1"/>
        <v>51000</v>
      </c>
    </row>
    <row r="193" spans="1:9" ht="28.5" customHeight="1" hidden="1">
      <c r="A193" s="71" t="s">
        <v>227</v>
      </c>
      <c r="B193" s="20" t="s">
        <v>588</v>
      </c>
      <c r="C193" s="20" t="s">
        <v>28</v>
      </c>
      <c r="D193" s="20" t="s">
        <v>215</v>
      </c>
      <c r="E193" s="48" t="s">
        <v>228</v>
      </c>
      <c r="F193" s="31"/>
      <c r="G193" s="60">
        <f>G194</f>
        <v>0</v>
      </c>
      <c r="H193" s="117"/>
      <c r="I193" s="22">
        <f t="shared" si="1"/>
        <v>0</v>
      </c>
    </row>
    <row r="194" spans="1:9" ht="30" customHeight="1" hidden="1">
      <c r="A194" s="29" t="s">
        <v>222</v>
      </c>
      <c r="B194" s="20" t="s">
        <v>588</v>
      </c>
      <c r="C194" s="20" t="s">
        <v>28</v>
      </c>
      <c r="D194" s="20" t="s">
        <v>215</v>
      </c>
      <c r="E194" s="48" t="s">
        <v>229</v>
      </c>
      <c r="F194" s="31"/>
      <c r="G194" s="60">
        <f>G195</f>
        <v>0</v>
      </c>
      <c r="H194" s="117"/>
      <c r="I194" s="22">
        <f t="shared" si="1"/>
        <v>0</v>
      </c>
    </row>
    <row r="195" spans="1:9" ht="26.25" hidden="1">
      <c r="A195" s="29" t="s">
        <v>37</v>
      </c>
      <c r="B195" s="20" t="s">
        <v>588</v>
      </c>
      <c r="C195" s="20" t="s">
        <v>28</v>
      </c>
      <c r="D195" s="20" t="s">
        <v>215</v>
      </c>
      <c r="E195" s="48" t="s">
        <v>229</v>
      </c>
      <c r="F195" s="31" t="s">
        <v>38</v>
      </c>
      <c r="G195" s="60"/>
      <c r="H195" s="117"/>
      <c r="I195" s="22">
        <f t="shared" si="1"/>
        <v>0</v>
      </c>
    </row>
    <row r="196" spans="1:9" ht="26.25" hidden="1">
      <c r="A196" s="71" t="s">
        <v>230</v>
      </c>
      <c r="B196" s="20" t="s">
        <v>588</v>
      </c>
      <c r="C196" s="20" t="s">
        <v>28</v>
      </c>
      <c r="D196" s="20" t="s">
        <v>215</v>
      </c>
      <c r="E196" s="48" t="s">
        <v>231</v>
      </c>
      <c r="F196" s="31"/>
      <c r="G196" s="60">
        <f>G197</f>
        <v>0</v>
      </c>
      <c r="H196" s="117"/>
      <c r="I196" s="22">
        <f t="shared" si="1"/>
        <v>0</v>
      </c>
    </row>
    <row r="197" spans="1:9" ht="39" hidden="1">
      <c r="A197" s="29" t="s">
        <v>222</v>
      </c>
      <c r="B197" s="20" t="s">
        <v>588</v>
      </c>
      <c r="C197" s="20" t="s">
        <v>28</v>
      </c>
      <c r="D197" s="20" t="s">
        <v>215</v>
      </c>
      <c r="E197" s="48" t="s">
        <v>711</v>
      </c>
      <c r="F197" s="31"/>
      <c r="G197" s="60">
        <f>G198</f>
        <v>0</v>
      </c>
      <c r="H197" s="117"/>
      <c r="I197" s="22">
        <f t="shared" si="1"/>
        <v>0</v>
      </c>
    </row>
    <row r="198" spans="1:9" ht="26.25">
      <c r="A198" s="29" t="s">
        <v>37</v>
      </c>
      <c r="B198" s="20" t="s">
        <v>588</v>
      </c>
      <c r="C198" s="20" t="s">
        <v>28</v>
      </c>
      <c r="D198" s="20" t="s">
        <v>215</v>
      </c>
      <c r="E198" s="48" t="s">
        <v>711</v>
      </c>
      <c r="F198" s="31" t="s">
        <v>38</v>
      </c>
      <c r="G198" s="60"/>
      <c r="H198" s="117"/>
      <c r="I198" s="22">
        <f t="shared" si="1"/>
        <v>0</v>
      </c>
    </row>
    <row r="199" spans="1:9" ht="26.25">
      <c r="A199" s="202" t="s">
        <v>726</v>
      </c>
      <c r="B199" s="20" t="s">
        <v>588</v>
      </c>
      <c r="C199" s="20" t="s">
        <v>28</v>
      </c>
      <c r="D199" s="20" t="s">
        <v>215</v>
      </c>
      <c r="E199" s="48" t="s">
        <v>704</v>
      </c>
      <c r="F199" s="31"/>
      <c r="G199" s="60">
        <f>G200</f>
        <v>100000</v>
      </c>
      <c r="H199" s="117"/>
      <c r="I199" s="22">
        <f t="shared" si="1"/>
        <v>100000</v>
      </c>
    </row>
    <row r="200" spans="1:9" ht="26.25">
      <c r="A200" s="186" t="s">
        <v>725</v>
      </c>
      <c r="B200" s="20" t="s">
        <v>588</v>
      </c>
      <c r="C200" s="20" t="s">
        <v>28</v>
      </c>
      <c r="D200" s="20" t="s">
        <v>215</v>
      </c>
      <c r="E200" s="48" t="s">
        <v>705</v>
      </c>
      <c r="F200" s="31"/>
      <c r="G200" s="60">
        <f>G201</f>
        <v>100000</v>
      </c>
      <c r="H200" s="117"/>
      <c r="I200" s="22">
        <f t="shared" si="1"/>
        <v>100000</v>
      </c>
    </row>
    <row r="201" spans="1:9" ht="26.25">
      <c r="A201" s="29" t="s">
        <v>37</v>
      </c>
      <c r="B201" s="20" t="s">
        <v>588</v>
      </c>
      <c r="C201" s="20" t="s">
        <v>28</v>
      </c>
      <c r="D201" s="20" t="s">
        <v>215</v>
      </c>
      <c r="E201" s="48" t="s">
        <v>705</v>
      </c>
      <c r="F201" s="31" t="s">
        <v>38</v>
      </c>
      <c r="G201" s="60">
        <f>100000</f>
        <v>100000</v>
      </c>
      <c r="H201" s="117"/>
      <c r="I201" s="22">
        <f t="shared" si="1"/>
        <v>100000</v>
      </c>
    </row>
    <row r="202" spans="1:13" ht="24.75" customHeight="1">
      <c r="A202" s="26" t="s">
        <v>233</v>
      </c>
      <c r="B202" s="20" t="s">
        <v>588</v>
      </c>
      <c r="C202" s="20" t="s">
        <v>41</v>
      </c>
      <c r="D202" s="20"/>
      <c r="E202" s="20"/>
      <c r="F202" s="21"/>
      <c r="G202" s="60">
        <f>G203+G210+G239</f>
        <v>23216052.5</v>
      </c>
      <c r="H202" s="60">
        <f>H203+H210+H239</f>
        <v>611130</v>
      </c>
      <c r="I202" s="22">
        <f t="shared" si="1"/>
        <v>23827182.5</v>
      </c>
      <c r="K202" s="28"/>
      <c r="M202" s="28"/>
    </row>
    <row r="203" spans="1:9" ht="13.5">
      <c r="A203" s="26" t="s">
        <v>234</v>
      </c>
      <c r="B203" s="20" t="s">
        <v>588</v>
      </c>
      <c r="C203" s="20" t="s">
        <v>41</v>
      </c>
      <c r="D203" s="20" t="s">
        <v>235</v>
      </c>
      <c r="E203" s="20"/>
      <c r="F203" s="21"/>
      <c r="G203" s="60">
        <f>G204</f>
        <v>1599256</v>
      </c>
      <c r="H203" s="117"/>
      <c r="I203" s="22">
        <f t="shared" si="1"/>
        <v>1599256</v>
      </c>
    </row>
    <row r="204" spans="1:9" ht="46.5" customHeight="1">
      <c r="A204" s="64" t="s">
        <v>153</v>
      </c>
      <c r="B204" s="20" t="s">
        <v>588</v>
      </c>
      <c r="C204" s="20" t="s">
        <v>41</v>
      </c>
      <c r="D204" s="20" t="s">
        <v>235</v>
      </c>
      <c r="E204" s="48" t="s">
        <v>154</v>
      </c>
      <c r="F204" s="21"/>
      <c r="G204" s="60">
        <f>G205</f>
        <v>1599256</v>
      </c>
      <c r="H204" s="117"/>
      <c r="I204" s="22">
        <f t="shared" si="1"/>
        <v>1599256</v>
      </c>
    </row>
    <row r="205" spans="1:9" ht="61.5" customHeight="1">
      <c r="A205" s="69" t="s">
        <v>236</v>
      </c>
      <c r="B205" s="20" t="s">
        <v>588</v>
      </c>
      <c r="C205" s="20" t="s">
        <v>41</v>
      </c>
      <c r="D205" s="20" t="s">
        <v>235</v>
      </c>
      <c r="E205" s="48" t="s">
        <v>237</v>
      </c>
      <c r="F205" s="21"/>
      <c r="G205" s="60">
        <f>G206</f>
        <v>1599256</v>
      </c>
      <c r="H205" s="117"/>
      <c r="I205" s="22">
        <f t="shared" si="1"/>
        <v>1599256</v>
      </c>
    </row>
    <row r="206" spans="1:9" ht="32.25" customHeight="1">
      <c r="A206" s="41" t="s">
        <v>238</v>
      </c>
      <c r="B206" s="20" t="s">
        <v>588</v>
      </c>
      <c r="C206" s="20" t="s">
        <v>41</v>
      </c>
      <c r="D206" s="20" t="s">
        <v>235</v>
      </c>
      <c r="E206" s="48" t="s">
        <v>239</v>
      </c>
      <c r="F206" s="21"/>
      <c r="G206" s="60">
        <f>G207</f>
        <v>1599256</v>
      </c>
      <c r="H206" s="117"/>
      <c r="I206" s="22">
        <f t="shared" si="1"/>
        <v>1599256</v>
      </c>
    </row>
    <row r="207" spans="1:9" ht="13.5">
      <c r="A207" s="26" t="s">
        <v>240</v>
      </c>
      <c r="B207" s="20" t="s">
        <v>588</v>
      </c>
      <c r="C207" s="20" t="s">
        <v>41</v>
      </c>
      <c r="D207" s="20" t="s">
        <v>235</v>
      </c>
      <c r="E207" s="48" t="s">
        <v>241</v>
      </c>
      <c r="F207" s="21"/>
      <c r="G207" s="60">
        <f>G209+G208</f>
        <v>1599256</v>
      </c>
      <c r="H207" s="117"/>
      <c r="I207" s="22">
        <f t="shared" si="1"/>
        <v>1599256</v>
      </c>
    </row>
    <row r="208" spans="1:9" ht="26.25">
      <c r="A208" s="29" t="s">
        <v>37</v>
      </c>
      <c r="B208" s="20" t="s">
        <v>588</v>
      </c>
      <c r="C208" s="20" t="s">
        <v>41</v>
      </c>
      <c r="D208" s="20" t="s">
        <v>235</v>
      </c>
      <c r="E208" s="48" t="s">
        <v>241</v>
      </c>
      <c r="F208" s="21" t="s">
        <v>38</v>
      </c>
      <c r="G208" s="60">
        <v>10000</v>
      </c>
      <c r="H208" s="120"/>
      <c r="I208" s="22">
        <f t="shared" si="1"/>
        <v>10000</v>
      </c>
    </row>
    <row r="209" spans="1:9" ht="13.5">
      <c r="A209" s="29" t="s">
        <v>79</v>
      </c>
      <c r="B209" s="20" t="s">
        <v>588</v>
      </c>
      <c r="C209" s="20" t="s">
        <v>41</v>
      </c>
      <c r="D209" s="20" t="s">
        <v>235</v>
      </c>
      <c r="E209" s="48" t="s">
        <v>241</v>
      </c>
      <c r="F209" s="21" t="s">
        <v>80</v>
      </c>
      <c r="G209" s="60">
        <f>901000+688256</f>
        <v>1589256</v>
      </c>
      <c r="H209" s="120"/>
      <c r="I209" s="22">
        <f t="shared" si="1"/>
        <v>1589256</v>
      </c>
    </row>
    <row r="210" spans="1:9" ht="13.5">
      <c r="A210" s="26" t="s">
        <v>242</v>
      </c>
      <c r="B210" s="20" t="s">
        <v>588</v>
      </c>
      <c r="C210" s="20" t="s">
        <v>41</v>
      </c>
      <c r="D210" s="20" t="s">
        <v>215</v>
      </c>
      <c r="E210" s="20"/>
      <c r="F210" s="21"/>
      <c r="G210" s="60">
        <f>G211+G235</f>
        <v>17598613.5</v>
      </c>
      <c r="H210" s="60">
        <f>H211</f>
        <v>611130</v>
      </c>
      <c r="I210" s="22">
        <f>G210+H210</f>
        <v>18209743.5</v>
      </c>
    </row>
    <row r="211" spans="1:9" ht="45.75" customHeight="1">
      <c r="A211" s="64" t="s">
        <v>153</v>
      </c>
      <c r="B211" s="20" t="s">
        <v>588</v>
      </c>
      <c r="C211" s="20" t="s">
        <v>41</v>
      </c>
      <c r="D211" s="20" t="s">
        <v>215</v>
      </c>
      <c r="E211" s="48" t="s">
        <v>154</v>
      </c>
      <c r="F211" s="21"/>
      <c r="G211" s="60">
        <f>G212+G231</f>
        <v>17598613.5</v>
      </c>
      <c r="H211" s="60">
        <f>H212</f>
        <v>611130</v>
      </c>
      <c r="I211" s="22">
        <f>I212+I231</f>
        <v>18209743.5</v>
      </c>
    </row>
    <row r="212" spans="1:10" ht="66">
      <c r="A212" s="65" t="s">
        <v>243</v>
      </c>
      <c r="B212" s="20" t="s">
        <v>588</v>
      </c>
      <c r="C212" s="20" t="s">
        <v>41</v>
      </c>
      <c r="D212" s="20" t="s">
        <v>215</v>
      </c>
      <c r="E212" s="48" t="s">
        <v>244</v>
      </c>
      <c r="F212" s="21"/>
      <c r="G212" s="60">
        <f>G213+G220</f>
        <v>17355613.5</v>
      </c>
      <c r="H212" s="60">
        <f>H213+H220</f>
        <v>611130</v>
      </c>
      <c r="I212" s="22">
        <f>G212+H212</f>
        <v>17966743.5</v>
      </c>
      <c r="J212" s="28"/>
    </row>
    <row r="213" spans="1:9" ht="26.25">
      <c r="A213" s="41" t="s">
        <v>245</v>
      </c>
      <c r="B213" s="20" t="s">
        <v>588</v>
      </c>
      <c r="C213" s="20" t="s">
        <v>41</v>
      </c>
      <c r="D213" s="20" t="s">
        <v>215</v>
      </c>
      <c r="E213" s="48" t="s">
        <v>246</v>
      </c>
      <c r="F213" s="21"/>
      <c r="G213" s="60">
        <f>G214+G216+G218</f>
        <v>12811613.5</v>
      </c>
      <c r="H213" s="60">
        <f>H214+H216</f>
        <v>461130</v>
      </c>
      <c r="I213" s="22">
        <f t="shared" si="1"/>
        <v>13272743.5</v>
      </c>
    </row>
    <row r="214" spans="1:9" ht="13.5">
      <c r="A214" s="29" t="s">
        <v>251</v>
      </c>
      <c r="B214" s="20" t="s">
        <v>588</v>
      </c>
      <c r="C214" s="20" t="s">
        <v>41</v>
      </c>
      <c r="D214" s="20" t="s">
        <v>215</v>
      </c>
      <c r="E214" s="48" t="s">
        <v>677</v>
      </c>
      <c r="F214" s="21"/>
      <c r="G214" s="60">
        <f>G215</f>
        <v>5533573</v>
      </c>
      <c r="H214" s="117"/>
      <c r="I214" s="22">
        <f t="shared" si="1"/>
        <v>5533573</v>
      </c>
    </row>
    <row r="215" spans="1:9" ht="13.5">
      <c r="A215" s="29" t="s">
        <v>87</v>
      </c>
      <c r="B215" s="20" t="s">
        <v>588</v>
      </c>
      <c r="C215" s="20" t="s">
        <v>41</v>
      </c>
      <c r="D215" s="20" t="s">
        <v>215</v>
      </c>
      <c r="E215" s="48" t="s">
        <v>677</v>
      </c>
      <c r="F215" s="21" t="s">
        <v>38</v>
      </c>
      <c r="G215" s="60">
        <v>5533573</v>
      </c>
      <c r="H215" s="117"/>
      <c r="I215" s="22">
        <f t="shared" si="1"/>
        <v>5533573</v>
      </c>
    </row>
    <row r="216" spans="1:9" ht="13.5">
      <c r="A216" s="29" t="s">
        <v>255</v>
      </c>
      <c r="B216" s="20" t="s">
        <v>588</v>
      </c>
      <c r="C216" s="20" t="s">
        <v>41</v>
      </c>
      <c r="D216" s="20" t="s">
        <v>215</v>
      </c>
      <c r="E216" s="48" t="s">
        <v>678</v>
      </c>
      <c r="F216" s="21"/>
      <c r="G216" s="60">
        <f>G217</f>
        <v>4914420</v>
      </c>
      <c r="H216" s="60">
        <f>H217</f>
        <v>461130</v>
      </c>
      <c r="I216" s="22">
        <f t="shared" si="1"/>
        <v>5375550</v>
      </c>
    </row>
    <row r="217" spans="1:9" ht="13.5">
      <c r="A217" s="29" t="s">
        <v>87</v>
      </c>
      <c r="B217" s="20" t="s">
        <v>588</v>
      </c>
      <c r="C217" s="20" t="s">
        <v>41</v>
      </c>
      <c r="D217" s="20" t="s">
        <v>215</v>
      </c>
      <c r="E217" s="48" t="s">
        <v>678</v>
      </c>
      <c r="F217" s="21" t="s">
        <v>38</v>
      </c>
      <c r="G217" s="60">
        <f>5375550-461130</f>
        <v>4914420</v>
      </c>
      <c r="H217" s="60">
        <v>461130</v>
      </c>
      <c r="I217" s="22">
        <f t="shared" si="1"/>
        <v>5375550</v>
      </c>
    </row>
    <row r="218" spans="1:9" ht="26.25">
      <c r="A218" s="29" t="s">
        <v>247</v>
      </c>
      <c r="B218" s="20" t="s">
        <v>588</v>
      </c>
      <c r="C218" s="20" t="s">
        <v>41</v>
      </c>
      <c r="D218" s="20" t="s">
        <v>215</v>
      </c>
      <c r="E218" s="48" t="s">
        <v>248</v>
      </c>
      <c r="F218" s="21"/>
      <c r="G218" s="60">
        <f>G219</f>
        <v>2363620.5</v>
      </c>
      <c r="H218" s="117"/>
      <c r="I218" s="22">
        <f>G218+H218</f>
        <v>2363620.5</v>
      </c>
    </row>
    <row r="219" spans="1:9" ht="13.5">
      <c r="A219" s="29" t="s">
        <v>87</v>
      </c>
      <c r="B219" s="20" t="s">
        <v>588</v>
      </c>
      <c r="C219" s="20" t="s">
        <v>41</v>
      </c>
      <c r="D219" s="20" t="s">
        <v>215</v>
      </c>
      <c r="E219" s="48" t="s">
        <v>248</v>
      </c>
      <c r="F219" s="21" t="s">
        <v>38</v>
      </c>
      <c r="G219" s="60">
        <v>2363620.5</v>
      </c>
      <c r="H219" s="117"/>
      <c r="I219" s="22">
        <f>G219+H219</f>
        <v>2363620.5</v>
      </c>
    </row>
    <row r="220" spans="1:9" ht="26.25">
      <c r="A220" s="41" t="s">
        <v>249</v>
      </c>
      <c r="B220" s="20" t="s">
        <v>588</v>
      </c>
      <c r="C220" s="20" t="s">
        <v>41</v>
      </c>
      <c r="D220" s="20" t="s">
        <v>215</v>
      </c>
      <c r="E220" s="48" t="s">
        <v>250</v>
      </c>
      <c r="F220" s="21"/>
      <c r="G220" s="60">
        <f>G221+G223+G229</f>
        <v>4544000</v>
      </c>
      <c r="H220" s="60">
        <f>H221+H223</f>
        <v>150000</v>
      </c>
      <c r="I220" s="22">
        <f t="shared" si="1"/>
        <v>4694000</v>
      </c>
    </row>
    <row r="221" spans="1:9" ht="15" customHeight="1">
      <c r="A221" s="29" t="s">
        <v>251</v>
      </c>
      <c r="B221" s="20" t="s">
        <v>588</v>
      </c>
      <c r="C221" s="20" t="s">
        <v>41</v>
      </c>
      <c r="D221" s="20" t="s">
        <v>215</v>
      </c>
      <c r="E221" s="48" t="s">
        <v>252</v>
      </c>
      <c r="F221" s="21"/>
      <c r="G221" s="60">
        <f>G222</f>
        <v>1800000</v>
      </c>
      <c r="H221" s="117"/>
      <c r="I221" s="22">
        <f t="shared" si="1"/>
        <v>1800000</v>
      </c>
    </row>
    <row r="222" spans="1:9" ht="26.25">
      <c r="A222" s="66" t="s">
        <v>253</v>
      </c>
      <c r="B222" s="20" t="s">
        <v>588</v>
      </c>
      <c r="C222" s="20" t="s">
        <v>41</v>
      </c>
      <c r="D222" s="20" t="s">
        <v>215</v>
      </c>
      <c r="E222" s="48" t="s">
        <v>252</v>
      </c>
      <c r="F222" s="21" t="s">
        <v>254</v>
      </c>
      <c r="G222" s="60">
        <v>1800000</v>
      </c>
      <c r="H222" s="117"/>
      <c r="I222" s="22">
        <f t="shared" si="1"/>
        <v>1800000</v>
      </c>
    </row>
    <row r="223" spans="1:9" ht="13.5">
      <c r="A223" s="29" t="s">
        <v>255</v>
      </c>
      <c r="B223" s="20" t="s">
        <v>588</v>
      </c>
      <c r="C223" s="20" t="s">
        <v>41</v>
      </c>
      <c r="D223" s="20" t="s">
        <v>215</v>
      </c>
      <c r="E223" s="48" t="s">
        <v>256</v>
      </c>
      <c r="F223" s="21"/>
      <c r="G223" s="60">
        <f>G224</f>
        <v>1494000</v>
      </c>
      <c r="H223" s="60">
        <f>H224</f>
        <v>150000</v>
      </c>
      <c r="I223" s="22">
        <f>G223+H223</f>
        <v>1644000</v>
      </c>
    </row>
    <row r="224" spans="1:9" ht="26.25">
      <c r="A224" s="66" t="s">
        <v>253</v>
      </c>
      <c r="B224" s="20" t="s">
        <v>588</v>
      </c>
      <c r="C224" s="20" t="s">
        <v>41</v>
      </c>
      <c r="D224" s="20" t="s">
        <v>215</v>
      </c>
      <c r="E224" s="48" t="s">
        <v>256</v>
      </c>
      <c r="F224" s="21" t="s">
        <v>254</v>
      </c>
      <c r="G224" s="60">
        <f>1644000-150000</f>
        <v>1494000</v>
      </c>
      <c r="H224" s="123">
        <v>150000</v>
      </c>
      <c r="I224" s="22">
        <f t="shared" si="1"/>
        <v>1644000</v>
      </c>
    </row>
    <row r="225" spans="1:9" ht="26.25" hidden="1">
      <c r="A225" s="41" t="s">
        <v>257</v>
      </c>
      <c r="B225" s="20" t="s">
        <v>588</v>
      </c>
      <c r="C225" s="20" t="s">
        <v>41</v>
      </c>
      <c r="D225" s="20" t="s">
        <v>215</v>
      </c>
      <c r="E225" s="48" t="s">
        <v>258</v>
      </c>
      <c r="F225" s="21"/>
      <c r="G225" s="60">
        <f>G226</f>
        <v>0</v>
      </c>
      <c r="H225" s="117"/>
      <c r="I225" s="22">
        <f t="shared" si="1"/>
        <v>0</v>
      </c>
    </row>
    <row r="226" spans="1:9" ht="27" hidden="1">
      <c r="A226" s="67" t="s">
        <v>253</v>
      </c>
      <c r="B226" s="20" t="s">
        <v>588</v>
      </c>
      <c r="C226" s="20" t="s">
        <v>41</v>
      </c>
      <c r="D226" s="20" t="s">
        <v>215</v>
      </c>
      <c r="E226" s="48" t="s">
        <v>258</v>
      </c>
      <c r="F226" s="21" t="s">
        <v>254</v>
      </c>
      <c r="G226" s="60"/>
      <c r="H226" s="117"/>
      <c r="I226" s="22">
        <f t="shared" si="1"/>
        <v>0</v>
      </c>
    </row>
    <row r="227" spans="1:9" ht="41.25" hidden="1">
      <c r="A227" s="68" t="s">
        <v>259</v>
      </c>
      <c r="B227" s="20" t="s">
        <v>588</v>
      </c>
      <c r="C227" s="20" t="s">
        <v>41</v>
      </c>
      <c r="D227" s="20" t="s">
        <v>215</v>
      </c>
      <c r="E227" s="48" t="s">
        <v>260</v>
      </c>
      <c r="F227" s="21"/>
      <c r="G227" s="60">
        <f>G228</f>
        <v>0</v>
      </c>
      <c r="H227" s="117"/>
      <c r="I227" s="22">
        <f t="shared" si="1"/>
        <v>0</v>
      </c>
    </row>
    <row r="228" spans="1:9" ht="27">
      <c r="A228" s="67" t="s">
        <v>253</v>
      </c>
      <c r="B228" s="20" t="s">
        <v>588</v>
      </c>
      <c r="C228" s="20" t="s">
        <v>41</v>
      </c>
      <c r="D228" s="20" t="s">
        <v>215</v>
      </c>
      <c r="E228" s="48" t="s">
        <v>260</v>
      </c>
      <c r="F228" s="21" t="s">
        <v>254</v>
      </c>
      <c r="G228" s="60"/>
      <c r="H228" s="117"/>
      <c r="I228" s="22">
        <f t="shared" si="1"/>
        <v>0</v>
      </c>
    </row>
    <row r="229" spans="1:9" ht="26.25">
      <c r="A229" s="29" t="s">
        <v>261</v>
      </c>
      <c r="B229" s="20" t="s">
        <v>588</v>
      </c>
      <c r="C229" s="20" t="s">
        <v>41</v>
      </c>
      <c r="D229" s="20" t="s">
        <v>215</v>
      </c>
      <c r="E229" s="48" t="s">
        <v>262</v>
      </c>
      <c r="F229" s="21"/>
      <c r="G229" s="60">
        <f>G230</f>
        <v>1250000</v>
      </c>
      <c r="H229" s="117"/>
      <c r="I229" s="22">
        <f t="shared" si="1"/>
        <v>1250000</v>
      </c>
    </row>
    <row r="230" spans="1:9" ht="27">
      <c r="A230" s="67" t="s">
        <v>253</v>
      </c>
      <c r="B230" s="20" t="s">
        <v>588</v>
      </c>
      <c r="C230" s="20" t="s">
        <v>41</v>
      </c>
      <c r="D230" s="20" t="s">
        <v>215</v>
      </c>
      <c r="E230" s="48" t="s">
        <v>262</v>
      </c>
      <c r="F230" s="21" t="s">
        <v>254</v>
      </c>
      <c r="G230" s="60">
        <f>650000+600000</f>
        <v>1250000</v>
      </c>
      <c r="H230" s="117"/>
      <c r="I230" s="22">
        <f t="shared" si="1"/>
        <v>1250000</v>
      </c>
    </row>
    <row r="231" spans="1:9" ht="66">
      <c r="A231" s="69" t="s">
        <v>155</v>
      </c>
      <c r="B231" s="20" t="s">
        <v>588</v>
      </c>
      <c r="C231" s="20" t="s">
        <v>41</v>
      </c>
      <c r="D231" s="20" t="s">
        <v>215</v>
      </c>
      <c r="E231" s="48" t="s">
        <v>156</v>
      </c>
      <c r="F231" s="21"/>
      <c r="G231" s="60">
        <f>G232</f>
        <v>243000</v>
      </c>
      <c r="H231" s="123"/>
      <c r="I231" s="22">
        <f t="shared" si="1"/>
        <v>243000</v>
      </c>
    </row>
    <row r="232" spans="1:9" ht="26.25">
      <c r="A232" s="53" t="s">
        <v>263</v>
      </c>
      <c r="B232" s="20" t="s">
        <v>588</v>
      </c>
      <c r="C232" s="20" t="s">
        <v>41</v>
      </c>
      <c r="D232" s="20" t="s">
        <v>215</v>
      </c>
      <c r="E232" s="48" t="s">
        <v>264</v>
      </c>
      <c r="F232" s="21"/>
      <c r="G232" s="60">
        <f>G233</f>
        <v>243000</v>
      </c>
      <c r="H232" s="123"/>
      <c r="I232" s="22">
        <f t="shared" si="1"/>
        <v>243000</v>
      </c>
    </row>
    <row r="233" spans="1:9" ht="13.5">
      <c r="A233" s="41" t="s">
        <v>265</v>
      </c>
      <c r="B233" s="20" t="s">
        <v>588</v>
      </c>
      <c r="C233" s="20" t="s">
        <v>41</v>
      </c>
      <c r="D233" s="20" t="s">
        <v>215</v>
      </c>
      <c r="E233" s="48" t="s">
        <v>266</v>
      </c>
      <c r="F233" s="21"/>
      <c r="G233" s="60">
        <f>G234</f>
        <v>243000</v>
      </c>
      <c r="H233" s="123"/>
      <c r="I233" s="22">
        <f t="shared" si="1"/>
        <v>243000</v>
      </c>
    </row>
    <row r="234" spans="1:9" ht="13.5">
      <c r="A234" s="29" t="s">
        <v>87</v>
      </c>
      <c r="B234" s="20" t="s">
        <v>588</v>
      </c>
      <c r="C234" s="20" t="s">
        <v>41</v>
      </c>
      <c r="D234" s="20" t="s">
        <v>215</v>
      </c>
      <c r="E234" s="48" t="s">
        <v>266</v>
      </c>
      <c r="F234" s="21" t="s">
        <v>38</v>
      </c>
      <c r="G234" s="60">
        <f>600000-357000</f>
        <v>243000</v>
      </c>
      <c r="H234" s="123"/>
      <c r="I234" s="22">
        <f t="shared" si="1"/>
        <v>243000</v>
      </c>
    </row>
    <row r="235" spans="1:9" ht="69">
      <c r="A235" s="70" t="s">
        <v>269</v>
      </c>
      <c r="B235" s="20" t="s">
        <v>588</v>
      </c>
      <c r="C235" s="20" t="s">
        <v>41</v>
      </c>
      <c r="D235" s="20" t="s">
        <v>215</v>
      </c>
      <c r="E235" s="48" t="s">
        <v>270</v>
      </c>
      <c r="F235" s="21"/>
      <c r="G235" s="60">
        <f>G236</f>
        <v>0</v>
      </c>
      <c r="H235" s="117"/>
      <c r="I235" s="22">
        <f>G235+H235</f>
        <v>0</v>
      </c>
    </row>
    <row r="236" spans="1:9" ht="26.25">
      <c r="A236" s="41" t="s">
        <v>249</v>
      </c>
      <c r="B236" s="20" t="s">
        <v>588</v>
      </c>
      <c r="C236" s="20" t="s">
        <v>41</v>
      </c>
      <c r="D236" s="20" t="s">
        <v>215</v>
      </c>
      <c r="E236" s="48" t="s">
        <v>271</v>
      </c>
      <c r="F236" s="21"/>
      <c r="G236" s="60">
        <f>G237</f>
        <v>0</v>
      </c>
      <c r="H236" s="117"/>
      <c r="I236" s="22">
        <f t="shared" si="1"/>
        <v>0</v>
      </c>
    </row>
    <row r="237" spans="1:9" ht="26.25">
      <c r="A237" s="71" t="s">
        <v>272</v>
      </c>
      <c r="B237" s="20" t="s">
        <v>588</v>
      </c>
      <c r="C237" s="20" t="s">
        <v>41</v>
      </c>
      <c r="D237" s="20" t="s">
        <v>215</v>
      </c>
      <c r="E237" s="48" t="s">
        <v>273</v>
      </c>
      <c r="F237" s="21"/>
      <c r="G237" s="60">
        <f>G238</f>
        <v>0</v>
      </c>
      <c r="H237" s="117"/>
      <c r="I237" s="22">
        <f t="shared" si="1"/>
        <v>0</v>
      </c>
    </row>
    <row r="238" spans="1:9" ht="26.25">
      <c r="A238" s="26" t="s">
        <v>253</v>
      </c>
      <c r="B238" s="20" t="s">
        <v>588</v>
      </c>
      <c r="C238" s="20" t="s">
        <v>41</v>
      </c>
      <c r="D238" s="20" t="s">
        <v>215</v>
      </c>
      <c r="E238" s="48" t="s">
        <v>273</v>
      </c>
      <c r="F238" s="21" t="s">
        <v>254</v>
      </c>
      <c r="G238" s="60"/>
      <c r="H238" s="117"/>
      <c r="I238" s="22">
        <f t="shared" si="1"/>
        <v>0</v>
      </c>
    </row>
    <row r="239" spans="1:9" ht="20.25" customHeight="1">
      <c r="A239" s="26" t="s">
        <v>274</v>
      </c>
      <c r="B239" s="20" t="s">
        <v>588</v>
      </c>
      <c r="C239" s="20" t="s">
        <v>41</v>
      </c>
      <c r="D239" s="20" t="s">
        <v>275</v>
      </c>
      <c r="E239" s="20"/>
      <c r="F239" s="21"/>
      <c r="G239" s="60">
        <f>G240+G252+G269+G247+G265</f>
        <v>4018183</v>
      </c>
      <c r="H239" s="117"/>
      <c r="I239" s="22">
        <f t="shared" si="1"/>
        <v>4018183</v>
      </c>
    </row>
    <row r="240" spans="1:9" ht="45" customHeight="1">
      <c r="A240" s="82" t="s">
        <v>276</v>
      </c>
      <c r="B240" s="20" t="s">
        <v>588</v>
      </c>
      <c r="C240" s="20" t="s">
        <v>41</v>
      </c>
      <c r="D240" s="20" t="s">
        <v>275</v>
      </c>
      <c r="E240" s="20" t="s">
        <v>277</v>
      </c>
      <c r="F240" s="21"/>
      <c r="G240" s="60">
        <f>G241</f>
        <v>615000</v>
      </c>
      <c r="H240" s="117"/>
      <c r="I240" s="22">
        <f t="shared" si="1"/>
        <v>615000</v>
      </c>
    </row>
    <row r="241" spans="1:9" ht="69" customHeight="1">
      <c r="A241" s="124" t="s">
        <v>278</v>
      </c>
      <c r="B241" s="20" t="s">
        <v>588</v>
      </c>
      <c r="C241" s="20" t="s">
        <v>41</v>
      </c>
      <c r="D241" s="20" t="s">
        <v>275</v>
      </c>
      <c r="E241" s="20" t="s">
        <v>279</v>
      </c>
      <c r="F241" s="21"/>
      <c r="G241" s="60">
        <f>G242</f>
        <v>615000</v>
      </c>
      <c r="H241" s="117"/>
      <c r="I241" s="22">
        <f t="shared" si="1"/>
        <v>615000</v>
      </c>
    </row>
    <row r="242" spans="1:9" ht="41.25" customHeight="1">
      <c r="A242" s="41" t="s">
        <v>676</v>
      </c>
      <c r="B242" s="20" t="s">
        <v>588</v>
      </c>
      <c r="C242" s="20" t="s">
        <v>41</v>
      </c>
      <c r="D242" s="20" t="s">
        <v>275</v>
      </c>
      <c r="E242" s="20" t="s">
        <v>280</v>
      </c>
      <c r="F242" s="21"/>
      <c r="G242" s="60">
        <f>G243+G245</f>
        <v>615000</v>
      </c>
      <c r="H242" s="117"/>
      <c r="I242" s="22">
        <f t="shared" si="1"/>
        <v>615000</v>
      </c>
    </row>
    <row r="243" spans="1:9" ht="0.75" customHeight="1" hidden="1">
      <c r="A243" s="27" t="s">
        <v>281</v>
      </c>
      <c r="B243" s="20" t="s">
        <v>588</v>
      </c>
      <c r="C243" s="20" t="s">
        <v>41</v>
      </c>
      <c r="D243" s="20" t="s">
        <v>275</v>
      </c>
      <c r="E243" s="20" t="s">
        <v>282</v>
      </c>
      <c r="F243" s="21"/>
      <c r="G243" s="60">
        <f>G244</f>
        <v>0</v>
      </c>
      <c r="H243" s="117"/>
      <c r="I243" s="22">
        <f t="shared" si="1"/>
        <v>0</v>
      </c>
    </row>
    <row r="244" spans="1:9" ht="26.25" hidden="1">
      <c r="A244" s="29" t="s">
        <v>37</v>
      </c>
      <c r="B244" s="20" t="s">
        <v>588</v>
      </c>
      <c r="C244" s="20" t="s">
        <v>41</v>
      </c>
      <c r="D244" s="20" t="s">
        <v>275</v>
      </c>
      <c r="E244" s="20" t="s">
        <v>282</v>
      </c>
      <c r="F244" s="21" t="s">
        <v>38</v>
      </c>
      <c r="G244" s="60"/>
      <c r="H244" s="117"/>
      <c r="I244" s="22">
        <f t="shared" si="1"/>
        <v>0</v>
      </c>
    </row>
    <row r="245" spans="1:9" ht="13.5">
      <c r="A245" s="27" t="s">
        <v>283</v>
      </c>
      <c r="B245" s="20" t="s">
        <v>588</v>
      </c>
      <c r="C245" s="20" t="s">
        <v>41</v>
      </c>
      <c r="D245" s="20" t="s">
        <v>275</v>
      </c>
      <c r="E245" s="20" t="s">
        <v>284</v>
      </c>
      <c r="F245" s="21"/>
      <c r="G245" s="60">
        <f>G246</f>
        <v>615000</v>
      </c>
      <c r="H245" s="117"/>
      <c r="I245" s="22">
        <f t="shared" si="1"/>
        <v>615000</v>
      </c>
    </row>
    <row r="246" spans="1:9" ht="29.25" customHeight="1">
      <c r="A246" s="29" t="s">
        <v>37</v>
      </c>
      <c r="B246" s="20" t="s">
        <v>588</v>
      </c>
      <c r="C246" s="20" t="s">
        <v>41</v>
      </c>
      <c r="D246" s="20" t="s">
        <v>275</v>
      </c>
      <c r="E246" s="20" t="s">
        <v>284</v>
      </c>
      <c r="F246" s="21" t="s">
        <v>38</v>
      </c>
      <c r="G246" s="60">
        <f>700000-85000</f>
        <v>615000</v>
      </c>
      <c r="H246" s="117"/>
      <c r="I246" s="22">
        <f t="shared" si="1"/>
        <v>615000</v>
      </c>
    </row>
    <row r="247" spans="1:9" ht="53.25" hidden="1">
      <c r="A247" s="125" t="s">
        <v>285</v>
      </c>
      <c r="B247" s="20" t="s">
        <v>588</v>
      </c>
      <c r="C247" s="20" t="s">
        <v>41</v>
      </c>
      <c r="D247" s="20" t="s">
        <v>275</v>
      </c>
      <c r="E247" s="75" t="s">
        <v>286</v>
      </c>
      <c r="F247" s="21"/>
      <c r="G247" s="60">
        <f>G248</f>
        <v>0</v>
      </c>
      <c r="H247" s="117"/>
      <c r="I247" s="22">
        <f t="shared" si="1"/>
        <v>0</v>
      </c>
    </row>
    <row r="248" spans="1:9" ht="66" hidden="1">
      <c r="A248" s="65" t="s">
        <v>593</v>
      </c>
      <c r="B248" s="20" t="s">
        <v>588</v>
      </c>
      <c r="C248" s="20" t="s">
        <v>41</v>
      </c>
      <c r="D248" s="20" t="s">
        <v>275</v>
      </c>
      <c r="E248" s="75" t="s">
        <v>288</v>
      </c>
      <c r="F248" s="21"/>
      <c r="G248" s="60">
        <f>G249</f>
        <v>0</v>
      </c>
      <c r="H248" s="117"/>
      <c r="I248" s="22">
        <f t="shared" si="1"/>
        <v>0</v>
      </c>
    </row>
    <row r="249" spans="1:9" ht="26.25" hidden="1">
      <c r="A249" s="41" t="s">
        <v>289</v>
      </c>
      <c r="B249" s="20" t="s">
        <v>588</v>
      </c>
      <c r="C249" s="20" t="s">
        <v>41</v>
      </c>
      <c r="D249" s="20" t="s">
        <v>275</v>
      </c>
      <c r="E249" s="75" t="s">
        <v>290</v>
      </c>
      <c r="F249" s="21"/>
      <c r="G249" s="60">
        <f>G250</f>
        <v>0</v>
      </c>
      <c r="H249" s="117"/>
      <c r="I249" s="22">
        <f>I250</f>
        <v>0</v>
      </c>
    </row>
    <row r="250" spans="1:9" ht="15" hidden="1">
      <c r="A250" s="19" t="s">
        <v>291</v>
      </c>
      <c r="B250" s="20" t="s">
        <v>588</v>
      </c>
      <c r="C250" s="20" t="s">
        <v>41</v>
      </c>
      <c r="D250" s="20" t="s">
        <v>275</v>
      </c>
      <c r="E250" s="75" t="s">
        <v>292</v>
      </c>
      <c r="F250" s="21"/>
      <c r="G250" s="60">
        <f>G251</f>
        <v>0</v>
      </c>
      <c r="H250" s="117"/>
      <c r="I250" s="22">
        <f>G250+H250</f>
        <v>0</v>
      </c>
    </row>
    <row r="251" spans="1:9" ht="15" hidden="1">
      <c r="A251" s="88" t="s">
        <v>37</v>
      </c>
      <c r="B251" s="20" t="s">
        <v>588</v>
      </c>
      <c r="C251" s="20" t="s">
        <v>41</v>
      </c>
      <c r="D251" s="20" t="s">
        <v>275</v>
      </c>
      <c r="E251" s="75" t="s">
        <v>292</v>
      </c>
      <c r="F251" s="21" t="s">
        <v>38</v>
      </c>
      <c r="G251" s="60"/>
      <c r="H251" s="117"/>
      <c r="I251" s="22">
        <f>G251+H251</f>
        <v>0</v>
      </c>
    </row>
    <row r="252" spans="1:9" ht="51.75" customHeight="1">
      <c r="A252" s="82" t="s">
        <v>293</v>
      </c>
      <c r="B252" s="20" t="s">
        <v>588</v>
      </c>
      <c r="C252" s="20" t="s">
        <v>41</v>
      </c>
      <c r="D252" s="20" t="s">
        <v>275</v>
      </c>
      <c r="E252" s="59" t="s">
        <v>294</v>
      </c>
      <c r="F252" s="21"/>
      <c r="G252" s="60">
        <f>G253</f>
        <v>3383183</v>
      </c>
      <c r="H252" s="117"/>
      <c r="I252" s="22">
        <f t="shared" si="1"/>
        <v>3383183</v>
      </c>
    </row>
    <row r="253" spans="1:9" ht="72" customHeight="1">
      <c r="A253" s="65" t="s">
        <v>295</v>
      </c>
      <c r="B253" s="20" t="s">
        <v>588</v>
      </c>
      <c r="C253" s="20" t="s">
        <v>41</v>
      </c>
      <c r="D253" s="20" t="s">
        <v>275</v>
      </c>
      <c r="E253" s="59" t="s">
        <v>296</v>
      </c>
      <c r="F253" s="21"/>
      <c r="G253" s="60">
        <f>G254</f>
        <v>3383183</v>
      </c>
      <c r="H253" s="117"/>
      <c r="I253" s="22">
        <f>G253+H253</f>
        <v>3383183</v>
      </c>
    </row>
    <row r="254" spans="1:9" ht="26.25">
      <c r="A254" s="41" t="s">
        <v>297</v>
      </c>
      <c r="B254" s="20" t="s">
        <v>588</v>
      </c>
      <c r="C254" s="20" t="s">
        <v>41</v>
      </c>
      <c r="D254" s="20" t="s">
        <v>275</v>
      </c>
      <c r="E254" s="45" t="s">
        <v>298</v>
      </c>
      <c r="F254" s="31"/>
      <c r="G254" s="60">
        <f>G263+G255+G260+G258</f>
        <v>3383183</v>
      </c>
      <c r="H254" s="117"/>
      <c r="I254" s="22">
        <f t="shared" si="1"/>
        <v>3383183</v>
      </c>
    </row>
    <row r="255" spans="1:9" ht="45" customHeight="1">
      <c r="A255" s="41" t="s">
        <v>682</v>
      </c>
      <c r="B255" s="20" t="s">
        <v>588</v>
      </c>
      <c r="C255" s="20" t="s">
        <v>41</v>
      </c>
      <c r="D255" s="20" t="s">
        <v>275</v>
      </c>
      <c r="E255" s="45" t="s">
        <v>299</v>
      </c>
      <c r="F255" s="31"/>
      <c r="G255" s="60">
        <f>G256+G257</f>
        <v>723228</v>
      </c>
      <c r="H255" s="120"/>
      <c r="I255" s="22">
        <f t="shared" si="1"/>
        <v>723228</v>
      </c>
    </row>
    <row r="256" spans="1:9" ht="25.5" customHeight="1">
      <c r="A256" s="29" t="s">
        <v>37</v>
      </c>
      <c r="B256" s="20" t="s">
        <v>588</v>
      </c>
      <c r="C256" s="20" t="s">
        <v>41</v>
      </c>
      <c r="D256" s="20" t="s">
        <v>275</v>
      </c>
      <c r="E256" s="45" t="s">
        <v>299</v>
      </c>
      <c r="F256" s="31" t="s">
        <v>38</v>
      </c>
      <c r="G256" s="22"/>
      <c r="H256" s="120"/>
      <c r="I256" s="22">
        <f aca="true" t="shared" si="2" ref="I256:I322">G256+H256</f>
        <v>0</v>
      </c>
    </row>
    <row r="257" spans="1:9" ht="13.5">
      <c r="A257" s="77" t="s">
        <v>197</v>
      </c>
      <c r="B257" s="20" t="s">
        <v>588</v>
      </c>
      <c r="C257" s="20" t="s">
        <v>41</v>
      </c>
      <c r="D257" s="20" t="s">
        <v>275</v>
      </c>
      <c r="E257" s="45" t="s">
        <v>299</v>
      </c>
      <c r="F257" s="31" t="s">
        <v>198</v>
      </c>
      <c r="G257" s="22">
        <v>723228</v>
      </c>
      <c r="H257" s="120"/>
      <c r="I257" s="22">
        <f t="shared" si="2"/>
        <v>723228</v>
      </c>
    </row>
    <row r="258" spans="1:9" ht="26.25">
      <c r="A258" s="29" t="s">
        <v>685</v>
      </c>
      <c r="B258" s="20" t="s">
        <v>588</v>
      </c>
      <c r="C258" s="20" t="s">
        <v>41</v>
      </c>
      <c r="D258" s="20" t="s">
        <v>275</v>
      </c>
      <c r="E258" s="45" t="s">
        <v>684</v>
      </c>
      <c r="F258" s="31"/>
      <c r="G258" s="60">
        <f>G259</f>
        <v>700000</v>
      </c>
      <c r="H258" s="120"/>
      <c r="I258" s="22">
        <f t="shared" si="2"/>
        <v>700000</v>
      </c>
    </row>
    <row r="259" spans="1:9" ht="26.25">
      <c r="A259" s="29" t="s">
        <v>37</v>
      </c>
      <c r="B259" s="20" t="s">
        <v>588</v>
      </c>
      <c r="C259" s="20" t="s">
        <v>41</v>
      </c>
      <c r="D259" s="20" t="s">
        <v>275</v>
      </c>
      <c r="E259" s="45" t="s">
        <v>684</v>
      </c>
      <c r="F259" s="31" t="s">
        <v>38</v>
      </c>
      <c r="G259" s="22">
        <v>700000</v>
      </c>
      <c r="H259" s="120"/>
      <c r="I259" s="22">
        <f t="shared" si="2"/>
        <v>700000</v>
      </c>
    </row>
    <row r="260" spans="1:9" ht="37.5" customHeight="1">
      <c r="A260" s="41" t="s">
        <v>683</v>
      </c>
      <c r="B260" s="20" t="s">
        <v>588</v>
      </c>
      <c r="C260" s="20" t="s">
        <v>41</v>
      </c>
      <c r="D260" s="20" t="s">
        <v>275</v>
      </c>
      <c r="E260" s="45" t="s">
        <v>300</v>
      </c>
      <c r="F260" s="31"/>
      <c r="G260" s="60">
        <f>G262+G261</f>
        <v>309955</v>
      </c>
      <c r="H260" s="120"/>
      <c r="I260" s="22">
        <f t="shared" si="2"/>
        <v>309955</v>
      </c>
    </row>
    <row r="261" spans="1:9" ht="26.25" hidden="1">
      <c r="A261" s="29" t="s">
        <v>37</v>
      </c>
      <c r="B261" s="20" t="s">
        <v>588</v>
      </c>
      <c r="C261" s="20" t="s">
        <v>41</v>
      </c>
      <c r="D261" s="20" t="s">
        <v>275</v>
      </c>
      <c r="E261" s="45" t="s">
        <v>300</v>
      </c>
      <c r="F261" s="31" t="s">
        <v>38</v>
      </c>
      <c r="G261" s="60"/>
      <c r="H261" s="120"/>
      <c r="I261" s="22">
        <f t="shared" si="2"/>
        <v>0</v>
      </c>
    </row>
    <row r="262" spans="1:9" ht="19.5" customHeight="1">
      <c r="A262" s="77" t="s">
        <v>197</v>
      </c>
      <c r="B262" s="20" t="s">
        <v>588</v>
      </c>
      <c r="C262" s="20" t="s">
        <v>41</v>
      </c>
      <c r="D262" s="20" t="s">
        <v>275</v>
      </c>
      <c r="E262" s="45" t="s">
        <v>300</v>
      </c>
      <c r="F262" s="31" t="s">
        <v>198</v>
      </c>
      <c r="G262" s="60">
        <f>309954+1</f>
        <v>309955</v>
      </c>
      <c r="H262" s="120"/>
      <c r="I262" s="22">
        <f t="shared" si="2"/>
        <v>309955</v>
      </c>
    </row>
    <row r="263" spans="1:9" ht="39">
      <c r="A263" s="77" t="s">
        <v>301</v>
      </c>
      <c r="B263" s="20" t="s">
        <v>588</v>
      </c>
      <c r="C263" s="20" t="s">
        <v>41</v>
      </c>
      <c r="D263" s="20" t="s">
        <v>275</v>
      </c>
      <c r="E263" s="45" t="s">
        <v>302</v>
      </c>
      <c r="F263" s="31"/>
      <c r="G263" s="60">
        <f>G264</f>
        <v>1650000</v>
      </c>
      <c r="H263" s="117"/>
      <c r="I263" s="22">
        <f t="shared" si="2"/>
        <v>1650000</v>
      </c>
    </row>
    <row r="264" spans="1:9" ht="13.5">
      <c r="A264" s="77" t="s">
        <v>197</v>
      </c>
      <c r="B264" s="20" t="s">
        <v>588</v>
      </c>
      <c r="C264" s="20" t="s">
        <v>41</v>
      </c>
      <c r="D264" s="20" t="s">
        <v>275</v>
      </c>
      <c r="E264" s="45" t="s">
        <v>302</v>
      </c>
      <c r="F264" s="31" t="s">
        <v>198</v>
      </c>
      <c r="G264" s="22">
        <v>1650000</v>
      </c>
      <c r="H264" s="117"/>
      <c r="I264" s="22">
        <f t="shared" si="2"/>
        <v>1650000</v>
      </c>
    </row>
    <row r="265" spans="1:9" ht="66">
      <c r="A265" s="69" t="s">
        <v>155</v>
      </c>
      <c r="B265" s="20" t="s">
        <v>588</v>
      </c>
      <c r="C265" s="20" t="s">
        <v>41</v>
      </c>
      <c r="D265" s="20" t="s">
        <v>275</v>
      </c>
      <c r="E265" s="48" t="s">
        <v>156</v>
      </c>
      <c r="F265" s="21"/>
      <c r="G265" s="60">
        <f>G266</f>
        <v>0</v>
      </c>
      <c r="H265" s="123"/>
      <c r="I265" s="22">
        <f t="shared" si="2"/>
        <v>0</v>
      </c>
    </row>
    <row r="266" spans="1:9" ht="26.25">
      <c r="A266" s="53" t="s">
        <v>263</v>
      </c>
      <c r="B266" s="20" t="s">
        <v>588</v>
      </c>
      <c r="C266" s="20" t="s">
        <v>41</v>
      </c>
      <c r="D266" s="20" t="s">
        <v>275</v>
      </c>
      <c r="E266" s="48" t="s">
        <v>264</v>
      </c>
      <c r="F266" s="21"/>
      <c r="G266" s="60">
        <f>G267</f>
        <v>0</v>
      </c>
      <c r="H266" s="123"/>
      <c r="I266" s="22">
        <f t="shared" si="2"/>
        <v>0</v>
      </c>
    </row>
    <row r="267" spans="1:9" ht="13.5">
      <c r="A267" s="41" t="s">
        <v>265</v>
      </c>
      <c r="B267" s="20" t="s">
        <v>588</v>
      </c>
      <c r="C267" s="20" t="s">
        <v>41</v>
      </c>
      <c r="D267" s="20" t="s">
        <v>275</v>
      </c>
      <c r="E267" s="48" t="s">
        <v>266</v>
      </c>
      <c r="F267" s="21"/>
      <c r="G267" s="60">
        <f>G268</f>
        <v>0</v>
      </c>
      <c r="H267" s="123"/>
      <c r="I267" s="22">
        <f t="shared" si="2"/>
        <v>0</v>
      </c>
    </row>
    <row r="268" spans="1:9" ht="13.5">
      <c r="A268" s="29" t="s">
        <v>87</v>
      </c>
      <c r="B268" s="20" t="s">
        <v>588</v>
      </c>
      <c r="C268" s="20" t="s">
        <v>41</v>
      </c>
      <c r="D268" s="20" t="s">
        <v>275</v>
      </c>
      <c r="E268" s="48" t="s">
        <v>266</v>
      </c>
      <c r="F268" s="21" t="s">
        <v>38</v>
      </c>
      <c r="G268" s="60"/>
      <c r="H268" s="123"/>
      <c r="I268" s="22">
        <f t="shared" si="2"/>
        <v>0</v>
      </c>
    </row>
    <row r="269" spans="1:9" ht="26.25">
      <c r="A269" s="65" t="s">
        <v>303</v>
      </c>
      <c r="B269" s="20" t="s">
        <v>588</v>
      </c>
      <c r="C269" s="20" t="s">
        <v>41</v>
      </c>
      <c r="D269" s="20" t="s">
        <v>275</v>
      </c>
      <c r="E269" s="20" t="s">
        <v>304</v>
      </c>
      <c r="F269" s="31"/>
      <c r="G269" s="60">
        <f>G270+G274</f>
        <v>20000</v>
      </c>
      <c r="H269" s="117"/>
      <c r="I269" s="22">
        <f t="shared" si="2"/>
        <v>20000</v>
      </c>
    </row>
    <row r="270" spans="1:9" ht="66" customHeight="1">
      <c r="A270" s="124" t="s">
        <v>305</v>
      </c>
      <c r="B270" s="20" t="s">
        <v>588</v>
      </c>
      <c r="C270" s="20" t="s">
        <v>41</v>
      </c>
      <c r="D270" s="20" t="s">
        <v>275</v>
      </c>
      <c r="E270" s="20" t="s">
        <v>306</v>
      </c>
      <c r="F270" s="31"/>
      <c r="G270" s="60">
        <f>G271</f>
        <v>20000</v>
      </c>
      <c r="H270" s="117"/>
      <c r="I270" s="22">
        <f t="shared" si="2"/>
        <v>20000</v>
      </c>
    </row>
    <row r="271" spans="1:9" ht="26.25">
      <c r="A271" s="124" t="s">
        <v>307</v>
      </c>
      <c r="B271" s="20" t="s">
        <v>588</v>
      </c>
      <c r="C271" s="20" t="s">
        <v>41</v>
      </c>
      <c r="D271" s="20" t="s">
        <v>275</v>
      </c>
      <c r="E271" s="20" t="s">
        <v>308</v>
      </c>
      <c r="F271" s="31"/>
      <c r="G271" s="60">
        <f>G272</f>
        <v>20000</v>
      </c>
      <c r="H271" s="117"/>
      <c r="I271" s="22">
        <f t="shared" si="2"/>
        <v>20000</v>
      </c>
    </row>
    <row r="272" spans="1:9" ht="26.25">
      <c r="A272" s="27" t="s">
        <v>309</v>
      </c>
      <c r="B272" s="20" t="s">
        <v>588</v>
      </c>
      <c r="C272" s="20" t="s">
        <v>41</v>
      </c>
      <c r="D272" s="20" t="s">
        <v>275</v>
      </c>
      <c r="E272" s="20" t="s">
        <v>310</v>
      </c>
      <c r="F272" s="31"/>
      <c r="G272" s="60">
        <f>G273</f>
        <v>20000</v>
      </c>
      <c r="H272" s="117"/>
      <c r="I272" s="22">
        <f t="shared" si="2"/>
        <v>20000</v>
      </c>
    </row>
    <row r="273" spans="1:9" ht="26.25">
      <c r="A273" s="29" t="s">
        <v>37</v>
      </c>
      <c r="B273" s="20" t="s">
        <v>588</v>
      </c>
      <c r="C273" s="20" t="s">
        <v>41</v>
      </c>
      <c r="D273" s="20" t="s">
        <v>275</v>
      </c>
      <c r="E273" s="20" t="s">
        <v>310</v>
      </c>
      <c r="F273" s="31" t="s">
        <v>38</v>
      </c>
      <c r="G273" s="60">
        <v>20000</v>
      </c>
      <c r="H273" s="117"/>
      <c r="I273" s="22">
        <f t="shared" si="2"/>
        <v>20000</v>
      </c>
    </row>
    <row r="274" spans="1:9" ht="52.5">
      <c r="A274" s="40" t="s">
        <v>311</v>
      </c>
      <c r="B274" s="20" t="s">
        <v>588</v>
      </c>
      <c r="C274" s="20" t="s">
        <v>41</v>
      </c>
      <c r="D274" s="20" t="s">
        <v>275</v>
      </c>
      <c r="E274" s="20" t="s">
        <v>312</v>
      </c>
      <c r="F274" s="31"/>
      <c r="G274" s="60">
        <f>G275</f>
        <v>0</v>
      </c>
      <c r="H274" s="117"/>
      <c r="I274" s="22">
        <f t="shared" si="2"/>
        <v>0</v>
      </c>
    </row>
    <row r="275" spans="1:9" ht="39">
      <c r="A275" s="124" t="s">
        <v>313</v>
      </c>
      <c r="B275" s="20" t="s">
        <v>588</v>
      </c>
      <c r="C275" s="20" t="s">
        <v>41</v>
      </c>
      <c r="D275" s="20" t="s">
        <v>275</v>
      </c>
      <c r="E275" s="20" t="s">
        <v>314</v>
      </c>
      <c r="F275" s="31"/>
      <c r="G275" s="60">
        <f>G276</f>
        <v>0</v>
      </c>
      <c r="H275" s="117"/>
      <c r="I275" s="22">
        <f t="shared" si="2"/>
        <v>0</v>
      </c>
    </row>
    <row r="276" spans="1:9" ht="26.25">
      <c r="A276" s="29" t="s">
        <v>315</v>
      </c>
      <c r="B276" s="20" t="s">
        <v>588</v>
      </c>
      <c r="C276" s="20" t="s">
        <v>41</v>
      </c>
      <c r="D276" s="20" t="s">
        <v>275</v>
      </c>
      <c r="E276" s="20" t="s">
        <v>316</v>
      </c>
      <c r="F276" s="31"/>
      <c r="G276" s="60">
        <f>G277</f>
        <v>0</v>
      </c>
      <c r="H276" s="117"/>
      <c r="I276" s="22">
        <f t="shared" si="2"/>
        <v>0</v>
      </c>
    </row>
    <row r="277" spans="1:9" ht="26.25">
      <c r="A277" s="29" t="s">
        <v>37</v>
      </c>
      <c r="B277" s="20" t="s">
        <v>588</v>
      </c>
      <c r="C277" s="20" t="s">
        <v>41</v>
      </c>
      <c r="D277" s="20" t="s">
        <v>275</v>
      </c>
      <c r="E277" s="20" t="s">
        <v>316</v>
      </c>
      <c r="F277" s="31" t="s">
        <v>38</v>
      </c>
      <c r="G277" s="60"/>
      <c r="H277" s="120"/>
      <c r="I277" s="22">
        <f t="shared" si="2"/>
        <v>0</v>
      </c>
    </row>
    <row r="278" spans="1:9" ht="19.5" customHeight="1">
      <c r="A278" s="29" t="s">
        <v>317</v>
      </c>
      <c r="B278" s="20" t="s">
        <v>588</v>
      </c>
      <c r="C278" s="20" t="s">
        <v>93</v>
      </c>
      <c r="D278" s="20"/>
      <c r="E278" s="20"/>
      <c r="F278" s="31"/>
      <c r="G278" s="60">
        <f>G288+G279</f>
        <v>14381116</v>
      </c>
      <c r="H278" s="117"/>
      <c r="I278" s="22">
        <f t="shared" si="2"/>
        <v>14381116</v>
      </c>
    </row>
    <row r="279" spans="1:9" ht="13.5" hidden="1">
      <c r="A279" s="29" t="s">
        <v>318</v>
      </c>
      <c r="B279" s="20" t="s">
        <v>588</v>
      </c>
      <c r="C279" s="20" t="s">
        <v>93</v>
      </c>
      <c r="D279" s="20" t="s">
        <v>16</v>
      </c>
      <c r="E279" s="20"/>
      <c r="F279" s="31"/>
      <c r="G279" s="60">
        <f>G280</f>
        <v>0</v>
      </c>
      <c r="H279" s="120"/>
      <c r="I279" s="22">
        <f t="shared" si="2"/>
        <v>0</v>
      </c>
    </row>
    <row r="280" spans="1:9" ht="39" hidden="1">
      <c r="A280" s="29" t="s">
        <v>319</v>
      </c>
      <c r="B280" s="20" t="s">
        <v>588</v>
      </c>
      <c r="C280" s="20" t="s">
        <v>93</v>
      </c>
      <c r="D280" s="20" t="s">
        <v>16</v>
      </c>
      <c r="E280" s="20" t="s">
        <v>294</v>
      </c>
      <c r="F280" s="31"/>
      <c r="G280" s="60">
        <f>G281</f>
        <v>0</v>
      </c>
      <c r="H280" s="120"/>
      <c r="I280" s="22">
        <f t="shared" si="2"/>
        <v>0</v>
      </c>
    </row>
    <row r="281" spans="1:9" ht="66" hidden="1">
      <c r="A281" s="29" t="s">
        <v>320</v>
      </c>
      <c r="B281" s="20" t="s">
        <v>588</v>
      </c>
      <c r="C281" s="20" t="s">
        <v>93</v>
      </c>
      <c r="D281" s="20" t="s">
        <v>16</v>
      </c>
      <c r="E281" s="20" t="s">
        <v>296</v>
      </c>
      <c r="F281" s="31"/>
      <c r="G281" s="60">
        <f>G282</f>
        <v>0</v>
      </c>
      <c r="H281" s="120"/>
      <c r="I281" s="22">
        <f t="shared" si="2"/>
        <v>0</v>
      </c>
    </row>
    <row r="282" spans="1:9" ht="52.5" hidden="1">
      <c r="A282" s="29" t="s">
        <v>321</v>
      </c>
      <c r="B282" s="20" t="s">
        <v>588</v>
      </c>
      <c r="C282" s="20" t="s">
        <v>93</v>
      </c>
      <c r="D282" s="20" t="s">
        <v>16</v>
      </c>
      <c r="E282" s="20" t="s">
        <v>322</v>
      </c>
      <c r="F282" s="31"/>
      <c r="G282" s="60">
        <f>G283+G285</f>
        <v>0</v>
      </c>
      <c r="H282" s="120"/>
      <c r="I282" s="22">
        <f t="shared" si="2"/>
        <v>0</v>
      </c>
    </row>
    <row r="283" spans="1:9" ht="26.25" hidden="1">
      <c r="A283" s="29" t="s">
        <v>323</v>
      </c>
      <c r="B283" s="20" t="s">
        <v>588</v>
      </c>
      <c r="C283" s="20" t="s">
        <v>93</v>
      </c>
      <c r="D283" s="20" t="s">
        <v>16</v>
      </c>
      <c r="E283" s="20" t="s">
        <v>324</v>
      </c>
      <c r="F283" s="31"/>
      <c r="G283" s="60">
        <f>G284</f>
        <v>0</v>
      </c>
      <c r="H283" s="120"/>
      <c r="I283" s="22">
        <f t="shared" si="2"/>
        <v>0</v>
      </c>
    </row>
    <row r="284" spans="1:9" ht="26.25" hidden="1">
      <c r="A284" s="77" t="s">
        <v>253</v>
      </c>
      <c r="B284" s="20" t="s">
        <v>588</v>
      </c>
      <c r="C284" s="20" t="s">
        <v>93</v>
      </c>
      <c r="D284" s="20" t="s">
        <v>16</v>
      </c>
      <c r="E284" s="20" t="s">
        <v>324</v>
      </c>
      <c r="F284" s="31" t="s">
        <v>254</v>
      </c>
      <c r="G284" s="60"/>
      <c r="H284" s="120"/>
      <c r="I284" s="22">
        <f t="shared" si="2"/>
        <v>0</v>
      </c>
    </row>
    <row r="285" spans="1:9" ht="26.25" hidden="1">
      <c r="A285" s="77" t="s">
        <v>325</v>
      </c>
      <c r="B285" s="20" t="s">
        <v>588</v>
      </c>
      <c r="C285" s="20" t="s">
        <v>93</v>
      </c>
      <c r="D285" s="20" t="s">
        <v>16</v>
      </c>
      <c r="E285" s="20" t="s">
        <v>326</v>
      </c>
      <c r="F285" s="31"/>
      <c r="G285" s="60">
        <f>G287+G286</f>
        <v>0</v>
      </c>
      <c r="H285" s="120"/>
      <c r="I285" s="22">
        <f t="shared" si="2"/>
        <v>0</v>
      </c>
    </row>
    <row r="286" spans="1:9" ht="26.25" hidden="1">
      <c r="A286" s="29" t="s">
        <v>37</v>
      </c>
      <c r="B286" s="20" t="s">
        <v>588</v>
      </c>
      <c r="C286" s="20" t="s">
        <v>93</v>
      </c>
      <c r="D286" s="20" t="s">
        <v>16</v>
      </c>
      <c r="E286" s="20" t="s">
        <v>326</v>
      </c>
      <c r="F286" s="31" t="s">
        <v>38</v>
      </c>
      <c r="G286" s="60"/>
      <c r="H286" s="120"/>
      <c r="I286" s="22">
        <f t="shared" si="2"/>
        <v>0</v>
      </c>
    </row>
    <row r="287" spans="1:9" ht="26.25" hidden="1">
      <c r="A287" s="77" t="s">
        <v>253</v>
      </c>
      <c r="B287" s="20" t="s">
        <v>588</v>
      </c>
      <c r="C287" s="20" t="s">
        <v>93</v>
      </c>
      <c r="D287" s="20" t="s">
        <v>16</v>
      </c>
      <c r="E287" s="20" t="s">
        <v>326</v>
      </c>
      <c r="F287" s="31" t="s">
        <v>254</v>
      </c>
      <c r="G287" s="60"/>
      <c r="H287" s="120"/>
      <c r="I287" s="22">
        <f t="shared" si="2"/>
        <v>0</v>
      </c>
    </row>
    <row r="288" spans="1:9" ht="13.5">
      <c r="A288" s="29" t="s">
        <v>327</v>
      </c>
      <c r="B288" s="20" t="s">
        <v>588</v>
      </c>
      <c r="C288" s="20" t="s">
        <v>93</v>
      </c>
      <c r="D288" s="20" t="s">
        <v>18</v>
      </c>
      <c r="E288" s="20"/>
      <c r="F288" s="31"/>
      <c r="G288" s="60">
        <f>G289+G301+G311+G303</f>
        <v>14381116</v>
      </c>
      <c r="H288" s="117"/>
      <c r="I288" s="22">
        <f t="shared" si="2"/>
        <v>14381116</v>
      </c>
    </row>
    <row r="289" spans="1:9" ht="39">
      <c r="A289" s="19" t="s">
        <v>328</v>
      </c>
      <c r="B289" s="20" t="s">
        <v>588</v>
      </c>
      <c r="C289" s="20" t="s">
        <v>93</v>
      </c>
      <c r="D289" s="20" t="s">
        <v>18</v>
      </c>
      <c r="E289" s="48" t="s">
        <v>329</v>
      </c>
      <c r="F289" s="31"/>
      <c r="G289" s="60">
        <f>G290</f>
        <v>13081116</v>
      </c>
      <c r="H289" s="117"/>
      <c r="I289" s="22">
        <f t="shared" si="2"/>
        <v>13081116</v>
      </c>
    </row>
    <row r="290" spans="1:9" ht="52.5">
      <c r="A290" s="126" t="s">
        <v>330</v>
      </c>
      <c r="B290" s="20" t="s">
        <v>588</v>
      </c>
      <c r="C290" s="20" t="s">
        <v>93</v>
      </c>
      <c r="D290" s="20" t="s">
        <v>18</v>
      </c>
      <c r="E290" s="48" t="s">
        <v>594</v>
      </c>
      <c r="F290" s="31"/>
      <c r="G290" s="60">
        <f>G291</f>
        <v>13081116</v>
      </c>
      <c r="H290" s="117"/>
      <c r="I290" s="22">
        <f t="shared" si="2"/>
        <v>13081116</v>
      </c>
    </row>
    <row r="291" spans="1:9" ht="26.25">
      <c r="A291" s="41" t="s">
        <v>332</v>
      </c>
      <c r="B291" s="20" t="s">
        <v>588</v>
      </c>
      <c r="C291" s="20" t="s">
        <v>93</v>
      </c>
      <c r="D291" s="20" t="s">
        <v>18</v>
      </c>
      <c r="E291" s="48" t="s">
        <v>595</v>
      </c>
      <c r="F291" s="31"/>
      <c r="G291" s="60">
        <f>G292+G295+G298</f>
        <v>13081116</v>
      </c>
      <c r="H291" s="117"/>
      <c r="I291" s="22">
        <f t="shared" si="2"/>
        <v>13081116</v>
      </c>
    </row>
    <row r="292" spans="1:9" ht="39">
      <c r="A292" s="71" t="s">
        <v>333</v>
      </c>
      <c r="B292" s="20" t="s">
        <v>588</v>
      </c>
      <c r="C292" s="20" t="s">
        <v>93</v>
      </c>
      <c r="D292" s="20" t="s">
        <v>18</v>
      </c>
      <c r="E292" s="48" t="s">
        <v>334</v>
      </c>
      <c r="F292" s="31"/>
      <c r="G292" s="60">
        <f>G293+G294</f>
        <v>10144848</v>
      </c>
      <c r="H292" s="117"/>
      <c r="I292" s="22">
        <f t="shared" si="2"/>
        <v>10144848</v>
      </c>
    </row>
    <row r="293" spans="1:9" ht="26.25">
      <c r="A293" s="26" t="s">
        <v>253</v>
      </c>
      <c r="B293" s="20" t="s">
        <v>588</v>
      </c>
      <c r="C293" s="20" t="s">
        <v>93</v>
      </c>
      <c r="D293" s="20" t="s">
        <v>18</v>
      </c>
      <c r="E293" s="48" t="s">
        <v>334</v>
      </c>
      <c r="F293" s="31" t="s">
        <v>254</v>
      </c>
      <c r="G293" s="60">
        <f>10144848-10144848</f>
        <v>0</v>
      </c>
      <c r="H293" s="120"/>
      <c r="I293" s="22">
        <f t="shared" si="2"/>
        <v>0</v>
      </c>
    </row>
    <row r="294" spans="1:9" ht="13.5">
      <c r="A294" s="77" t="s">
        <v>197</v>
      </c>
      <c r="B294" s="20" t="s">
        <v>588</v>
      </c>
      <c r="C294" s="20" t="s">
        <v>93</v>
      </c>
      <c r="D294" s="20" t="s">
        <v>18</v>
      </c>
      <c r="E294" s="48" t="s">
        <v>334</v>
      </c>
      <c r="F294" s="31" t="s">
        <v>198</v>
      </c>
      <c r="G294" s="60">
        <f>10144848</f>
        <v>10144848</v>
      </c>
      <c r="H294" s="120"/>
      <c r="I294" s="22">
        <f t="shared" si="2"/>
        <v>10144848</v>
      </c>
    </row>
    <row r="295" spans="1:9" ht="39">
      <c r="A295" s="49" t="s">
        <v>335</v>
      </c>
      <c r="B295" s="20" t="s">
        <v>588</v>
      </c>
      <c r="C295" s="20" t="s">
        <v>93</v>
      </c>
      <c r="D295" s="20" t="s">
        <v>18</v>
      </c>
      <c r="E295" s="48" t="s">
        <v>336</v>
      </c>
      <c r="F295" s="31"/>
      <c r="G295" s="60">
        <f>G296+G297</f>
        <v>1225122</v>
      </c>
      <c r="H295" s="117"/>
      <c r="I295" s="22">
        <f t="shared" si="2"/>
        <v>1225122</v>
      </c>
    </row>
    <row r="296" spans="1:9" ht="26.25">
      <c r="A296" s="26" t="s">
        <v>253</v>
      </c>
      <c r="B296" s="20" t="s">
        <v>588</v>
      </c>
      <c r="C296" s="20" t="s">
        <v>93</v>
      </c>
      <c r="D296" s="20" t="s">
        <v>18</v>
      </c>
      <c r="E296" s="48" t="s">
        <v>336</v>
      </c>
      <c r="F296" s="31" t="s">
        <v>254</v>
      </c>
      <c r="G296" s="60">
        <f>1225122-1225122</f>
        <v>0</v>
      </c>
      <c r="H296" s="117"/>
      <c r="I296" s="22">
        <f>G296+H296</f>
        <v>0</v>
      </c>
    </row>
    <row r="297" spans="1:9" ht="13.5">
      <c r="A297" s="77" t="s">
        <v>197</v>
      </c>
      <c r="B297" s="20" t="s">
        <v>588</v>
      </c>
      <c r="C297" s="20" t="s">
        <v>93</v>
      </c>
      <c r="D297" s="20" t="s">
        <v>18</v>
      </c>
      <c r="E297" s="48" t="s">
        <v>336</v>
      </c>
      <c r="F297" s="31" t="s">
        <v>198</v>
      </c>
      <c r="G297" s="60">
        <f>1225122</f>
        <v>1225122</v>
      </c>
      <c r="H297" s="117"/>
      <c r="I297" s="22">
        <f>G297+H297</f>
        <v>1225122</v>
      </c>
    </row>
    <row r="298" spans="1:9" ht="26.25">
      <c r="A298" s="49" t="s">
        <v>337</v>
      </c>
      <c r="B298" s="20" t="s">
        <v>588</v>
      </c>
      <c r="C298" s="20" t="s">
        <v>93</v>
      </c>
      <c r="D298" s="20" t="s">
        <v>18</v>
      </c>
      <c r="E298" s="48" t="s">
        <v>338</v>
      </c>
      <c r="F298" s="31"/>
      <c r="G298" s="60">
        <f>G299+G300</f>
        <v>1711146</v>
      </c>
      <c r="H298" s="117"/>
      <c r="I298" s="22">
        <f>G298+H298</f>
        <v>1711146</v>
      </c>
    </row>
    <row r="299" spans="1:9" ht="26.25">
      <c r="A299" s="26" t="s">
        <v>253</v>
      </c>
      <c r="B299" s="20" t="s">
        <v>588</v>
      </c>
      <c r="C299" s="20" t="s">
        <v>93</v>
      </c>
      <c r="D299" s="20" t="s">
        <v>18</v>
      </c>
      <c r="E299" s="48" t="s">
        <v>338</v>
      </c>
      <c r="F299" s="31" t="s">
        <v>254</v>
      </c>
      <c r="G299" s="60">
        <f>811146-811146</f>
        <v>0</v>
      </c>
      <c r="H299" s="117"/>
      <c r="I299" s="22">
        <f>G299+H299</f>
        <v>0</v>
      </c>
    </row>
    <row r="300" spans="1:9" ht="13.5">
      <c r="A300" s="77" t="s">
        <v>197</v>
      </c>
      <c r="B300" s="20" t="s">
        <v>588</v>
      </c>
      <c r="C300" s="20" t="s">
        <v>93</v>
      </c>
      <c r="D300" s="20" t="s">
        <v>18</v>
      </c>
      <c r="E300" s="48" t="s">
        <v>338</v>
      </c>
      <c r="F300" s="31" t="s">
        <v>198</v>
      </c>
      <c r="G300" s="60">
        <f>811146+900000</f>
        <v>1711146</v>
      </c>
      <c r="H300" s="117"/>
      <c r="I300" s="22">
        <f>G300+H300</f>
        <v>1711146</v>
      </c>
    </row>
    <row r="301" spans="1:9" ht="52.5" customHeight="1">
      <c r="A301" s="126" t="s">
        <v>339</v>
      </c>
      <c r="B301" s="20" t="s">
        <v>588</v>
      </c>
      <c r="C301" s="20" t="s">
        <v>93</v>
      </c>
      <c r="D301" s="20" t="s">
        <v>18</v>
      </c>
      <c r="E301" s="48" t="s">
        <v>294</v>
      </c>
      <c r="F301" s="31"/>
      <c r="G301" s="60">
        <f>G302</f>
        <v>1300000</v>
      </c>
      <c r="H301" s="117"/>
      <c r="I301" s="22">
        <f t="shared" si="2"/>
        <v>1300000</v>
      </c>
    </row>
    <row r="302" spans="1:9" ht="83.25" customHeight="1">
      <c r="A302" s="77" t="s">
        <v>340</v>
      </c>
      <c r="B302" s="20" t="s">
        <v>588</v>
      </c>
      <c r="C302" s="20" t="s">
        <v>93</v>
      </c>
      <c r="D302" s="20" t="s">
        <v>18</v>
      </c>
      <c r="E302" s="48" t="s">
        <v>341</v>
      </c>
      <c r="F302" s="31"/>
      <c r="G302" s="60">
        <f>G308</f>
        <v>1300000</v>
      </c>
      <c r="H302" s="117"/>
      <c r="I302" s="22">
        <f t="shared" si="2"/>
        <v>1300000</v>
      </c>
    </row>
    <row r="303" spans="1:9" ht="26.25" hidden="1">
      <c r="A303" s="41" t="s">
        <v>373</v>
      </c>
      <c r="B303" s="20" t="s">
        <v>588</v>
      </c>
      <c r="C303" s="20" t="s">
        <v>93</v>
      </c>
      <c r="D303" s="20" t="s">
        <v>18</v>
      </c>
      <c r="E303" s="45" t="s">
        <v>374</v>
      </c>
      <c r="F303" s="31"/>
      <c r="G303" s="60">
        <f>G304+G306</f>
        <v>0</v>
      </c>
      <c r="H303" s="117"/>
      <c r="I303" s="22">
        <f t="shared" si="2"/>
        <v>0</v>
      </c>
    </row>
    <row r="304" spans="1:9" ht="24" hidden="1">
      <c r="A304" s="80" t="s">
        <v>375</v>
      </c>
      <c r="B304" s="20" t="s">
        <v>588</v>
      </c>
      <c r="C304" s="20" t="s">
        <v>93</v>
      </c>
      <c r="D304" s="20" t="s">
        <v>18</v>
      </c>
      <c r="E304" s="45" t="s">
        <v>376</v>
      </c>
      <c r="F304" s="31"/>
      <c r="G304" s="60">
        <f>G305</f>
        <v>0</v>
      </c>
      <c r="H304" s="117"/>
      <c r="I304" s="22">
        <f t="shared" si="2"/>
        <v>0</v>
      </c>
    </row>
    <row r="305" spans="1:9" ht="13.5" hidden="1">
      <c r="A305" s="77" t="s">
        <v>197</v>
      </c>
      <c r="B305" s="20" t="s">
        <v>588</v>
      </c>
      <c r="C305" s="20" t="s">
        <v>93</v>
      </c>
      <c r="D305" s="20" t="s">
        <v>18</v>
      </c>
      <c r="E305" s="45" t="s">
        <v>376</v>
      </c>
      <c r="F305" s="31" t="s">
        <v>198</v>
      </c>
      <c r="G305" s="60"/>
      <c r="H305" s="117"/>
      <c r="I305" s="22">
        <f t="shared" si="2"/>
        <v>0</v>
      </c>
    </row>
    <row r="306" spans="1:9" ht="30" customHeight="1" hidden="1">
      <c r="A306" s="80" t="s">
        <v>377</v>
      </c>
      <c r="B306" s="20" t="s">
        <v>588</v>
      </c>
      <c r="C306" s="20" t="s">
        <v>93</v>
      </c>
      <c r="D306" s="20" t="s">
        <v>18</v>
      </c>
      <c r="E306" s="45" t="s">
        <v>378</v>
      </c>
      <c r="F306" s="31"/>
      <c r="G306" s="60">
        <f>G307</f>
        <v>0</v>
      </c>
      <c r="H306" s="117"/>
      <c r="I306" s="22">
        <f t="shared" si="2"/>
        <v>0</v>
      </c>
    </row>
    <row r="307" spans="1:9" ht="15.75" customHeight="1" hidden="1">
      <c r="A307" s="77" t="s">
        <v>197</v>
      </c>
      <c r="B307" s="20" t="s">
        <v>588</v>
      </c>
      <c r="C307" s="20" t="s">
        <v>93</v>
      </c>
      <c r="D307" s="20" t="s">
        <v>18</v>
      </c>
      <c r="E307" s="45" t="s">
        <v>378</v>
      </c>
      <c r="F307" s="31" t="s">
        <v>198</v>
      </c>
      <c r="G307" s="60"/>
      <c r="H307" s="117"/>
      <c r="I307" s="22">
        <f t="shared" si="2"/>
        <v>0</v>
      </c>
    </row>
    <row r="308" spans="1:9" ht="29.25" customHeight="1">
      <c r="A308" s="41" t="s">
        <v>342</v>
      </c>
      <c r="B308" s="20" t="s">
        <v>588</v>
      </c>
      <c r="C308" s="20" t="s">
        <v>93</v>
      </c>
      <c r="D308" s="20" t="s">
        <v>18</v>
      </c>
      <c r="E308" s="45" t="s">
        <v>343</v>
      </c>
      <c r="F308" s="31"/>
      <c r="G308" s="60">
        <f>G309</f>
        <v>1300000</v>
      </c>
      <c r="H308" s="117"/>
      <c r="I308" s="22">
        <f t="shared" si="2"/>
        <v>1300000</v>
      </c>
    </row>
    <row r="309" spans="1:9" ht="39">
      <c r="A309" s="27" t="s">
        <v>344</v>
      </c>
      <c r="B309" s="20" t="s">
        <v>588</v>
      </c>
      <c r="C309" s="20" t="s">
        <v>93</v>
      </c>
      <c r="D309" s="20" t="s">
        <v>18</v>
      </c>
      <c r="E309" s="45" t="s">
        <v>345</v>
      </c>
      <c r="F309" s="31"/>
      <c r="G309" s="60">
        <f>G310</f>
        <v>1300000</v>
      </c>
      <c r="H309" s="117"/>
      <c r="I309" s="22">
        <f t="shared" si="2"/>
        <v>1300000</v>
      </c>
    </row>
    <row r="310" spans="1:9" ht="17.25" customHeight="1">
      <c r="A310" s="77" t="s">
        <v>197</v>
      </c>
      <c r="B310" s="20" t="s">
        <v>588</v>
      </c>
      <c r="C310" s="20" t="s">
        <v>93</v>
      </c>
      <c r="D310" s="20" t="s">
        <v>18</v>
      </c>
      <c r="E310" s="45" t="s">
        <v>345</v>
      </c>
      <c r="F310" s="31" t="s">
        <v>198</v>
      </c>
      <c r="G310" s="60">
        <f>500000+500000+300000</f>
        <v>1300000</v>
      </c>
      <c r="H310" s="120"/>
      <c r="I310" s="22">
        <f t="shared" si="2"/>
        <v>1300000</v>
      </c>
    </row>
    <row r="311" spans="1:9" ht="43.5" customHeight="1" hidden="1">
      <c r="A311" s="65" t="s">
        <v>267</v>
      </c>
      <c r="B311" s="20" t="s">
        <v>588</v>
      </c>
      <c r="C311" s="20" t="s">
        <v>93</v>
      </c>
      <c r="D311" s="20" t="s">
        <v>18</v>
      </c>
      <c r="E311" s="48" t="s">
        <v>268</v>
      </c>
      <c r="F311" s="31"/>
      <c r="G311" s="60">
        <f>G312</f>
        <v>0</v>
      </c>
      <c r="H311" s="117"/>
      <c r="I311" s="22">
        <f t="shared" si="2"/>
        <v>0</v>
      </c>
    </row>
    <row r="312" spans="1:9" ht="54.75" hidden="1">
      <c r="A312" s="127" t="s">
        <v>346</v>
      </c>
      <c r="B312" s="20" t="s">
        <v>588</v>
      </c>
      <c r="C312" s="20" t="s">
        <v>93</v>
      </c>
      <c r="D312" s="20" t="s">
        <v>18</v>
      </c>
      <c r="E312" s="48" t="s">
        <v>270</v>
      </c>
      <c r="F312" s="31"/>
      <c r="G312" s="60">
        <f>G313</f>
        <v>0</v>
      </c>
      <c r="H312" s="117"/>
      <c r="I312" s="22">
        <f t="shared" si="2"/>
        <v>0</v>
      </c>
    </row>
    <row r="313" spans="1:9" ht="13.5" hidden="1">
      <c r="A313" s="77" t="s">
        <v>347</v>
      </c>
      <c r="B313" s="20" t="s">
        <v>588</v>
      </c>
      <c r="C313" s="20" t="s">
        <v>93</v>
      </c>
      <c r="D313" s="20" t="s">
        <v>18</v>
      </c>
      <c r="E313" s="48" t="s">
        <v>348</v>
      </c>
      <c r="F313" s="31"/>
      <c r="G313" s="60">
        <f>G314+G322+G316+G318+G320</f>
        <v>0</v>
      </c>
      <c r="H313" s="117"/>
      <c r="I313" s="22">
        <f t="shared" si="2"/>
        <v>0</v>
      </c>
    </row>
    <row r="314" spans="1:9" ht="21" customHeight="1" hidden="1">
      <c r="A314" s="49" t="s">
        <v>349</v>
      </c>
      <c r="B314" s="20" t="s">
        <v>588</v>
      </c>
      <c r="C314" s="20" t="s">
        <v>93</v>
      </c>
      <c r="D314" s="20" t="s">
        <v>18</v>
      </c>
      <c r="E314" s="48" t="s">
        <v>350</v>
      </c>
      <c r="F314" s="31"/>
      <c r="G314" s="60">
        <f>G315</f>
        <v>0</v>
      </c>
      <c r="H314" s="117"/>
      <c r="I314" s="22">
        <f t="shared" si="2"/>
        <v>0</v>
      </c>
    </row>
    <row r="315" spans="1:9" ht="13.5" hidden="1">
      <c r="A315" s="77" t="s">
        <v>197</v>
      </c>
      <c r="B315" s="20" t="s">
        <v>588</v>
      </c>
      <c r="C315" s="20" t="s">
        <v>93</v>
      </c>
      <c r="D315" s="20" t="s">
        <v>18</v>
      </c>
      <c r="E315" s="48" t="s">
        <v>350</v>
      </c>
      <c r="F315" s="31" t="s">
        <v>198</v>
      </c>
      <c r="G315" s="60"/>
      <c r="H315" s="120"/>
      <c r="I315" s="22">
        <f t="shared" si="2"/>
        <v>0</v>
      </c>
    </row>
    <row r="316" spans="1:9" ht="13.5" hidden="1">
      <c r="A316" s="49" t="s">
        <v>349</v>
      </c>
      <c r="B316" s="20" t="s">
        <v>588</v>
      </c>
      <c r="C316" s="20" t="s">
        <v>93</v>
      </c>
      <c r="D316" s="20" t="s">
        <v>18</v>
      </c>
      <c r="E316" s="48" t="s">
        <v>352</v>
      </c>
      <c r="F316" s="31"/>
      <c r="G316" s="60">
        <f>G317</f>
        <v>0</v>
      </c>
      <c r="H316" s="117"/>
      <c r="I316" s="22">
        <f t="shared" si="2"/>
        <v>0</v>
      </c>
    </row>
    <row r="317" spans="1:9" ht="13.5" hidden="1">
      <c r="A317" s="77" t="s">
        <v>197</v>
      </c>
      <c r="B317" s="20" t="s">
        <v>588</v>
      </c>
      <c r="C317" s="20" t="s">
        <v>93</v>
      </c>
      <c r="D317" s="20" t="s">
        <v>18</v>
      </c>
      <c r="E317" s="48" t="s">
        <v>352</v>
      </c>
      <c r="F317" s="31" t="s">
        <v>198</v>
      </c>
      <c r="G317" s="60">
        <f>15000-15000</f>
        <v>0</v>
      </c>
      <c r="H317" s="120"/>
      <c r="I317" s="22">
        <f t="shared" si="2"/>
        <v>0</v>
      </c>
    </row>
    <row r="318" spans="1:9" ht="39" hidden="1">
      <c r="A318" s="71" t="s">
        <v>353</v>
      </c>
      <c r="B318" s="20" t="s">
        <v>588</v>
      </c>
      <c r="C318" s="20" t="s">
        <v>93</v>
      </c>
      <c r="D318" s="20" t="s">
        <v>18</v>
      </c>
      <c r="E318" s="48" t="s">
        <v>354</v>
      </c>
      <c r="F318" s="31"/>
      <c r="G318" s="60">
        <f>G319</f>
        <v>0</v>
      </c>
      <c r="H318" s="117"/>
      <c r="I318" s="22">
        <f t="shared" si="2"/>
        <v>0</v>
      </c>
    </row>
    <row r="319" spans="1:9" ht="13.5" hidden="1">
      <c r="A319" s="77" t="s">
        <v>197</v>
      </c>
      <c r="B319" s="20" t="s">
        <v>588</v>
      </c>
      <c r="C319" s="20" t="s">
        <v>93</v>
      </c>
      <c r="D319" s="20" t="s">
        <v>18</v>
      </c>
      <c r="E319" s="48" t="s">
        <v>354</v>
      </c>
      <c r="F319" s="31" t="s">
        <v>198</v>
      </c>
      <c r="G319" s="60"/>
      <c r="H319" s="120"/>
      <c r="I319" s="22">
        <f t="shared" si="2"/>
        <v>0</v>
      </c>
    </row>
    <row r="320" spans="1:9" ht="24" hidden="1">
      <c r="A320" s="80" t="s">
        <v>355</v>
      </c>
      <c r="B320" s="20" t="s">
        <v>588</v>
      </c>
      <c r="C320" s="20" t="s">
        <v>93</v>
      </c>
      <c r="D320" s="20" t="s">
        <v>18</v>
      </c>
      <c r="E320" s="48" t="s">
        <v>356</v>
      </c>
      <c r="F320" s="31"/>
      <c r="G320" s="60">
        <f>G321</f>
        <v>0</v>
      </c>
      <c r="H320" s="117"/>
      <c r="I320" s="22">
        <f t="shared" si="2"/>
        <v>0</v>
      </c>
    </row>
    <row r="321" spans="1:9" ht="13.5" hidden="1">
      <c r="A321" s="77" t="s">
        <v>197</v>
      </c>
      <c r="B321" s="20" t="s">
        <v>588</v>
      </c>
      <c r="C321" s="20" t="s">
        <v>93</v>
      </c>
      <c r="D321" s="20" t="s">
        <v>18</v>
      </c>
      <c r="E321" s="48" t="s">
        <v>356</v>
      </c>
      <c r="F321" s="31" t="s">
        <v>198</v>
      </c>
      <c r="G321" s="60"/>
      <c r="H321" s="120"/>
      <c r="I321" s="22">
        <f t="shared" si="2"/>
        <v>0</v>
      </c>
    </row>
    <row r="322" spans="1:9" ht="39" hidden="1">
      <c r="A322" s="27" t="s">
        <v>344</v>
      </c>
      <c r="B322" s="20" t="s">
        <v>588</v>
      </c>
      <c r="C322" s="20" t="s">
        <v>93</v>
      </c>
      <c r="D322" s="20" t="s">
        <v>18</v>
      </c>
      <c r="E322" s="48" t="s">
        <v>357</v>
      </c>
      <c r="F322" s="31"/>
      <c r="G322" s="60">
        <f>G323</f>
        <v>0</v>
      </c>
      <c r="H322" s="120"/>
      <c r="I322" s="22">
        <f t="shared" si="2"/>
        <v>0</v>
      </c>
    </row>
    <row r="323" spans="1:9" ht="13.5" hidden="1">
      <c r="A323" s="77" t="s">
        <v>197</v>
      </c>
      <c r="B323" s="20" t="s">
        <v>588</v>
      </c>
      <c r="C323" s="20" t="s">
        <v>93</v>
      </c>
      <c r="D323" s="20" t="s">
        <v>18</v>
      </c>
      <c r="E323" s="48" t="s">
        <v>357</v>
      </c>
      <c r="F323" s="31" t="s">
        <v>198</v>
      </c>
      <c r="G323" s="128"/>
      <c r="H323" s="117"/>
      <c r="I323" s="22">
        <f aca="true" t="shared" si="3" ref="I323:I391">G323+H323</f>
        <v>0</v>
      </c>
    </row>
    <row r="324" spans="1:9" ht="13.5">
      <c r="A324" s="77" t="s">
        <v>358</v>
      </c>
      <c r="B324" s="20" t="s">
        <v>588</v>
      </c>
      <c r="C324" s="20" t="s">
        <v>97</v>
      </c>
      <c r="D324" s="20"/>
      <c r="E324" s="48"/>
      <c r="F324" s="31"/>
      <c r="G324" s="128">
        <f aca="true" t="shared" si="4" ref="G324:G329">G325</f>
        <v>27000000</v>
      </c>
      <c r="H324" s="117"/>
      <c r="I324" s="22">
        <f t="shared" si="3"/>
        <v>27000000</v>
      </c>
    </row>
    <row r="325" spans="1:9" ht="13.5">
      <c r="A325" s="61" t="s">
        <v>359</v>
      </c>
      <c r="B325" s="20" t="s">
        <v>588</v>
      </c>
      <c r="C325" s="20" t="s">
        <v>97</v>
      </c>
      <c r="D325" s="20" t="s">
        <v>93</v>
      </c>
      <c r="E325" s="48"/>
      <c r="F325" s="31"/>
      <c r="G325" s="128">
        <f t="shared" si="4"/>
        <v>27000000</v>
      </c>
      <c r="H325" s="117"/>
      <c r="I325" s="22">
        <f t="shared" si="3"/>
        <v>27000000</v>
      </c>
    </row>
    <row r="326" spans="1:9" ht="39">
      <c r="A326" s="26" t="s">
        <v>328</v>
      </c>
      <c r="B326" s="20" t="s">
        <v>588</v>
      </c>
      <c r="C326" s="20" t="s">
        <v>97</v>
      </c>
      <c r="D326" s="20" t="s">
        <v>93</v>
      </c>
      <c r="E326" s="48" t="s">
        <v>329</v>
      </c>
      <c r="F326" s="31"/>
      <c r="G326" s="128">
        <f t="shared" si="4"/>
        <v>27000000</v>
      </c>
      <c r="H326" s="117"/>
      <c r="I326" s="22">
        <f t="shared" si="3"/>
        <v>27000000</v>
      </c>
    </row>
    <row r="327" spans="1:9" ht="52.5">
      <c r="A327" s="26" t="s">
        <v>330</v>
      </c>
      <c r="B327" s="20" t="s">
        <v>588</v>
      </c>
      <c r="C327" s="20" t="s">
        <v>97</v>
      </c>
      <c r="D327" s="20" t="s">
        <v>93</v>
      </c>
      <c r="E327" s="48" t="s">
        <v>594</v>
      </c>
      <c r="F327" s="31"/>
      <c r="G327" s="128">
        <f t="shared" si="4"/>
        <v>27000000</v>
      </c>
      <c r="H327" s="117"/>
      <c r="I327" s="22">
        <f t="shared" si="3"/>
        <v>27000000</v>
      </c>
    </row>
    <row r="328" spans="1:9" ht="13.5">
      <c r="A328" s="26" t="s">
        <v>688</v>
      </c>
      <c r="B328" s="20" t="s">
        <v>588</v>
      </c>
      <c r="C328" s="20" t="s">
        <v>97</v>
      </c>
      <c r="D328" s="20" t="s">
        <v>93</v>
      </c>
      <c r="E328" s="48" t="s">
        <v>686</v>
      </c>
      <c r="F328" s="31"/>
      <c r="G328" s="128">
        <f t="shared" si="4"/>
        <v>27000000</v>
      </c>
      <c r="H328" s="117"/>
      <c r="I328" s="22">
        <f t="shared" si="3"/>
        <v>27000000</v>
      </c>
    </row>
    <row r="329" spans="1:9" ht="13.5">
      <c r="A329" s="26" t="s">
        <v>360</v>
      </c>
      <c r="B329" s="20" t="s">
        <v>588</v>
      </c>
      <c r="C329" s="20" t="s">
        <v>97</v>
      </c>
      <c r="D329" s="20" t="s">
        <v>93</v>
      </c>
      <c r="E329" s="48" t="s">
        <v>687</v>
      </c>
      <c r="F329" s="31"/>
      <c r="G329" s="128">
        <f t="shared" si="4"/>
        <v>27000000</v>
      </c>
      <c r="H329" s="117"/>
      <c r="I329" s="22">
        <f t="shared" si="3"/>
        <v>27000000</v>
      </c>
    </row>
    <row r="330" spans="1:9" ht="26.25">
      <c r="A330" s="29" t="s">
        <v>37</v>
      </c>
      <c r="B330" s="20" t="s">
        <v>588</v>
      </c>
      <c r="C330" s="20" t="s">
        <v>97</v>
      </c>
      <c r="D330" s="20" t="s">
        <v>93</v>
      </c>
      <c r="E330" s="48" t="s">
        <v>687</v>
      </c>
      <c r="F330" s="31" t="s">
        <v>38</v>
      </c>
      <c r="G330" s="128">
        <f>30000000-1000000-2000000</f>
        <v>27000000</v>
      </c>
      <c r="H330" s="117"/>
      <c r="I330" s="22">
        <f t="shared" si="3"/>
        <v>27000000</v>
      </c>
    </row>
    <row r="331" spans="1:9" ht="13.5" customHeight="1">
      <c r="A331" s="67" t="s">
        <v>362</v>
      </c>
      <c r="B331" s="20" t="s">
        <v>588</v>
      </c>
      <c r="C331" s="20" t="s">
        <v>104</v>
      </c>
      <c r="D331" s="20"/>
      <c r="E331" s="48"/>
      <c r="F331" s="55"/>
      <c r="G331" s="60">
        <f>G332</f>
        <v>1189500</v>
      </c>
      <c r="H331" s="117"/>
      <c r="I331" s="22">
        <f t="shared" si="3"/>
        <v>1189500</v>
      </c>
    </row>
    <row r="332" spans="1:9" ht="13.5">
      <c r="A332" s="26" t="s">
        <v>596</v>
      </c>
      <c r="B332" s="20" t="s">
        <v>588</v>
      </c>
      <c r="C332" s="20" t="s">
        <v>104</v>
      </c>
      <c r="D332" s="20" t="s">
        <v>104</v>
      </c>
      <c r="E332" s="20"/>
      <c r="F332" s="21"/>
      <c r="G332" s="60">
        <f>G333</f>
        <v>1189500</v>
      </c>
      <c r="H332" s="117"/>
      <c r="I332" s="22">
        <f t="shared" si="3"/>
        <v>1189500</v>
      </c>
    </row>
    <row r="333" spans="1:9" ht="57" customHeight="1">
      <c r="A333" s="41" t="s">
        <v>420</v>
      </c>
      <c r="B333" s="20" t="s">
        <v>588</v>
      </c>
      <c r="C333" s="20" t="s">
        <v>104</v>
      </c>
      <c r="D333" s="20" t="s">
        <v>104</v>
      </c>
      <c r="E333" s="48" t="s">
        <v>421</v>
      </c>
      <c r="F333" s="21"/>
      <c r="G333" s="60">
        <f>G334+G339</f>
        <v>1189500</v>
      </c>
      <c r="H333" s="117"/>
      <c r="I333" s="22">
        <f t="shared" si="3"/>
        <v>1189500</v>
      </c>
    </row>
    <row r="334" spans="1:9" ht="76.5" customHeight="1">
      <c r="A334" s="41" t="s">
        <v>422</v>
      </c>
      <c r="B334" s="20" t="s">
        <v>588</v>
      </c>
      <c r="C334" s="20" t="s">
        <v>104</v>
      </c>
      <c r="D334" s="20" t="s">
        <v>104</v>
      </c>
      <c r="E334" s="48" t="s">
        <v>423</v>
      </c>
      <c r="F334" s="55"/>
      <c r="G334" s="60">
        <f>G335</f>
        <v>150000</v>
      </c>
      <c r="H334" s="117"/>
      <c r="I334" s="22">
        <f t="shared" si="3"/>
        <v>150000</v>
      </c>
    </row>
    <row r="335" spans="1:9" ht="39.75" customHeight="1">
      <c r="A335" s="41" t="s">
        <v>424</v>
      </c>
      <c r="B335" s="20" t="s">
        <v>588</v>
      </c>
      <c r="C335" s="20" t="s">
        <v>104</v>
      </c>
      <c r="D335" s="20" t="s">
        <v>104</v>
      </c>
      <c r="E335" s="48" t="s">
        <v>425</v>
      </c>
      <c r="F335" s="55"/>
      <c r="G335" s="60">
        <f>G336</f>
        <v>150000</v>
      </c>
      <c r="H335" s="117"/>
      <c r="I335" s="22">
        <f t="shared" si="3"/>
        <v>150000</v>
      </c>
    </row>
    <row r="336" spans="1:9" ht="19.5" customHeight="1">
      <c r="A336" s="41" t="s">
        <v>426</v>
      </c>
      <c r="B336" s="20" t="s">
        <v>588</v>
      </c>
      <c r="C336" s="20" t="s">
        <v>104</v>
      </c>
      <c r="D336" s="20" t="s">
        <v>104</v>
      </c>
      <c r="E336" s="48" t="s">
        <v>427</v>
      </c>
      <c r="F336" s="55"/>
      <c r="G336" s="60">
        <f>G337+G338</f>
        <v>150000</v>
      </c>
      <c r="H336" s="117"/>
      <c r="I336" s="22">
        <f t="shared" si="3"/>
        <v>150000</v>
      </c>
    </row>
    <row r="337" spans="1:9" ht="27.75" customHeight="1">
      <c r="A337" s="29" t="s">
        <v>37</v>
      </c>
      <c r="B337" s="20" t="s">
        <v>588</v>
      </c>
      <c r="C337" s="20" t="s">
        <v>104</v>
      </c>
      <c r="D337" s="20" t="s">
        <v>104</v>
      </c>
      <c r="E337" s="48" t="s">
        <v>427</v>
      </c>
      <c r="F337" s="55" t="s">
        <v>38</v>
      </c>
      <c r="G337" s="60">
        <v>100000</v>
      </c>
      <c r="H337" s="117"/>
      <c r="I337" s="22">
        <f t="shared" si="3"/>
        <v>100000</v>
      </c>
    </row>
    <row r="338" spans="1:9" ht="19.5" customHeight="1">
      <c r="A338" s="26" t="s">
        <v>210</v>
      </c>
      <c r="B338" s="20" t="s">
        <v>588</v>
      </c>
      <c r="C338" s="20" t="s">
        <v>104</v>
      </c>
      <c r="D338" s="20" t="s">
        <v>104</v>
      </c>
      <c r="E338" s="48" t="s">
        <v>427</v>
      </c>
      <c r="F338" s="55" t="s">
        <v>211</v>
      </c>
      <c r="G338" s="60">
        <v>50000</v>
      </c>
      <c r="H338" s="117"/>
      <c r="I338" s="22">
        <f t="shared" si="3"/>
        <v>50000</v>
      </c>
    </row>
    <row r="339" spans="1:9" ht="55.5" customHeight="1">
      <c r="A339" s="65" t="s">
        <v>428</v>
      </c>
      <c r="B339" s="20" t="s">
        <v>588</v>
      </c>
      <c r="C339" s="20" t="s">
        <v>104</v>
      </c>
      <c r="D339" s="20" t="s">
        <v>104</v>
      </c>
      <c r="E339" s="48" t="s">
        <v>429</v>
      </c>
      <c r="F339" s="55"/>
      <c r="G339" s="60">
        <f>G340</f>
        <v>1039500</v>
      </c>
      <c r="H339" s="117"/>
      <c r="I339" s="22">
        <f t="shared" si="3"/>
        <v>1039500</v>
      </c>
    </row>
    <row r="340" spans="1:9" ht="24.75" customHeight="1">
      <c r="A340" s="41" t="s">
        <v>430</v>
      </c>
      <c r="B340" s="20" t="s">
        <v>588</v>
      </c>
      <c r="C340" s="20" t="s">
        <v>104</v>
      </c>
      <c r="D340" s="20" t="s">
        <v>104</v>
      </c>
      <c r="E340" s="48" t="s">
        <v>431</v>
      </c>
      <c r="F340" s="55"/>
      <c r="G340" s="60">
        <f>G341+G343+G345</f>
        <v>1039500</v>
      </c>
      <c r="H340" s="117"/>
      <c r="I340" s="22">
        <f t="shared" si="3"/>
        <v>1039500</v>
      </c>
    </row>
    <row r="341" spans="1:9" ht="13.5">
      <c r="A341" s="26" t="s">
        <v>432</v>
      </c>
      <c r="B341" s="20" t="s">
        <v>588</v>
      </c>
      <c r="C341" s="20" t="s">
        <v>104</v>
      </c>
      <c r="D341" s="20" t="s">
        <v>104</v>
      </c>
      <c r="E341" s="48" t="s">
        <v>433</v>
      </c>
      <c r="F341" s="21"/>
      <c r="G341" s="60">
        <f>G342</f>
        <v>409500</v>
      </c>
      <c r="H341" s="117"/>
      <c r="I341" s="22">
        <f t="shared" si="3"/>
        <v>409500</v>
      </c>
    </row>
    <row r="342" spans="1:9" ht="13.5">
      <c r="A342" s="26" t="s">
        <v>210</v>
      </c>
      <c r="B342" s="20" t="s">
        <v>588</v>
      </c>
      <c r="C342" s="20" t="s">
        <v>104</v>
      </c>
      <c r="D342" s="20" t="s">
        <v>104</v>
      </c>
      <c r="E342" s="48" t="s">
        <v>433</v>
      </c>
      <c r="F342" s="55" t="s">
        <v>211</v>
      </c>
      <c r="G342" s="60">
        <v>409500</v>
      </c>
      <c r="H342" s="117"/>
      <c r="I342" s="22">
        <f t="shared" si="3"/>
        <v>409500</v>
      </c>
    </row>
    <row r="343" spans="1:9" ht="18.75" customHeight="1">
      <c r="A343" s="84" t="s">
        <v>434</v>
      </c>
      <c r="B343" s="20" t="s">
        <v>588</v>
      </c>
      <c r="C343" s="20" t="s">
        <v>104</v>
      </c>
      <c r="D343" s="20" t="s">
        <v>104</v>
      </c>
      <c r="E343" s="48" t="s">
        <v>435</v>
      </c>
      <c r="F343" s="21"/>
      <c r="G343" s="60">
        <f>G344</f>
        <v>630000</v>
      </c>
      <c r="H343" s="117"/>
      <c r="I343" s="22">
        <f>G343+H343</f>
        <v>630000</v>
      </c>
    </row>
    <row r="344" spans="1:9" ht="13.5">
      <c r="A344" s="26" t="s">
        <v>210</v>
      </c>
      <c r="B344" s="20" t="s">
        <v>588</v>
      </c>
      <c r="C344" s="20" t="s">
        <v>104</v>
      </c>
      <c r="D344" s="20" t="s">
        <v>104</v>
      </c>
      <c r="E344" s="48" t="s">
        <v>435</v>
      </c>
      <c r="F344" s="55" t="s">
        <v>211</v>
      </c>
      <c r="G344" s="60">
        <v>630000</v>
      </c>
      <c r="H344" s="117"/>
      <c r="I344" s="22">
        <f>G344+H344</f>
        <v>630000</v>
      </c>
    </row>
    <row r="345" spans="1:9" ht="18.75" customHeight="1" hidden="1">
      <c r="A345" s="84" t="s">
        <v>436</v>
      </c>
      <c r="B345" s="20" t="s">
        <v>588</v>
      </c>
      <c r="C345" s="20" t="s">
        <v>104</v>
      </c>
      <c r="D345" s="20" t="s">
        <v>104</v>
      </c>
      <c r="E345" s="48" t="s">
        <v>437</v>
      </c>
      <c r="F345" s="21"/>
      <c r="G345" s="60">
        <f>G346</f>
        <v>0</v>
      </c>
      <c r="H345" s="117"/>
      <c r="I345" s="22">
        <f>G345+H345</f>
        <v>0</v>
      </c>
    </row>
    <row r="346" spans="1:9" ht="13.5" hidden="1">
      <c r="A346" s="26" t="s">
        <v>210</v>
      </c>
      <c r="B346" s="20" t="s">
        <v>588</v>
      </c>
      <c r="C346" s="20" t="s">
        <v>104</v>
      </c>
      <c r="D346" s="20" t="s">
        <v>104</v>
      </c>
      <c r="E346" s="48" t="s">
        <v>437</v>
      </c>
      <c r="F346" s="55" t="s">
        <v>211</v>
      </c>
      <c r="G346" s="60"/>
      <c r="H346" s="117"/>
      <c r="I346" s="22">
        <f>G346+H346</f>
        <v>0</v>
      </c>
    </row>
    <row r="347" spans="1:9" ht="13.5">
      <c r="A347" s="26" t="s">
        <v>490</v>
      </c>
      <c r="B347" s="20" t="s">
        <v>588</v>
      </c>
      <c r="C347" s="20" t="s">
        <v>215</v>
      </c>
      <c r="D347" s="20"/>
      <c r="E347" s="48"/>
      <c r="F347" s="55"/>
      <c r="G347" s="60">
        <f>G348</f>
        <v>385299</v>
      </c>
      <c r="H347" s="117"/>
      <c r="I347" s="22">
        <f t="shared" si="3"/>
        <v>385299</v>
      </c>
    </row>
    <row r="348" spans="1:9" ht="13.5">
      <c r="A348" s="91" t="s">
        <v>491</v>
      </c>
      <c r="B348" s="20" t="s">
        <v>588</v>
      </c>
      <c r="C348" s="20" t="s">
        <v>215</v>
      </c>
      <c r="D348" s="20" t="s">
        <v>104</v>
      </c>
      <c r="E348" s="20"/>
      <c r="F348" s="21"/>
      <c r="G348" s="60">
        <f>G349</f>
        <v>385299</v>
      </c>
      <c r="H348" s="117"/>
      <c r="I348" s="22">
        <f t="shared" si="3"/>
        <v>385299</v>
      </c>
    </row>
    <row r="349" spans="1:9" ht="13.5">
      <c r="A349" s="26" t="s">
        <v>81</v>
      </c>
      <c r="B349" s="20" t="s">
        <v>588</v>
      </c>
      <c r="C349" s="20" t="s">
        <v>215</v>
      </c>
      <c r="D349" s="20" t="s">
        <v>104</v>
      </c>
      <c r="E349" s="45" t="s">
        <v>82</v>
      </c>
      <c r="F349" s="31"/>
      <c r="G349" s="60">
        <f>G350</f>
        <v>385299</v>
      </c>
      <c r="H349" s="117"/>
      <c r="I349" s="22">
        <f t="shared" si="3"/>
        <v>385299</v>
      </c>
    </row>
    <row r="350" spans="1:9" ht="13.5">
      <c r="A350" s="26" t="s">
        <v>88</v>
      </c>
      <c r="B350" s="20" t="s">
        <v>588</v>
      </c>
      <c r="C350" s="20" t="s">
        <v>215</v>
      </c>
      <c r="D350" s="20" t="s">
        <v>104</v>
      </c>
      <c r="E350" s="20" t="s">
        <v>89</v>
      </c>
      <c r="F350" s="21"/>
      <c r="G350" s="60">
        <f>G351+G353</f>
        <v>385299</v>
      </c>
      <c r="H350" s="117"/>
      <c r="I350" s="22">
        <f t="shared" si="3"/>
        <v>385299</v>
      </c>
    </row>
    <row r="351" spans="1:9" ht="26.25">
      <c r="A351" s="43" t="s">
        <v>492</v>
      </c>
      <c r="B351" s="20" t="s">
        <v>588</v>
      </c>
      <c r="C351" s="20" t="s">
        <v>215</v>
      </c>
      <c r="D351" s="20" t="s">
        <v>104</v>
      </c>
      <c r="E351" s="20" t="s">
        <v>493</v>
      </c>
      <c r="F351" s="21"/>
      <c r="G351" s="60">
        <f>G352</f>
        <v>385299</v>
      </c>
      <c r="H351" s="117"/>
      <c r="I351" s="22">
        <f t="shared" si="3"/>
        <v>385299</v>
      </c>
    </row>
    <row r="352" spans="1:9" ht="26.25">
      <c r="A352" s="29" t="s">
        <v>37</v>
      </c>
      <c r="B352" s="20" t="s">
        <v>588</v>
      </c>
      <c r="C352" s="20" t="s">
        <v>215</v>
      </c>
      <c r="D352" s="20" t="s">
        <v>104</v>
      </c>
      <c r="E352" s="20" t="s">
        <v>493</v>
      </c>
      <c r="F352" s="31" t="s">
        <v>38</v>
      </c>
      <c r="G352" s="60">
        <v>385299</v>
      </c>
      <c r="H352" s="120"/>
      <c r="I352" s="22">
        <f t="shared" si="3"/>
        <v>385299</v>
      </c>
    </row>
    <row r="353" spans="1:9" ht="46.5" customHeight="1" hidden="1">
      <c r="A353" s="41" t="s">
        <v>597</v>
      </c>
      <c r="B353" s="20" t="s">
        <v>588</v>
      </c>
      <c r="C353" s="20" t="s">
        <v>215</v>
      </c>
      <c r="D353" s="20" t="s">
        <v>104</v>
      </c>
      <c r="E353" s="20" t="s">
        <v>91</v>
      </c>
      <c r="F353" s="21"/>
      <c r="G353" s="60">
        <f>G354</f>
        <v>0</v>
      </c>
      <c r="H353" s="117"/>
      <c r="I353" s="22">
        <f t="shared" si="3"/>
        <v>0</v>
      </c>
    </row>
    <row r="354" spans="1:9" ht="26.25" hidden="1">
      <c r="A354" s="29" t="s">
        <v>37</v>
      </c>
      <c r="B354" s="20" t="s">
        <v>588</v>
      </c>
      <c r="C354" s="20" t="s">
        <v>215</v>
      </c>
      <c r="D354" s="20" t="s">
        <v>104</v>
      </c>
      <c r="E354" s="20" t="s">
        <v>91</v>
      </c>
      <c r="F354" s="31" t="s">
        <v>26</v>
      </c>
      <c r="G354" s="60"/>
      <c r="H354" s="117"/>
      <c r="I354" s="22">
        <f t="shared" si="3"/>
        <v>0</v>
      </c>
    </row>
    <row r="355" spans="1:9" ht="17.25" customHeight="1">
      <c r="A355" s="26" t="s">
        <v>494</v>
      </c>
      <c r="B355" s="20" t="s">
        <v>588</v>
      </c>
      <c r="C355" s="20" t="s">
        <v>495</v>
      </c>
      <c r="D355" s="20"/>
      <c r="E355" s="48"/>
      <c r="F355" s="55"/>
      <c r="G355" s="60">
        <f>G356+G362+G378</f>
        <v>25493513</v>
      </c>
      <c r="H355" s="117"/>
      <c r="I355" s="22">
        <f t="shared" si="3"/>
        <v>25493513</v>
      </c>
    </row>
    <row r="356" spans="1:9" ht="13.5">
      <c r="A356" s="26" t="s">
        <v>496</v>
      </c>
      <c r="B356" s="20" t="s">
        <v>588</v>
      </c>
      <c r="C356" s="20" t="s">
        <v>495</v>
      </c>
      <c r="D356" s="20" t="s">
        <v>16</v>
      </c>
      <c r="E356" s="20"/>
      <c r="F356" s="21"/>
      <c r="G356" s="60">
        <f>G357</f>
        <v>268100</v>
      </c>
      <c r="H356" s="117"/>
      <c r="I356" s="22">
        <f t="shared" si="3"/>
        <v>268100</v>
      </c>
    </row>
    <row r="357" spans="1:9" ht="34.5" customHeight="1">
      <c r="A357" s="26" t="s">
        <v>497</v>
      </c>
      <c r="B357" s="20" t="s">
        <v>588</v>
      </c>
      <c r="C357" s="20" t="s">
        <v>495</v>
      </c>
      <c r="D357" s="20" t="s">
        <v>16</v>
      </c>
      <c r="E357" s="20" t="s">
        <v>43</v>
      </c>
      <c r="F357" s="21"/>
      <c r="G357" s="60">
        <f>G358</f>
        <v>268100</v>
      </c>
      <c r="H357" s="117"/>
      <c r="I357" s="22">
        <f t="shared" si="3"/>
        <v>268100</v>
      </c>
    </row>
    <row r="358" spans="1:9" ht="51.75" customHeight="1">
      <c r="A358" s="129" t="s">
        <v>498</v>
      </c>
      <c r="B358" s="20" t="s">
        <v>588</v>
      </c>
      <c r="C358" s="20" t="s">
        <v>495</v>
      </c>
      <c r="D358" s="20" t="s">
        <v>16</v>
      </c>
      <c r="E358" s="20" t="s">
        <v>121</v>
      </c>
      <c r="F358" s="21"/>
      <c r="G358" s="60">
        <f>G360</f>
        <v>268100</v>
      </c>
      <c r="H358" s="117"/>
      <c r="I358" s="22">
        <f t="shared" si="3"/>
        <v>268100</v>
      </c>
    </row>
    <row r="359" spans="1:9" ht="30.75" customHeight="1">
      <c r="A359" s="54" t="s">
        <v>499</v>
      </c>
      <c r="B359" s="20" t="s">
        <v>588</v>
      </c>
      <c r="C359" s="20" t="s">
        <v>495</v>
      </c>
      <c r="D359" s="20" t="s">
        <v>16</v>
      </c>
      <c r="E359" s="20" t="s">
        <v>500</v>
      </c>
      <c r="F359" s="21"/>
      <c r="G359" s="60">
        <f>G360</f>
        <v>268100</v>
      </c>
      <c r="H359" s="117"/>
      <c r="I359" s="22">
        <f t="shared" si="3"/>
        <v>268100</v>
      </c>
    </row>
    <row r="360" spans="1:9" ht="21.75" customHeight="1">
      <c r="A360" s="129" t="s">
        <v>501</v>
      </c>
      <c r="B360" s="20" t="s">
        <v>588</v>
      </c>
      <c r="C360" s="20" t="s">
        <v>502</v>
      </c>
      <c r="D360" s="20" t="s">
        <v>16</v>
      </c>
      <c r="E360" s="20" t="s">
        <v>503</v>
      </c>
      <c r="F360" s="21"/>
      <c r="G360" s="60">
        <f>G361</f>
        <v>268100</v>
      </c>
      <c r="H360" s="117"/>
      <c r="I360" s="22">
        <f t="shared" si="3"/>
        <v>268100</v>
      </c>
    </row>
    <row r="361" spans="1:9" ht="13.5">
      <c r="A361" s="61" t="s">
        <v>210</v>
      </c>
      <c r="B361" s="20" t="s">
        <v>588</v>
      </c>
      <c r="C361" s="20" t="s">
        <v>502</v>
      </c>
      <c r="D361" s="20" t="s">
        <v>16</v>
      </c>
      <c r="E361" s="20" t="s">
        <v>503</v>
      </c>
      <c r="F361" s="21" t="s">
        <v>211</v>
      </c>
      <c r="G361" s="60">
        <v>268100</v>
      </c>
      <c r="H361" s="120"/>
      <c r="I361" s="22">
        <f t="shared" si="3"/>
        <v>268100</v>
      </c>
    </row>
    <row r="362" spans="1:9" ht="17.25" customHeight="1">
      <c r="A362" s="26" t="s">
        <v>504</v>
      </c>
      <c r="B362" s="20" t="s">
        <v>588</v>
      </c>
      <c r="C362" s="20">
        <v>10</v>
      </c>
      <c r="D362" s="20" t="s">
        <v>28</v>
      </c>
      <c r="E362" s="20"/>
      <c r="F362" s="21"/>
      <c r="G362" s="60">
        <f>G363</f>
        <v>10509531</v>
      </c>
      <c r="H362" s="117"/>
      <c r="I362" s="22">
        <f t="shared" si="3"/>
        <v>10509531</v>
      </c>
    </row>
    <row r="363" spans="1:9" ht="44.25" customHeight="1">
      <c r="A363" s="26" t="s">
        <v>497</v>
      </c>
      <c r="B363" s="20" t="s">
        <v>588</v>
      </c>
      <c r="C363" s="20">
        <v>10</v>
      </c>
      <c r="D363" s="20" t="s">
        <v>28</v>
      </c>
      <c r="E363" s="20" t="s">
        <v>43</v>
      </c>
      <c r="F363" s="21"/>
      <c r="G363" s="60">
        <f>G364</f>
        <v>10509531</v>
      </c>
      <c r="H363" s="117"/>
      <c r="I363" s="22">
        <f t="shared" si="3"/>
        <v>10509531</v>
      </c>
    </row>
    <row r="364" spans="1:9" ht="59.25" customHeight="1">
      <c r="A364" s="47" t="s">
        <v>510</v>
      </c>
      <c r="B364" s="20" t="s">
        <v>588</v>
      </c>
      <c r="C364" s="20">
        <v>10</v>
      </c>
      <c r="D364" s="20" t="s">
        <v>28</v>
      </c>
      <c r="E364" s="20" t="s">
        <v>121</v>
      </c>
      <c r="F364" s="21"/>
      <c r="G364" s="60">
        <f>G365</f>
        <v>10509531</v>
      </c>
      <c r="H364" s="117"/>
      <c r="I364" s="22">
        <f t="shared" si="3"/>
        <v>10509531</v>
      </c>
    </row>
    <row r="365" spans="1:9" ht="35.25" customHeight="1">
      <c r="A365" s="47" t="s">
        <v>511</v>
      </c>
      <c r="B365" s="20" t="s">
        <v>588</v>
      </c>
      <c r="C365" s="20">
        <v>10</v>
      </c>
      <c r="D365" s="20" t="s">
        <v>28</v>
      </c>
      <c r="E365" s="20" t="s">
        <v>512</v>
      </c>
      <c r="F365" s="21"/>
      <c r="G365" s="60">
        <f>G366+G369+G372+G375</f>
        <v>10509531</v>
      </c>
      <c r="H365" s="117"/>
      <c r="I365" s="22">
        <f t="shared" si="3"/>
        <v>10509531</v>
      </c>
    </row>
    <row r="366" spans="1:9" ht="26.25">
      <c r="A366" s="27" t="s">
        <v>513</v>
      </c>
      <c r="B366" s="20" t="s">
        <v>588</v>
      </c>
      <c r="C366" s="20">
        <v>10</v>
      </c>
      <c r="D366" s="20" t="s">
        <v>28</v>
      </c>
      <c r="E366" s="20" t="s">
        <v>514</v>
      </c>
      <c r="F366" s="21"/>
      <c r="G366" s="60">
        <f>G368+G367</f>
        <v>43900</v>
      </c>
      <c r="H366" s="117"/>
      <c r="I366" s="22">
        <f t="shared" si="3"/>
        <v>43900</v>
      </c>
    </row>
    <row r="367" spans="1:9" ht="26.25" customHeight="1">
      <c r="A367" s="29" t="s">
        <v>37</v>
      </c>
      <c r="B367" s="20" t="s">
        <v>588</v>
      </c>
      <c r="C367" s="20">
        <v>10</v>
      </c>
      <c r="D367" s="20" t="s">
        <v>28</v>
      </c>
      <c r="E367" s="20" t="s">
        <v>514</v>
      </c>
      <c r="F367" s="21" t="s">
        <v>38</v>
      </c>
      <c r="G367" s="60">
        <v>770</v>
      </c>
      <c r="H367" s="120"/>
      <c r="I367" s="22">
        <f t="shared" si="3"/>
        <v>770</v>
      </c>
    </row>
    <row r="368" spans="1:9" ht="17.25" customHeight="1">
      <c r="A368" s="92" t="s">
        <v>210</v>
      </c>
      <c r="B368" s="20" t="s">
        <v>588</v>
      </c>
      <c r="C368" s="20">
        <v>10</v>
      </c>
      <c r="D368" s="20" t="s">
        <v>28</v>
      </c>
      <c r="E368" s="20" t="s">
        <v>514</v>
      </c>
      <c r="F368" s="21" t="s">
        <v>211</v>
      </c>
      <c r="G368" s="60">
        <v>43130</v>
      </c>
      <c r="H368" s="120"/>
      <c r="I368" s="22">
        <f t="shared" si="3"/>
        <v>43130</v>
      </c>
    </row>
    <row r="369" spans="1:9" ht="34.5" customHeight="1">
      <c r="A369" s="27" t="s">
        <v>515</v>
      </c>
      <c r="B369" s="20" t="s">
        <v>588</v>
      </c>
      <c r="C369" s="20">
        <v>10</v>
      </c>
      <c r="D369" s="20" t="s">
        <v>28</v>
      </c>
      <c r="E369" s="20" t="s">
        <v>516</v>
      </c>
      <c r="F369" s="21"/>
      <c r="G369" s="60">
        <f>G371+G370</f>
        <v>431394</v>
      </c>
      <c r="H369" s="117"/>
      <c r="I369" s="22">
        <f t="shared" si="3"/>
        <v>431394</v>
      </c>
    </row>
    <row r="370" spans="1:9" ht="34.5" customHeight="1">
      <c r="A370" s="29" t="s">
        <v>37</v>
      </c>
      <c r="B370" s="20" t="s">
        <v>588</v>
      </c>
      <c r="C370" s="20">
        <v>10</v>
      </c>
      <c r="D370" s="20" t="s">
        <v>28</v>
      </c>
      <c r="E370" s="20" t="s">
        <v>516</v>
      </c>
      <c r="F370" s="21" t="s">
        <v>38</v>
      </c>
      <c r="G370" s="60">
        <v>4700</v>
      </c>
      <c r="H370" s="120"/>
      <c r="I370" s="22">
        <f t="shared" si="3"/>
        <v>4700</v>
      </c>
    </row>
    <row r="371" spans="1:9" ht="24.75" customHeight="1">
      <c r="A371" s="92" t="s">
        <v>210</v>
      </c>
      <c r="B371" s="20" t="s">
        <v>588</v>
      </c>
      <c r="C371" s="20">
        <v>10</v>
      </c>
      <c r="D371" s="20" t="s">
        <v>28</v>
      </c>
      <c r="E371" s="20" t="s">
        <v>516</v>
      </c>
      <c r="F371" s="21" t="s">
        <v>211</v>
      </c>
      <c r="G371" s="60">
        <v>426694</v>
      </c>
      <c r="H371" s="120"/>
      <c r="I371" s="22">
        <f t="shared" si="3"/>
        <v>426694</v>
      </c>
    </row>
    <row r="372" spans="1:9" ht="18.75" customHeight="1">
      <c r="A372" s="26" t="s">
        <v>517</v>
      </c>
      <c r="B372" s="20" t="s">
        <v>588</v>
      </c>
      <c r="C372" s="20">
        <v>10</v>
      </c>
      <c r="D372" s="20" t="s">
        <v>28</v>
      </c>
      <c r="E372" s="20" t="s">
        <v>518</v>
      </c>
      <c r="F372" s="21"/>
      <c r="G372" s="60">
        <f>G374+G373</f>
        <v>9049237</v>
      </c>
      <c r="H372" s="117"/>
      <c r="I372" s="22">
        <f t="shared" si="3"/>
        <v>9049237</v>
      </c>
    </row>
    <row r="373" spans="1:9" ht="39.75" customHeight="1">
      <c r="A373" s="29" t="s">
        <v>37</v>
      </c>
      <c r="B373" s="20" t="s">
        <v>588</v>
      </c>
      <c r="C373" s="20">
        <v>10</v>
      </c>
      <c r="D373" s="20" t="s">
        <v>28</v>
      </c>
      <c r="E373" s="20" t="s">
        <v>518</v>
      </c>
      <c r="F373" s="21" t="s">
        <v>38</v>
      </c>
      <c r="G373" s="60">
        <f>90000+62000</f>
        <v>152000</v>
      </c>
      <c r="H373" s="117"/>
      <c r="I373" s="22">
        <f t="shared" si="3"/>
        <v>152000</v>
      </c>
    </row>
    <row r="374" spans="1:9" ht="20.25" customHeight="1">
      <c r="A374" s="92" t="s">
        <v>210</v>
      </c>
      <c r="B374" s="20" t="s">
        <v>588</v>
      </c>
      <c r="C374" s="20">
        <v>10</v>
      </c>
      <c r="D374" s="20" t="s">
        <v>28</v>
      </c>
      <c r="E374" s="20" t="s">
        <v>518</v>
      </c>
      <c r="F374" s="21" t="s">
        <v>211</v>
      </c>
      <c r="G374" s="60">
        <f>8897237</f>
        <v>8897237</v>
      </c>
      <c r="H374" s="117"/>
      <c r="I374" s="22">
        <f t="shared" si="3"/>
        <v>8897237</v>
      </c>
    </row>
    <row r="375" spans="1:9" s="8" customFormat="1" ht="13.5">
      <c r="A375" s="26" t="s">
        <v>519</v>
      </c>
      <c r="B375" s="20" t="s">
        <v>588</v>
      </c>
      <c r="C375" s="20">
        <v>10</v>
      </c>
      <c r="D375" s="20" t="s">
        <v>28</v>
      </c>
      <c r="E375" s="20" t="s">
        <v>520</v>
      </c>
      <c r="F375" s="21"/>
      <c r="G375" s="60">
        <f>G377+G376</f>
        <v>985000</v>
      </c>
      <c r="H375" s="117"/>
      <c r="I375" s="22">
        <f t="shared" si="3"/>
        <v>985000</v>
      </c>
    </row>
    <row r="376" spans="1:9" ht="26.25">
      <c r="A376" s="29" t="s">
        <v>37</v>
      </c>
      <c r="B376" s="20" t="s">
        <v>588</v>
      </c>
      <c r="C376" s="20">
        <v>10</v>
      </c>
      <c r="D376" s="20" t="s">
        <v>28</v>
      </c>
      <c r="E376" s="20" t="s">
        <v>520</v>
      </c>
      <c r="F376" s="21" t="s">
        <v>38</v>
      </c>
      <c r="G376" s="60">
        <f>16000+3400</f>
        <v>19400</v>
      </c>
      <c r="H376" s="117"/>
      <c r="I376" s="22">
        <f t="shared" si="3"/>
        <v>19400</v>
      </c>
    </row>
    <row r="377" spans="1:9" ht="13.5">
      <c r="A377" s="92" t="s">
        <v>210</v>
      </c>
      <c r="B377" s="20" t="s">
        <v>588</v>
      </c>
      <c r="C377" s="20">
        <v>10</v>
      </c>
      <c r="D377" s="20" t="s">
        <v>28</v>
      </c>
      <c r="E377" s="20" t="s">
        <v>520</v>
      </c>
      <c r="F377" s="21" t="s">
        <v>211</v>
      </c>
      <c r="G377" s="60">
        <f>965600</f>
        <v>965600</v>
      </c>
      <c r="H377" s="117"/>
      <c r="I377" s="22">
        <f t="shared" si="3"/>
        <v>965600</v>
      </c>
    </row>
    <row r="378" spans="1:9" ht="24" customHeight="1">
      <c r="A378" s="26" t="s">
        <v>528</v>
      </c>
      <c r="B378" s="20" t="s">
        <v>588</v>
      </c>
      <c r="C378" s="20">
        <v>10</v>
      </c>
      <c r="D378" s="20" t="s">
        <v>41</v>
      </c>
      <c r="E378" s="20"/>
      <c r="F378" s="21"/>
      <c r="G378" s="60">
        <f>G379+G393</f>
        <v>14715882</v>
      </c>
      <c r="H378" s="60">
        <f>H379</f>
        <v>0</v>
      </c>
      <c r="I378" s="22">
        <f t="shared" si="3"/>
        <v>14715882</v>
      </c>
    </row>
    <row r="379" spans="1:9" ht="44.25" customHeight="1">
      <c r="A379" s="26" t="s">
        <v>119</v>
      </c>
      <c r="B379" s="20" t="s">
        <v>588</v>
      </c>
      <c r="C379" s="20">
        <v>10</v>
      </c>
      <c r="D379" s="20" t="s">
        <v>41</v>
      </c>
      <c r="E379" s="94" t="s">
        <v>43</v>
      </c>
      <c r="F379" s="21"/>
      <c r="G379" s="60">
        <f>G380+G389</f>
        <v>14715282</v>
      </c>
      <c r="H379" s="60">
        <f>H380+H388</f>
        <v>0</v>
      </c>
      <c r="I379" s="22">
        <f t="shared" si="3"/>
        <v>14715282</v>
      </c>
    </row>
    <row r="380" spans="1:9" ht="54.75" customHeight="1">
      <c r="A380" s="47" t="s">
        <v>510</v>
      </c>
      <c r="B380" s="20" t="s">
        <v>588</v>
      </c>
      <c r="C380" s="20">
        <v>10</v>
      </c>
      <c r="D380" s="20" t="s">
        <v>41</v>
      </c>
      <c r="E380" s="94" t="s">
        <v>121</v>
      </c>
      <c r="F380" s="21"/>
      <c r="G380" s="60">
        <f>G381</f>
        <v>14715232</v>
      </c>
      <c r="H380" s="60">
        <f>H381</f>
        <v>0</v>
      </c>
      <c r="I380" s="22">
        <f t="shared" si="3"/>
        <v>14715232</v>
      </c>
    </row>
    <row r="381" spans="1:9" ht="30.75" customHeight="1">
      <c r="A381" s="47" t="s">
        <v>511</v>
      </c>
      <c r="B381" s="20" t="s">
        <v>588</v>
      </c>
      <c r="C381" s="20">
        <v>10</v>
      </c>
      <c r="D381" s="20" t="s">
        <v>41</v>
      </c>
      <c r="E381" s="20" t="s">
        <v>512</v>
      </c>
      <c r="F381" s="21"/>
      <c r="G381" s="60">
        <f>G382+G385+G387</f>
        <v>14715232</v>
      </c>
      <c r="H381" s="130"/>
      <c r="I381" s="22">
        <f t="shared" si="3"/>
        <v>14715232</v>
      </c>
    </row>
    <row r="382" spans="1:9" ht="25.5" customHeight="1">
      <c r="A382" s="26" t="s">
        <v>529</v>
      </c>
      <c r="B382" s="20" t="s">
        <v>588</v>
      </c>
      <c r="C382" s="20" t="s">
        <v>495</v>
      </c>
      <c r="D382" s="20" t="s">
        <v>41</v>
      </c>
      <c r="E382" s="20" t="s">
        <v>530</v>
      </c>
      <c r="F382" s="21"/>
      <c r="G382" s="60">
        <f>G383+G384</f>
        <v>1398704</v>
      </c>
      <c r="H382" s="130"/>
      <c r="I382" s="22">
        <f t="shared" si="3"/>
        <v>1398704</v>
      </c>
    </row>
    <row r="383" spans="1:9" ht="27" customHeight="1">
      <c r="A383" s="29" t="s">
        <v>37</v>
      </c>
      <c r="B383" s="20" t="s">
        <v>588</v>
      </c>
      <c r="C383" s="20" t="s">
        <v>495</v>
      </c>
      <c r="D383" s="20" t="s">
        <v>41</v>
      </c>
      <c r="E383" s="20" t="s">
        <v>530</v>
      </c>
      <c r="F383" s="21" t="s">
        <v>38</v>
      </c>
      <c r="G383" s="60">
        <v>260</v>
      </c>
      <c r="H383" s="120"/>
      <c r="I383" s="22">
        <f t="shared" si="3"/>
        <v>260</v>
      </c>
    </row>
    <row r="384" spans="1:9" ht="13.5">
      <c r="A384" s="92" t="s">
        <v>210</v>
      </c>
      <c r="B384" s="20" t="s">
        <v>588</v>
      </c>
      <c r="C384" s="20" t="s">
        <v>495</v>
      </c>
      <c r="D384" s="20" t="s">
        <v>41</v>
      </c>
      <c r="E384" s="20" t="s">
        <v>530</v>
      </c>
      <c r="F384" s="21" t="s">
        <v>211</v>
      </c>
      <c r="G384" s="60">
        <v>1398444</v>
      </c>
      <c r="H384" s="117"/>
      <c r="I384" s="22">
        <f t="shared" si="3"/>
        <v>1398444</v>
      </c>
    </row>
    <row r="385" spans="1:9" ht="13.5">
      <c r="A385" s="92" t="s">
        <v>709</v>
      </c>
      <c r="B385" s="20" t="s">
        <v>588</v>
      </c>
      <c r="C385" s="20" t="s">
        <v>495</v>
      </c>
      <c r="D385" s="20" t="s">
        <v>41</v>
      </c>
      <c r="E385" s="20" t="s">
        <v>707</v>
      </c>
      <c r="F385" s="21"/>
      <c r="G385" s="60">
        <f>G386</f>
        <v>13250277</v>
      </c>
      <c r="H385" s="117"/>
      <c r="I385" s="22">
        <f t="shared" si="3"/>
        <v>13250277</v>
      </c>
    </row>
    <row r="386" spans="1:9" ht="13.5">
      <c r="A386" s="92" t="s">
        <v>210</v>
      </c>
      <c r="B386" s="20" t="s">
        <v>588</v>
      </c>
      <c r="C386" s="20" t="s">
        <v>495</v>
      </c>
      <c r="D386" s="20" t="s">
        <v>41</v>
      </c>
      <c r="E386" s="20" t="s">
        <v>707</v>
      </c>
      <c r="F386" s="21" t="s">
        <v>211</v>
      </c>
      <c r="G386" s="60">
        <f>13250277</f>
        <v>13250277</v>
      </c>
      <c r="H386" s="117"/>
      <c r="I386" s="22">
        <f t="shared" si="3"/>
        <v>13250277</v>
      </c>
    </row>
    <row r="387" spans="1:9" ht="26.25">
      <c r="A387" s="92" t="s">
        <v>710</v>
      </c>
      <c r="B387" s="20" t="s">
        <v>588</v>
      </c>
      <c r="C387" s="20" t="s">
        <v>495</v>
      </c>
      <c r="D387" s="20" t="s">
        <v>41</v>
      </c>
      <c r="E387" s="20" t="s">
        <v>708</v>
      </c>
      <c r="F387" s="21"/>
      <c r="G387" s="60">
        <f>G388</f>
        <v>66251</v>
      </c>
      <c r="H387" s="117"/>
      <c r="I387" s="22">
        <f t="shared" si="3"/>
        <v>66251</v>
      </c>
    </row>
    <row r="388" spans="1:9" ht="26.25">
      <c r="A388" s="29" t="s">
        <v>37</v>
      </c>
      <c r="B388" s="20" t="s">
        <v>588</v>
      </c>
      <c r="C388" s="20" t="s">
        <v>495</v>
      </c>
      <c r="D388" s="20" t="s">
        <v>41</v>
      </c>
      <c r="E388" s="20" t="s">
        <v>708</v>
      </c>
      <c r="F388" s="21" t="s">
        <v>38</v>
      </c>
      <c r="G388" s="60">
        <f>66251</f>
        <v>66251</v>
      </c>
      <c r="H388" s="117"/>
      <c r="I388" s="22">
        <f t="shared" si="3"/>
        <v>66251</v>
      </c>
    </row>
    <row r="389" spans="1:9" ht="52.5">
      <c r="A389" s="51" t="s">
        <v>531</v>
      </c>
      <c r="B389" s="20" t="s">
        <v>588</v>
      </c>
      <c r="C389" s="20" t="s">
        <v>495</v>
      </c>
      <c r="D389" s="20" t="s">
        <v>41</v>
      </c>
      <c r="E389" s="20" t="s">
        <v>45</v>
      </c>
      <c r="F389" s="21"/>
      <c r="G389" s="60">
        <f>G390</f>
        <v>50</v>
      </c>
      <c r="H389" s="120"/>
      <c r="I389" s="22">
        <f t="shared" si="3"/>
        <v>50</v>
      </c>
    </row>
    <row r="390" spans="1:9" ht="39">
      <c r="A390" s="37" t="s">
        <v>46</v>
      </c>
      <c r="B390" s="20" t="s">
        <v>588</v>
      </c>
      <c r="C390" s="20" t="s">
        <v>495</v>
      </c>
      <c r="D390" s="20" t="s">
        <v>41</v>
      </c>
      <c r="E390" s="20" t="s">
        <v>47</v>
      </c>
      <c r="F390" s="21"/>
      <c r="G390" s="60">
        <f>G391</f>
        <v>50</v>
      </c>
      <c r="H390" s="120"/>
      <c r="I390" s="22">
        <f t="shared" si="3"/>
        <v>50</v>
      </c>
    </row>
    <row r="391" spans="1:9" ht="39">
      <c r="A391" s="38" t="s">
        <v>48</v>
      </c>
      <c r="B391" s="20" t="s">
        <v>588</v>
      </c>
      <c r="C391" s="20">
        <v>10</v>
      </c>
      <c r="D391" s="20" t="s">
        <v>41</v>
      </c>
      <c r="E391" s="20" t="s">
        <v>49</v>
      </c>
      <c r="F391" s="21"/>
      <c r="G391" s="60">
        <f>G392</f>
        <v>50</v>
      </c>
      <c r="H391" s="120"/>
      <c r="I391" s="22">
        <f t="shared" si="3"/>
        <v>50</v>
      </c>
    </row>
    <row r="392" spans="1:9" ht="39">
      <c r="A392" s="29" t="s">
        <v>25</v>
      </c>
      <c r="B392" s="20" t="s">
        <v>588</v>
      </c>
      <c r="C392" s="20">
        <v>10</v>
      </c>
      <c r="D392" s="20" t="s">
        <v>41</v>
      </c>
      <c r="E392" s="20" t="s">
        <v>49</v>
      </c>
      <c r="F392" s="21" t="s">
        <v>26</v>
      </c>
      <c r="G392" s="60">
        <v>50</v>
      </c>
      <c r="H392" s="120"/>
      <c r="I392" s="22">
        <f aca="true" t="shared" si="5" ref="I392:I466">G392+H392</f>
        <v>50</v>
      </c>
    </row>
    <row r="393" spans="1:9" ht="66">
      <c r="A393" s="26" t="s">
        <v>66</v>
      </c>
      <c r="B393" s="20" t="s">
        <v>588</v>
      </c>
      <c r="C393" s="20">
        <v>10</v>
      </c>
      <c r="D393" s="20" t="s">
        <v>41</v>
      </c>
      <c r="E393" s="30" t="s">
        <v>67</v>
      </c>
      <c r="F393" s="31"/>
      <c r="G393" s="60">
        <f>G394</f>
        <v>600</v>
      </c>
      <c r="H393" s="120"/>
      <c r="I393" s="22">
        <f t="shared" si="5"/>
        <v>600</v>
      </c>
    </row>
    <row r="394" spans="1:9" ht="39">
      <c r="A394" s="40" t="s">
        <v>68</v>
      </c>
      <c r="B394" s="20" t="s">
        <v>588</v>
      </c>
      <c r="C394" s="20">
        <v>10</v>
      </c>
      <c r="D394" s="20" t="s">
        <v>41</v>
      </c>
      <c r="E394" s="30" t="s">
        <v>69</v>
      </c>
      <c r="F394" s="31"/>
      <c r="G394" s="60">
        <f>G395</f>
        <v>600</v>
      </c>
      <c r="H394" s="120"/>
      <c r="I394" s="22">
        <f t="shared" si="5"/>
        <v>600</v>
      </c>
    </row>
    <row r="395" spans="1:9" ht="39">
      <c r="A395" s="38" t="s">
        <v>70</v>
      </c>
      <c r="B395" s="20" t="s">
        <v>588</v>
      </c>
      <c r="C395" s="20">
        <v>10</v>
      </c>
      <c r="D395" s="20" t="s">
        <v>41</v>
      </c>
      <c r="E395" s="20" t="s">
        <v>71</v>
      </c>
      <c r="F395" s="21"/>
      <c r="G395" s="60">
        <f>G396</f>
        <v>600</v>
      </c>
      <c r="H395" s="120"/>
      <c r="I395" s="22">
        <f t="shared" si="5"/>
        <v>600</v>
      </c>
    </row>
    <row r="396" spans="1:9" ht="39">
      <c r="A396" s="29" t="s">
        <v>25</v>
      </c>
      <c r="B396" s="20" t="s">
        <v>588</v>
      </c>
      <c r="C396" s="20">
        <v>10</v>
      </c>
      <c r="D396" s="20" t="s">
        <v>41</v>
      </c>
      <c r="E396" s="20" t="s">
        <v>71</v>
      </c>
      <c r="F396" s="31" t="s">
        <v>26</v>
      </c>
      <c r="G396" s="60">
        <v>600</v>
      </c>
      <c r="H396" s="120"/>
      <c r="I396" s="22">
        <f t="shared" si="5"/>
        <v>600</v>
      </c>
    </row>
    <row r="397" spans="1:9" ht="20.25" customHeight="1" hidden="1">
      <c r="A397" s="26" t="s">
        <v>550</v>
      </c>
      <c r="B397" s="20" t="s">
        <v>588</v>
      </c>
      <c r="C397" s="20" t="s">
        <v>118</v>
      </c>
      <c r="D397" s="20"/>
      <c r="E397" s="20"/>
      <c r="F397" s="21"/>
      <c r="G397" s="60">
        <f>G398</f>
        <v>0</v>
      </c>
      <c r="H397" s="117"/>
      <c r="I397" s="22">
        <f t="shared" si="5"/>
        <v>0</v>
      </c>
    </row>
    <row r="398" spans="1:9" ht="24" customHeight="1" hidden="1">
      <c r="A398" s="26" t="s">
        <v>551</v>
      </c>
      <c r="B398" s="20" t="s">
        <v>588</v>
      </c>
      <c r="C398" s="20" t="s">
        <v>118</v>
      </c>
      <c r="D398" s="20" t="s">
        <v>16</v>
      </c>
      <c r="E398" s="20"/>
      <c r="F398" s="21"/>
      <c r="G398" s="60">
        <f>G399</f>
        <v>0</v>
      </c>
      <c r="H398" s="117"/>
      <c r="I398" s="22">
        <f t="shared" si="5"/>
        <v>0</v>
      </c>
    </row>
    <row r="399" spans="1:9" s="36" customFormat="1" ht="42" customHeight="1" hidden="1">
      <c r="A399" s="40" t="s">
        <v>565</v>
      </c>
      <c r="B399" s="20" t="s">
        <v>588</v>
      </c>
      <c r="C399" s="20" t="s">
        <v>118</v>
      </c>
      <c r="D399" s="20" t="s">
        <v>16</v>
      </c>
      <c r="E399" s="45" t="s">
        <v>553</v>
      </c>
      <c r="F399" s="21"/>
      <c r="G399" s="60">
        <f>G400</f>
        <v>0</v>
      </c>
      <c r="H399" s="117"/>
      <c r="I399" s="22">
        <f t="shared" si="5"/>
        <v>0</v>
      </c>
    </row>
    <row r="400" spans="1:9" s="36" customFormat="1" ht="62.25" customHeight="1" hidden="1">
      <c r="A400" s="19" t="s">
        <v>554</v>
      </c>
      <c r="B400" s="20" t="s">
        <v>588</v>
      </c>
      <c r="C400" s="20" t="s">
        <v>118</v>
      </c>
      <c r="D400" s="20" t="s">
        <v>16</v>
      </c>
      <c r="E400" s="45" t="s">
        <v>555</v>
      </c>
      <c r="F400" s="21"/>
      <c r="G400" s="60">
        <f>G402</f>
        <v>0</v>
      </c>
      <c r="H400" s="117"/>
      <c r="I400" s="22">
        <f t="shared" si="5"/>
        <v>0</v>
      </c>
    </row>
    <row r="401" spans="1:9" ht="48" customHeight="1" hidden="1">
      <c r="A401" s="19" t="s">
        <v>556</v>
      </c>
      <c r="B401" s="20" t="s">
        <v>588</v>
      </c>
      <c r="C401" s="20" t="s">
        <v>118</v>
      </c>
      <c r="D401" s="20" t="s">
        <v>16</v>
      </c>
      <c r="E401" s="45" t="s">
        <v>557</v>
      </c>
      <c r="F401" s="21"/>
      <c r="G401" s="60">
        <f>G402</f>
        <v>0</v>
      </c>
      <c r="H401" s="117"/>
      <c r="I401" s="22">
        <f t="shared" si="5"/>
        <v>0</v>
      </c>
    </row>
    <row r="402" spans="1:9" ht="20.25" customHeight="1" hidden="1">
      <c r="A402" s="26" t="s">
        <v>558</v>
      </c>
      <c r="B402" s="20" t="s">
        <v>588</v>
      </c>
      <c r="C402" s="20" t="s">
        <v>118</v>
      </c>
      <c r="D402" s="20" t="s">
        <v>16</v>
      </c>
      <c r="E402" s="45" t="s">
        <v>559</v>
      </c>
      <c r="F402" s="21"/>
      <c r="G402" s="60">
        <f>G403</f>
        <v>0</v>
      </c>
      <c r="H402" s="117"/>
      <c r="I402" s="22">
        <f t="shared" si="5"/>
        <v>0</v>
      </c>
    </row>
    <row r="403" spans="1:9" ht="26.25" customHeight="1" hidden="1">
      <c r="A403" s="19" t="s">
        <v>560</v>
      </c>
      <c r="B403" s="20" t="s">
        <v>588</v>
      </c>
      <c r="C403" s="20" t="s">
        <v>118</v>
      </c>
      <c r="D403" s="20" t="s">
        <v>16</v>
      </c>
      <c r="E403" s="45" t="s">
        <v>559</v>
      </c>
      <c r="F403" s="21" t="s">
        <v>561</v>
      </c>
      <c r="G403" s="60"/>
      <c r="H403" s="117"/>
      <c r="I403" s="22">
        <f t="shared" si="5"/>
        <v>0</v>
      </c>
    </row>
    <row r="404" spans="1:9" s="194" customFormat="1" ht="13.5">
      <c r="A404" s="188" t="s">
        <v>539</v>
      </c>
      <c r="B404" s="20" t="s">
        <v>588</v>
      </c>
      <c r="C404" s="189" t="s">
        <v>110</v>
      </c>
      <c r="D404" s="189"/>
      <c r="E404" s="189"/>
      <c r="F404" s="190"/>
      <c r="G404" s="191">
        <f>G405</f>
        <v>1134695.9100000001</v>
      </c>
      <c r="H404" s="192"/>
      <c r="I404" s="193">
        <f t="shared" si="5"/>
        <v>1134695.9100000001</v>
      </c>
    </row>
    <row r="405" spans="1:9" s="194" customFormat="1" ht="13.5">
      <c r="A405" s="188" t="s">
        <v>540</v>
      </c>
      <c r="B405" s="20" t="s">
        <v>588</v>
      </c>
      <c r="C405" s="189" t="s">
        <v>110</v>
      </c>
      <c r="D405" s="189" t="s">
        <v>16</v>
      </c>
      <c r="E405" s="189"/>
      <c r="F405" s="190"/>
      <c r="G405" s="191">
        <f>G406</f>
        <v>1134695.9100000001</v>
      </c>
      <c r="H405" s="192"/>
      <c r="I405" s="193">
        <f t="shared" si="5"/>
        <v>1134695.9100000001</v>
      </c>
    </row>
    <row r="406" spans="1:9" s="194" customFormat="1" ht="54.75" customHeight="1">
      <c r="A406" s="195" t="s">
        <v>420</v>
      </c>
      <c r="B406" s="20" t="s">
        <v>588</v>
      </c>
      <c r="C406" s="189" t="s">
        <v>110</v>
      </c>
      <c r="D406" s="189" t="s">
        <v>16</v>
      </c>
      <c r="E406" s="196" t="s">
        <v>421</v>
      </c>
      <c r="F406" s="190"/>
      <c r="G406" s="191">
        <f>G407</f>
        <v>1134695.9100000001</v>
      </c>
      <c r="H406" s="192"/>
      <c r="I406" s="193">
        <f t="shared" si="5"/>
        <v>1134695.9100000001</v>
      </c>
    </row>
    <row r="407" spans="1:9" s="194" customFormat="1" ht="75" customHeight="1">
      <c r="A407" s="197" t="s">
        <v>541</v>
      </c>
      <c r="B407" s="20" t="s">
        <v>588</v>
      </c>
      <c r="C407" s="189" t="s">
        <v>110</v>
      </c>
      <c r="D407" s="189" t="s">
        <v>16</v>
      </c>
      <c r="E407" s="196" t="s">
        <v>542</v>
      </c>
      <c r="F407" s="190"/>
      <c r="G407" s="191">
        <f>G408+G413</f>
        <v>1134695.9100000001</v>
      </c>
      <c r="H407" s="191">
        <f>H408+H413</f>
        <v>0</v>
      </c>
      <c r="I407" s="193">
        <f t="shared" si="5"/>
        <v>1134695.9100000001</v>
      </c>
    </row>
    <row r="408" spans="1:9" s="194" customFormat="1" ht="44.25" customHeight="1">
      <c r="A408" s="197" t="s">
        <v>543</v>
      </c>
      <c r="B408" s="20" t="s">
        <v>588</v>
      </c>
      <c r="C408" s="189" t="s">
        <v>110</v>
      </c>
      <c r="D408" s="189" t="s">
        <v>16</v>
      </c>
      <c r="E408" s="196" t="s">
        <v>544</v>
      </c>
      <c r="F408" s="190"/>
      <c r="G408" s="191">
        <f>G409</f>
        <v>200000</v>
      </c>
      <c r="H408" s="192"/>
      <c r="I408" s="193">
        <f t="shared" si="5"/>
        <v>200000</v>
      </c>
    </row>
    <row r="409" spans="1:9" s="194" customFormat="1" ht="39.75" customHeight="1">
      <c r="A409" s="188" t="s">
        <v>545</v>
      </c>
      <c r="B409" s="20" t="s">
        <v>588</v>
      </c>
      <c r="C409" s="189" t="s">
        <v>110</v>
      </c>
      <c r="D409" s="189" t="s">
        <v>16</v>
      </c>
      <c r="E409" s="196" t="s">
        <v>546</v>
      </c>
      <c r="F409" s="190"/>
      <c r="G409" s="191">
        <f>G411+G410</f>
        <v>200000</v>
      </c>
      <c r="H409" s="192"/>
      <c r="I409" s="193">
        <f t="shared" si="5"/>
        <v>200000</v>
      </c>
    </row>
    <row r="410" spans="1:9" s="194" customFormat="1" ht="43.5" customHeight="1" hidden="1">
      <c r="A410" s="198" t="s">
        <v>25</v>
      </c>
      <c r="B410" s="20" t="s">
        <v>588</v>
      </c>
      <c r="C410" s="189" t="s">
        <v>110</v>
      </c>
      <c r="D410" s="189" t="s">
        <v>16</v>
      </c>
      <c r="E410" s="196" t="s">
        <v>546</v>
      </c>
      <c r="F410" s="190" t="s">
        <v>26</v>
      </c>
      <c r="G410" s="191">
        <f>3195-3195</f>
        <v>0</v>
      </c>
      <c r="H410" s="199"/>
      <c r="I410" s="193">
        <f t="shared" si="5"/>
        <v>0</v>
      </c>
    </row>
    <row r="411" spans="1:9" s="194" customFormat="1" ht="26.25">
      <c r="A411" s="198" t="s">
        <v>37</v>
      </c>
      <c r="B411" s="20" t="s">
        <v>588</v>
      </c>
      <c r="C411" s="189" t="s">
        <v>110</v>
      </c>
      <c r="D411" s="189" t="s">
        <v>16</v>
      </c>
      <c r="E411" s="196" t="s">
        <v>546</v>
      </c>
      <c r="F411" s="190" t="s">
        <v>38</v>
      </c>
      <c r="G411" s="191">
        <v>200000</v>
      </c>
      <c r="H411" s="199"/>
      <c r="I411" s="193">
        <f t="shared" si="5"/>
        <v>200000</v>
      </c>
    </row>
    <row r="412" spans="1:9" ht="26.25">
      <c r="A412" s="51" t="s">
        <v>547</v>
      </c>
      <c r="B412" s="20" t="s">
        <v>588</v>
      </c>
      <c r="C412" s="20" t="s">
        <v>110</v>
      </c>
      <c r="D412" s="20" t="s">
        <v>16</v>
      </c>
      <c r="E412" s="48" t="s">
        <v>548</v>
      </c>
      <c r="F412" s="21"/>
      <c r="G412" s="60">
        <f>G413</f>
        <v>934695.91</v>
      </c>
      <c r="H412" s="117"/>
      <c r="I412" s="22">
        <f t="shared" si="5"/>
        <v>934695.91</v>
      </c>
    </row>
    <row r="413" spans="1:9" ht="26.25">
      <c r="A413" s="26" t="s">
        <v>199</v>
      </c>
      <c r="B413" s="20" t="s">
        <v>588</v>
      </c>
      <c r="C413" s="20" t="s">
        <v>110</v>
      </c>
      <c r="D413" s="20" t="s">
        <v>16</v>
      </c>
      <c r="E413" s="48" t="s">
        <v>549</v>
      </c>
      <c r="F413" s="21"/>
      <c r="G413" s="60">
        <f>G415+G414+G416</f>
        <v>934695.91</v>
      </c>
      <c r="H413" s="117"/>
      <c r="I413" s="22">
        <f t="shared" si="5"/>
        <v>934695.91</v>
      </c>
    </row>
    <row r="414" spans="1:9" ht="39">
      <c r="A414" s="29" t="s">
        <v>25</v>
      </c>
      <c r="B414" s="20" t="s">
        <v>588</v>
      </c>
      <c r="C414" s="20" t="s">
        <v>110</v>
      </c>
      <c r="D414" s="20" t="s">
        <v>16</v>
      </c>
      <c r="E414" s="48" t="s">
        <v>549</v>
      </c>
      <c r="F414" s="21" t="s">
        <v>26</v>
      </c>
      <c r="G414" s="60">
        <f>488269.9+158587.11</f>
        <v>646857.01</v>
      </c>
      <c r="H414" s="117"/>
      <c r="I414" s="22">
        <f t="shared" si="5"/>
        <v>646857.01</v>
      </c>
    </row>
    <row r="415" spans="1:9" ht="24" customHeight="1">
      <c r="A415" s="29" t="s">
        <v>37</v>
      </c>
      <c r="B415" s="20" t="s">
        <v>588</v>
      </c>
      <c r="C415" s="20" t="s">
        <v>110</v>
      </c>
      <c r="D415" s="20" t="s">
        <v>16</v>
      </c>
      <c r="E415" s="48" t="s">
        <v>549</v>
      </c>
      <c r="F415" s="21" t="s">
        <v>38</v>
      </c>
      <c r="G415" s="60">
        <f>350.25+287488.65</f>
        <v>287838.9</v>
      </c>
      <c r="H415" s="117"/>
      <c r="I415" s="22">
        <f t="shared" si="5"/>
        <v>287838.9</v>
      </c>
    </row>
    <row r="416" spans="1:9" ht="1.5" customHeight="1" hidden="1">
      <c r="A416" s="61" t="s">
        <v>79</v>
      </c>
      <c r="B416" s="20" t="s">
        <v>588</v>
      </c>
      <c r="C416" s="20" t="s">
        <v>110</v>
      </c>
      <c r="D416" s="20" t="s">
        <v>16</v>
      </c>
      <c r="E416" s="48" t="s">
        <v>549</v>
      </c>
      <c r="F416" s="21" t="s">
        <v>80</v>
      </c>
      <c r="G416" s="60"/>
      <c r="H416" s="117"/>
      <c r="I416" s="22">
        <f t="shared" si="5"/>
        <v>0</v>
      </c>
    </row>
    <row r="417" spans="1:9" ht="32.25" customHeight="1">
      <c r="A417" s="26" t="s">
        <v>562</v>
      </c>
      <c r="B417" s="20" t="s">
        <v>588</v>
      </c>
      <c r="C417" s="20" t="s">
        <v>563</v>
      </c>
      <c r="D417" s="20"/>
      <c r="E417" s="20"/>
      <c r="F417" s="21"/>
      <c r="G417" s="60">
        <f aca="true" t="shared" si="6" ref="G417:G422">G418</f>
        <v>11501809</v>
      </c>
      <c r="H417" s="117"/>
      <c r="I417" s="22">
        <f t="shared" si="5"/>
        <v>11501809</v>
      </c>
    </row>
    <row r="418" spans="1:9" ht="34.5" customHeight="1">
      <c r="A418" s="26" t="s">
        <v>564</v>
      </c>
      <c r="B418" s="20" t="s">
        <v>588</v>
      </c>
      <c r="C418" s="20" t="s">
        <v>563</v>
      </c>
      <c r="D418" s="20" t="s">
        <v>16</v>
      </c>
      <c r="E418" s="20"/>
      <c r="F418" s="21"/>
      <c r="G418" s="60">
        <f t="shared" si="6"/>
        <v>11501809</v>
      </c>
      <c r="H418" s="117"/>
      <c r="I418" s="22">
        <f t="shared" si="5"/>
        <v>11501809</v>
      </c>
    </row>
    <row r="419" spans="1:9" ht="44.25" customHeight="1">
      <c r="A419" s="40" t="s">
        <v>565</v>
      </c>
      <c r="B419" s="20" t="s">
        <v>588</v>
      </c>
      <c r="C419" s="20" t="s">
        <v>563</v>
      </c>
      <c r="D419" s="20" t="s">
        <v>16</v>
      </c>
      <c r="E419" s="20" t="s">
        <v>553</v>
      </c>
      <c r="F419" s="21"/>
      <c r="G419" s="60">
        <f t="shared" si="6"/>
        <v>11501809</v>
      </c>
      <c r="H419" s="117"/>
      <c r="I419" s="22">
        <f t="shared" si="5"/>
        <v>11501809</v>
      </c>
    </row>
    <row r="420" spans="1:9" ht="65.25" customHeight="1">
      <c r="A420" s="19" t="s">
        <v>566</v>
      </c>
      <c r="B420" s="20" t="s">
        <v>588</v>
      </c>
      <c r="C420" s="20" t="s">
        <v>563</v>
      </c>
      <c r="D420" s="20" t="s">
        <v>16</v>
      </c>
      <c r="E420" s="20" t="s">
        <v>567</v>
      </c>
      <c r="F420" s="21"/>
      <c r="G420" s="60">
        <f t="shared" si="6"/>
        <v>11501809</v>
      </c>
      <c r="H420" s="117"/>
      <c r="I420" s="22">
        <f t="shared" si="5"/>
        <v>11501809</v>
      </c>
    </row>
    <row r="421" spans="1:9" ht="33.75" customHeight="1">
      <c r="A421" s="40" t="s">
        <v>568</v>
      </c>
      <c r="B421" s="20" t="s">
        <v>588</v>
      </c>
      <c r="C421" s="20" t="s">
        <v>563</v>
      </c>
      <c r="D421" s="20" t="s">
        <v>16</v>
      </c>
      <c r="E421" s="20" t="s">
        <v>569</v>
      </c>
      <c r="F421" s="21"/>
      <c r="G421" s="60">
        <f t="shared" si="6"/>
        <v>11501809</v>
      </c>
      <c r="H421" s="117"/>
      <c r="I421" s="22">
        <f t="shared" si="5"/>
        <v>11501809</v>
      </c>
    </row>
    <row r="422" spans="1:9" ht="39">
      <c r="A422" s="118" t="s">
        <v>570</v>
      </c>
      <c r="B422" s="20" t="s">
        <v>588</v>
      </c>
      <c r="C422" s="20" t="s">
        <v>563</v>
      </c>
      <c r="D422" s="20" t="s">
        <v>16</v>
      </c>
      <c r="E422" s="20" t="s">
        <v>571</v>
      </c>
      <c r="F422" s="21"/>
      <c r="G422" s="60">
        <f t="shared" si="6"/>
        <v>11501809</v>
      </c>
      <c r="H422" s="117"/>
      <c r="I422" s="22">
        <f t="shared" si="5"/>
        <v>11501809</v>
      </c>
    </row>
    <row r="423" spans="1:9" ht="13.5">
      <c r="A423" s="77" t="s">
        <v>197</v>
      </c>
      <c r="B423" s="20" t="s">
        <v>588</v>
      </c>
      <c r="C423" s="20" t="s">
        <v>563</v>
      </c>
      <c r="D423" s="20" t="s">
        <v>16</v>
      </c>
      <c r="E423" s="20" t="s">
        <v>571</v>
      </c>
      <c r="F423" s="31" t="s">
        <v>198</v>
      </c>
      <c r="G423" s="60">
        <v>11501809</v>
      </c>
      <c r="H423" s="120"/>
      <c r="I423" s="22">
        <f t="shared" si="5"/>
        <v>11501809</v>
      </c>
    </row>
    <row r="424" spans="1:11" ht="31.5" customHeight="1">
      <c r="A424" s="116" t="s">
        <v>598</v>
      </c>
      <c r="B424" s="20" t="s">
        <v>599</v>
      </c>
      <c r="C424" s="20"/>
      <c r="D424" s="20"/>
      <c r="E424" s="48"/>
      <c r="F424" s="55"/>
      <c r="G424" s="131">
        <f>G425+G432+G576+G606</f>
        <v>458544429.09</v>
      </c>
      <c r="H424" s="131">
        <f>H425+H432+H576+H606</f>
        <v>16059644.48</v>
      </c>
      <c r="I424" s="22">
        <f t="shared" si="5"/>
        <v>474604073.57</v>
      </c>
      <c r="J424" s="28"/>
      <c r="K424" s="28">
        <f>J424-I424</f>
        <v>-474604073.57</v>
      </c>
    </row>
    <row r="425" spans="1:9" ht="13.5" hidden="1">
      <c r="A425" s="26" t="s">
        <v>233</v>
      </c>
      <c r="B425" s="20" t="s">
        <v>599</v>
      </c>
      <c r="C425" s="20" t="s">
        <v>41</v>
      </c>
      <c r="D425" s="20"/>
      <c r="E425" s="20"/>
      <c r="F425" s="21"/>
      <c r="G425" s="60">
        <f>G426</f>
        <v>0</v>
      </c>
      <c r="H425" s="117">
        <f>H426</f>
        <v>0</v>
      </c>
      <c r="I425" s="22">
        <f t="shared" si="5"/>
        <v>0</v>
      </c>
    </row>
    <row r="426" spans="1:9" ht="13.5" hidden="1">
      <c r="A426" s="26" t="s">
        <v>274</v>
      </c>
      <c r="B426" s="20" t="s">
        <v>599</v>
      </c>
      <c r="C426" s="20" t="s">
        <v>41</v>
      </c>
      <c r="D426" s="20" t="s">
        <v>275</v>
      </c>
      <c r="E426" s="20"/>
      <c r="F426" s="21"/>
      <c r="G426" s="60">
        <f>G427</f>
        <v>0</v>
      </c>
      <c r="H426" s="117">
        <f>H427</f>
        <v>0</v>
      </c>
      <c r="I426" s="22">
        <f t="shared" si="5"/>
        <v>0</v>
      </c>
    </row>
    <row r="427" spans="1:9" ht="39.75" hidden="1">
      <c r="A427" s="125" t="s">
        <v>600</v>
      </c>
      <c r="B427" s="20" t="s">
        <v>599</v>
      </c>
      <c r="C427" s="20" t="s">
        <v>41</v>
      </c>
      <c r="D427" s="20" t="s">
        <v>275</v>
      </c>
      <c r="E427" s="75" t="s">
        <v>286</v>
      </c>
      <c r="F427" s="21"/>
      <c r="G427" s="60">
        <f>G428</f>
        <v>0</v>
      </c>
      <c r="H427" s="117"/>
      <c r="I427" s="22">
        <f t="shared" si="5"/>
        <v>0</v>
      </c>
    </row>
    <row r="428" spans="1:9" ht="72" customHeight="1" hidden="1">
      <c r="A428" s="65" t="s">
        <v>601</v>
      </c>
      <c r="B428" s="20" t="s">
        <v>599</v>
      </c>
      <c r="C428" s="20" t="s">
        <v>41</v>
      </c>
      <c r="D428" s="20" t="s">
        <v>275</v>
      </c>
      <c r="E428" s="75" t="s">
        <v>288</v>
      </c>
      <c r="F428" s="21"/>
      <c r="G428" s="60">
        <f>G429</f>
        <v>0</v>
      </c>
      <c r="H428" s="117"/>
      <c r="I428" s="22">
        <f t="shared" si="5"/>
        <v>0</v>
      </c>
    </row>
    <row r="429" spans="1:9" ht="30.75" customHeight="1" hidden="1">
      <c r="A429" s="41" t="s">
        <v>289</v>
      </c>
      <c r="B429" s="20" t="s">
        <v>599</v>
      </c>
      <c r="C429" s="20" t="s">
        <v>41</v>
      </c>
      <c r="D429" s="20" t="s">
        <v>275</v>
      </c>
      <c r="E429" s="75" t="s">
        <v>290</v>
      </c>
      <c r="F429" s="21"/>
      <c r="G429" s="60">
        <f>G430</f>
        <v>0</v>
      </c>
      <c r="H429" s="117"/>
      <c r="I429" s="22">
        <f>I430</f>
        <v>0</v>
      </c>
    </row>
    <row r="430" spans="1:9" ht="19.5" customHeight="1" hidden="1">
      <c r="A430" s="19" t="s">
        <v>291</v>
      </c>
      <c r="B430" s="20" t="s">
        <v>599</v>
      </c>
      <c r="C430" s="20" t="s">
        <v>41</v>
      </c>
      <c r="D430" s="20" t="s">
        <v>275</v>
      </c>
      <c r="E430" s="75" t="s">
        <v>292</v>
      </c>
      <c r="F430" s="21"/>
      <c r="G430" s="60">
        <f>G431</f>
        <v>0</v>
      </c>
      <c r="H430" s="117"/>
      <c r="I430" s="22">
        <f t="shared" si="5"/>
        <v>0</v>
      </c>
    </row>
    <row r="431" spans="1:9" ht="15" hidden="1">
      <c r="A431" s="88" t="s">
        <v>37</v>
      </c>
      <c r="B431" s="20" t="s">
        <v>599</v>
      </c>
      <c r="C431" s="20" t="s">
        <v>41</v>
      </c>
      <c r="D431" s="20" t="s">
        <v>275</v>
      </c>
      <c r="E431" s="75" t="s">
        <v>292</v>
      </c>
      <c r="F431" s="21" t="s">
        <v>38</v>
      </c>
      <c r="G431" s="60"/>
      <c r="H431" s="117"/>
      <c r="I431" s="22">
        <f t="shared" si="5"/>
        <v>0</v>
      </c>
    </row>
    <row r="432" spans="1:9" ht="16.5" customHeight="1">
      <c r="A432" s="26" t="s">
        <v>362</v>
      </c>
      <c r="B432" s="20" t="s">
        <v>599</v>
      </c>
      <c r="C432" s="20" t="s">
        <v>104</v>
      </c>
      <c r="D432" s="20"/>
      <c r="E432" s="48"/>
      <c r="F432" s="55"/>
      <c r="G432" s="60">
        <f>G433+G453+G521+G539+G559</f>
        <v>415655362</v>
      </c>
      <c r="H432" s="60">
        <f>H433+H453+H521+H539+H559</f>
        <v>16059644.48</v>
      </c>
      <c r="I432" s="22">
        <f t="shared" si="5"/>
        <v>431715006.48</v>
      </c>
    </row>
    <row r="433" spans="1:9" ht="18" customHeight="1">
      <c r="A433" s="26" t="s">
        <v>363</v>
      </c>
      <c r="B433" s="20" t="s">
        <v>599</v>
      </c>
      <c r="C433" s="20" t="s">
        <v>104</v>
      </c>
      <c r="D433" s="20" t="s">
        <v>16</v>
      </c>
      <c r="E433" s="48"/>
      <c r="F433" s="55"/>
      <c r="G433" s="60">
        <f>G434</f>
        <v>89276317</v>
      </c>
      <c r="H433" s="60">
        <f>H434+H451</f>
        <v>6579733.65</v>
      </c>
      <c r="I433" s="22">
        <f t="shared" si="5"/>
        <v>95856050.65</v>
      </c>
    </row>
    <row r="434" spans="1:9" ht="29.25" customHeight="1">
      <c r="A434" s="26" t="s">
        <v>364</v>
      </c>
      <c r="B434" s="20" t="s">
        <v>599</v>
      </c>
      <c r="C434" s="20" t="s">
        <v>104</v>
      </c>
      <c r="D434" s="20" t="s">
        <v>16</v>
      </c>
      <c r="E434" s="20" t="s">
        <v>365</v>
      </c>
      <c r="F434" s="21"/>
      <c r="G434" s="60">
        <f>G435</f>
        <v>89276317</v>
      </c>
      <c r="H434" s="117">
        <f>H435</f>
        <v>6579733.65</v>
      </c>
      <c r="I434" s="22">
        <f t="shared" si="5"/>
        <v>95856050.65</v>
      </c>
    </row>
    <row r="435" spans="1:9" ht="41.25" customHeight="1">
      <c r="A435" s="83" t="s">
        <v>366</v>
      </c>
      <c r="B435" s="20" t="s">
        <v>599</v>
      </c>
      <c r="C435" s="20" t="s">
        <v>104</v>
      </c>
      <c r="D435" s="20" t="s">
        <v>16</v>
      </c>
      <c r="E435" s="20" t="s">
        <v>367</v>
      </c>
      <c r="F435" s="21"/>
      <c r="G435" s="60">
        <f>G436</f>
        <v>89276317</v>
      </c>
      <c r="H435" s="60">
        <f>H436</f>
        <v>6579733.65</v>
      </c>
      <c r="I435" s="22">
        <f t="shared" si="5"/>
        <v>95856050.65</v>
      </c>
    </row>
    <row r="436" spans="1:9" ht="27.75" customHeight="1">
      <c r="A436" s="41" t="s">
        <v>368</v>
      </c>
      <c r="B436" s="20" t="s">
        <v>599</v>
      </c>
      <c r="C436" s="20" t="s">
        <v>104</v>
      </c>
      <c r="D436" s="20" t="s">
        <v>16</v>
      </c>
      <c r="E436" s="20" t="s">
        <v>369</v>
      </c>
      <c r="F436" s="21"/>
      <c r="G436" s="60">
        <f>G437+G444+G446+G442+G440+G451</f>
        <v>89276317</v>
      </c>
      <c r="H436" s="60">
        <f>H437+H444+H446+H442+H440+H451</f>
        <v>6579733.65</v>
      </c>
      <c r="I436" s="22">
        <f t="shared" si="5"/>
        <v>95856050.65</v>
      </c>
    </row>
    <row r="437" spans="1:9" ht="67.5" customHeight="1">
      <c r="A437" s="118" t="s">
        <v>370</v>
      </c>
      <c r="B437" s="20" t="s">
        <v>599</v>
      </c>
      <c r="C437" s="20" t="s">
        <v>104</v>
      </c>
      <c r="D437" s="20" t="s">
        <v>16</v>
      </c>
      <c r="E437" s="20" t="s">
        <v>371</v>
      </c>
      <c r="F437" s="21"/>
      <c r="G437" s="60">
        <f>G438+G439</f>
        <v>50718054</v>
      </c>
      <c r="H437" s="117"/>
      <c r="I437" s="22">
        <f t="shared" si="5"/>
        <v>50718054</v>
      </c>
    </row>
    <row r="438" spans="1:9" ht="45" customHeight="1">
      <c r="A438" s="81" t="s">
        <v>25</v>
      </c>
      <c r="B438" s="20" t="s">
        <v>599</v>
      </c>
      <c r="C438" s="20" t="s">
        <v>104</v>
      </c>
      <c r="D438" s="20" t="s">
        <v>16</v>
      </c>
      <c r="E438" s="20" t="s">
        <v>371</v>
      </c>
      <c r="F438" s="21" t="s">
        <v>26</v>
      </c>
      <c r="G438" s="60">
        <v>50174926</v>
      </c>
      <c r="H438" s="120"/>
      <c r="I438" s="22">
        <f t="shared" si="5"/>
        <v>50174926</v>
      </c>
    </row>
    <row r="439" spans="1:9" ht="24" customHeight="1">
      <c r="A439" s="29" t="s">
        <v>37</v>
      </c>
      <c r="B439" s="20" t="s">
        <v>599</v>
      </c>
      <c r="C439" s="20" t="s">
        <v>104</v>
      </c>
      <c r="D439" s="20" t="s">
        <v>16</v>
      </c>
      <c r="E439" s="20" t="s">
        <v>371</v>
      </c>
      <c r="F439" s="21" t="s">
        <v>38</v>
      </c>
      <c r="G439" s="60">
        <v>543128</v>
      </c>
      <c r="H439" s="120"/>
      <c r="I439" s="22">
        <f t="shared" si="5"/>
        <v>543128</v>
      </c>
    </row>
    <row r="440" spans="1:9" ht="0.75" customHeight="1" hidden="1">
      <c r="A440" s="118" t="s">
        <v>388</v>
      </c>
      <c r="B440" s="20" t="s">
        <v>599</v>
      </c>
      <c r="C440" s="20" t="s">
        <v>104</v>
      </c>
      <c r="D440" s="20" t="s">
        <v>16</v>
      </c>
      <c r="E440" s="20" t="s">
        <v>602</v>
      </c>
      <c r="F440" s="21"/>
      <c r="G440" s="60">
        <f>G441</f>
        <v>0</v>
      </c>
      <c r="H440" s="117"/>
      <c r="I440" s="22">
        <f>G440+H440</f>
        <v>0</v>
      </c>
    </row>
    <row r="441" spans="1:9" ht="26.25" hidden="1">
      <c r="A441" s="29" t="s">
        <v>37</v>
      </c>
      <c r="B441" s="20" t="s">
        <v>599</v>
      </c>
      <c r="C441" s="20" t="s">
        <v>104</v>
      </c>
      <c r="D441" s="20" t="s">
        <v>16</v>
      </c>
      <c r="E441" s="20" t="s">
        <v>602</v>
      </c>
      <c r="F441" s="21" t="s">
        <v>38</v>
      </c>
      <c r="G441" s="60"/>
      <c r="H441" s="117"/>
      <c r="I441" s="22">
        <f>G441+H441</f>
        <v>0</v>
      </c>
    </row>
    <row r="442" spans="1:9" ht="0.75" customHeight="1" hidden="1">
      <c r="A442" s="118" t="s">
        <v>390</v>
      </c>
      <c r="B442" s="20" t="s">
        <v>599</v>
      </c>
      <c r="C442" s="20" t="s">
        <v>104</v>
      </c>
      <c r="D442" s="20" t="s">
        <v>16</v>
      </c>
      <c r="E442" s="20" t="s">
        <v>603</v>
      </c>
      <c r="F442" s="21"/>
      <c r="G442" s="60">
        <f>G443</f>
        <v>0</v>
      </c>
      <c r="H442" s="117"/>
      <c r="I442" s="22">
        <f t="shared" si="5"/>
        <v>0</v>
      </c>
    </row>
    <row r="443" spans="1:9" ht="26.25" hidden="1">
      <c r="A443" s="29" t="s">
        <v>37</v>
      </c>
      <c r="B443" s="20" t="s">
        <v>599</v>
      </c>
      <c r="C443" s="20" t="s">
        <v>104</v>
      </c>
      <c r="D443" s="20" t="s">
        <v>16</v>
      </c>
      <c r="E443" s="20" t="s">
        <v>603</v>
      </c>
      <c r="F443" s="21" t="s">
        <v>38</v>
      </c>
      <c r="G443" s="60">
        <f>175343-175343</f>
        <v>0</v>
      </c>
      <c r="H443" s="117"/>
      <c r="I443" s="22">
        <f t="shared" si="5"/>
        <v>0</v>
      </c>
    </row>
    <row r="444" spans="1:9" ht="26.25" hidden="1">
      <c r="A444" s="118" t="s">
        <v>604</v>
      </c>
      <c r="B444" s="20" t="s">
        <v>599</v>
      </c>
      <c r="C444" s="20" t="s">
        <v>104</v>
      </c>
      <c r="D444" s="20" t="s">
        <v>16</v>
      </c>
      <c r="E444" s="20" t="s">
        <v>605</v>
      </c>
      <c r="F444" s="21"/>
      <c r="G444" s="60">
        <f>G445</f>
        <v>0</v>
      </c>
      <c r="H444" s="120"/>
      <c r="I444" s="22">
        <f t="shared" si="5"/>
        <v>0</v>
      </c>
    </row>
    <row r="445" spans="1:9" ht="26.25" hidden="1">
      <c r="A445" s="29" t="s">
        <v>37</v>
      </c>
      <c r="B445" s="20" t="s">
        <v>599</v>
      </c>
      <c r="C445" s="20" t="s">
        <v>104</v>
      </c>
      <c r="D445" s="20" t="s">
        <v>16</v>
      </c>
      <c r="E445" s="20" t="s">
        <v>605</v>
      </c>
      <c r="F445" s="21" t="s">
        <v>38</v>
      </c>
      <c r="G445" s="60"/>
      <c r="H445" s="120"/>
      <c r="I445" s="22">
        <f t="shared" si="5"/>
        <v>0</v>
      </c>
    </row>
    <row r="446" spans="1:9" ht="25.5" customHeight="1">
      <c r="A446" s="41" t="s">
        <v>199</v>
      </c>
      <c r="B446" s="20" t="s">
        <v>599</v>
      </c>
      <c r="C446" s="20" t="s">
        <v>104</v>
      </c>
      <c r="D446" s="20" t="s">
        <v>16</v>
      </c>
      <c r="E446" s="20" t="s">
        <v>372</v>
      </c>
      <c r="F446" s="21"/>
      <c r="G446" s="60">
        <f>G447+G448+G450+G449</f>
        <v>37498185</v>
      </c>
      <c r="H446" s="60">
        <f>H447+H448+H450+H449</f>
        <v>6579733.65</v>
      </c>
      <c r="I446" s="22">
        <f t="shared" si="5"/>
        <v>44077918.65</v>
      </c>
    </row>
    <row r="447" spans="1:9" ht="45" customHeight="1">
      <c r="A447" s="29" t="s">
        <v>25</v>
      </c>
      <c r="B447" s="20" t="s">
        <v>599</v>
      </c>
      <c r="C447" s="20" t="s">
        <v>104</v>
      </c>
      <c r="D447" s="20" t="s">
        <v>16</v>
      </c>
      <c r="E447" s="20" t="s">
        <v>372</v>
      </c>
      <c r="F447" s="21" t="s">
        <v>26</v>
      </c>
      <c r="G447" s="60">
        <v>24158600</v>
      </c>
      <c r="H447" s="117"/>
      <c r="I447" s="22">
        <f t="shared" si="5"/>
        <v>24158600</v>
      </c>
    </row>
    <row r="448" spans="1:9" ht="28.5" customHeight="1">
      <c r="A448" s="29" t="s">
        <v>37</v>
      </c>
      <c r="B448" s="20" t="s">
        <v>599</v>
      </c>
      <c r="C448" s="20" t="s">
        <v>104</v>
      </c>
      <c r="D448" s="20" t="s">
        <v>16</v>
      </c>
      <c r="E448" s="20" t="s">
        <v>372</v>
      </c>
      <c r="F448" s="21" t="s">
        <v>38</v>
      </c>
      <c r="G448" s="60">
        <f>15546850-6243500+362000+209575+1466150+130000</f>
        <v>11471075</v>
      </c>
      <c r="H448" s="117">
        <f>6243500+10000.08+326233.57</f>
        <v>6579733.65</v>
      </c>
      <c r="I448" s="22">
        <f t="shared" si="5"/>
        <v>18050808.65</v>
      </c>
    </row>
    <row r="449" spans="1:9" ht="28.5" customHeight="1">
      <c r="A449" s="66" t="s">
        <v>253</v>
      </c>
      <c r="B449" s="20" t="s">
        <v>599</v>
      </c>
      <c r="C449" s="20" t="s">
        <v>104</v>
      </c>
      <c r="D449" s="20" t="s">
        <v>16</v>
      </c>
      <c r="E449" s="20" t="s">
        <v>372</v>
      </c>
      <c r="F449" s="21" t="s">
        <v>254</v>
      </c>
      <c r="G449" s="60"/>
      <c r="H449" s="117"/>
      <c r="I449" s="22">
        <f t="shared" si="5"/>
        <v>0</v>
      </c>
    </row>
    <row r="450" spans="1:9" ht="13.5">
      <c r="A450" s="41" t="s">
        <v>79</v>
      </c>
      <c r="B450" s="20" t="s">
        <v>599</v>
      </c>
      <c r="C450" s="20" t="s">
        <v>104</v>
      </c>
      <c r="D450" s="20" t="s">
        <v>16</v>
      </c>
      <c r="E450" s="20" t="s">
        <v>372</v>
      </c>
      <c r="F450" s="21" t="s">
        <v>80</v>
      </c>
      <c r="G450" s="60">
        <v>1868510</v>
      </c>
      <c r="H450" s="117"/>
      <c r="I450" s="22">
        <f t="shared" si="5"/>
        <v>1868510</v>
      </c>
    </row>
    <row r="451" spans="1:9" ht="26.25">
      <c r="A451" s="41" t="s">
        <v>725</v>
      </c>
      <c r="B451" s="20" t="s">
        <v>599</v>
      </c>
      <c r="C451" s="20" t="s">
        <v>104</v>
      </c>
      <c r="D451" s="20" t="s">
        <v>16</v>
      </c>
      <c r="E451" s="20" t="s">
        <v>722</v>
      </c>
      <c r="F451" s="21"/>
      <c r="G451" s="60">
        <f>G452</f>
        <v>1060078</v>
      </c>
      <c r="H451" s="117"/>
      <c r="I451" s="22">
        <f t="shared" si="5"/>
        <v>1060078</v>
      </c>
    </row>
    <row r="452" spans="1:9" ht="26.25">
      <c r="A452" s="29" t="s">
        <v>37</v>
      </c>
      <c r="B452" s="20" t="s">
        <v>599</v>
      </c>
      <c r="C452" s="20" t="s">
        <v>104</v>
      </c>
      <c r="D452" s="20" t="s">
        <v>16</v>
      </c>
      <c r="E452" s="20" t="s">
        <v>722</v>
      </c>
      <c r="F452" s="21" t="s">
        <v>38</v>
      </c>
      <c r="G452" s="60">
        <f>1060078</f>
        <v>1060078</v>
      </c>
      <c r="H452" s="117"/>
      <c r="I452" s="22">
        <f t="shared" si="5"/>
        <v>1060078</v>
      </c>
    </row>
    <row r="453" spans="1:9" ht="13.5">
      <c r="A453" s="26" t="s">
        <v>379</v>
      </c>
      <c r="B453" s="20" t="s">
        <v>599</v>
      </c>
      <c r="C453" s="20" t="s">
        <v>104</v>
      </c>
      <c r="D453" s="20" t="s">
        <v>18</v>
      </c>
      <c r="E453" s="20"/>
      <c r="F453" s="21"/>
      <c r="G453" s="60">
        <f>G454+G503+G511+G494+G516</f>
        <v>272544073</v>
      </c>
      <c r="H453" s="60">
        <f>H454+H503+H511+H494+H516</f>
        <v>8197233.77</v>
      </c>
      <c r="I453" s="22">
        <f>I454+I503+I511+I494+I516</f>
        <v>280741306.77</v>
      </c>
    </row>
    <row r="454" spans="1:9" ht="26.25">
      <c r="A454" s="26" t="s">
        <v>364</v>
      </c>
      <c r="B454" s="20" t="s">
        <v>599</v>
      </c>
      <c r="C454" s="20" t="s">
        <v>104</v>
      </c>
      <c r="D454" s="20" t="s">
        <v>18</v>
      </c>
      <c r="E454" s="20" t="s">
        <v>365</v>
      </c>
      <c r="F454" s="21"/>
      <c r="G454" s="60">
        <f>G455</f>
        <v>271366005</v>
      </c>
      <c r="H454" s="60">
        <f>H455</f>
        <v>8197233.77</v>
      </c>
      <c r="I454" s="22">
        <f t="shared" si="5"/>
        <v>279563238.77</v>
      </c>
    </row>
    <row r="455" spans="1:9" ht="39">
      <c r="A455" s="83" t="s">
        <v>366</v>
      </c>
      <c r="B455" s="20" t="s">
        <v>599</v>
      </c>
      <c r="C455" s="20" t="s">
        <v>104</v>
      </c>
      <c r="D455" s="20" t="s">
        <v>18</v>
      </c>
      <c r="E455" s="20" t="s">
        <v>367</v>
      </c>
      <c r="F455" s="21"/>
      <c r="G455" s="60">
        <f>G464+G459+G456</f>
        <v>271366005</v>
      </c>
      <c r="H455" s="60">
        <f>H464+H492+H459</f>
        <v>8197233.77</v>
      </c>
      <c r="I455" s="22">
        <f t="shared" si="5"/>
        <v>279563238.77</v>
      </c>
    </row>
    <row r="456" spans="1:9" ht="13.5">
      <c r="A456" s="184" t="s">
        <v>572</v>
      </c>
      <c r="B456" s="20" t="s">
        <v>599</v>
      </c>
      <c r="C456" s="20" t="s">
        <v>104</v>
      </c>
      <c r="D456" s="20" t="s">
        <v>18</v>
      </c>
      <c r="E456" s="20" t="s">
        <v>573</v>
      </c>
      <c r="F456" s="21"/>
      <c r="G456" s="60">
        <f>G457</f>
        <v>3419565</v>
      </c>
      <c r="H456" s="130"/>
      <c r="I456" s="22">
        <f t="shared" si="5"/>
        <v>3419565</v>
      </c>
    </row>
    <row r="457" spans="1:9" ht="60.75" customHeight="1">
      <c r="A457" s="87" t="s">
        <v>714</v>
      </c>
      <c r="B457" s="20" t="s">
        <v>599</v>
      </c>
      <c r="C457" s="20" t="s">
        <v>104</v>
      </c>
      <c r="D457" s="20" t="s">
        <v>18</v>
      </c>
      <c r="E457" s="20" t="s">
        <v>574</v>
      </c>
      <c r="F457" s="21"/>
      <c r="G457" s="60">
        <f>G458</f>
        <v>3419565</v>
      </c>
      <c r="H457" s="130"/>
      <c r="I457" s="22">
        <f t="shared" si="5"/>
        <v>3419565</v>
      </c>
    </row>
    <row r="458" spans="1:9" ht="26.25">
      <c r="A458" s="29" t="s">
        <v>37</v>
      </c>
      <c r="B458" s="20" t="s">
        <v>599</v>
      </c>
      <c r="C458" s="20" t="s">
        <v>104</v>
      </c>
      <c r="D458" s="20" t="s">
        <v>18</v>
      </c>
      <c r="E458" s="20" t="s">
        <v>574</v>
      </c>
      <c r="F458" s="21" t="s">
        <v>38</v>
      </c>
      <c r="G458" s="60">
        <f>68392+3351173</f>
        <v>3419565</v>
      </c>
      <c r="H458" s="130"/>
      <c r="I458" s="22">
        <f t="shared" si="5"/>
        <v>3419565</v>
      </c>
    </row>
    <row r="459" spans="1:9" ht="13.5" hidden="1">
      <c r="A459" s="83" t="s">
        <v>380</v>
      </c>
      <c r="B459" s="20" t="s">
        <v>599</v>
      </c>
      <c r="C459" s="20" t="s">
        <v>104</v>
      </c>
      <c r="D459" s="20" t="s">
        <v>18</v>
      </c>
      <c r="E459" s="20" t="s">
        <v>381</v>
      </c>
      <c r="F459" s="21"/>
      <c r="G459" s="60">
        <f>G460+G462</f>
        <v>0</v>
      </c>
      <c r="H459" s="130"/>
      <c r="I459" s="22">
        <f t="shared" si="5"/>
        <v>0</v>
      </c>
    </row>
    <row r="460" spans="1:9" ht="13.5" hidden="1">
      <c r="A460" s="83" t="s">
        <v>576</v>
      </c>
      <c r="B460" s="20" t="s">
        <v>599</v>
      </c>
      <c r="C460" s="20" t="s">
        <v>104</v>
      </c>
      <c r="D460" s="20" t="s">
        <v>18</v>
      </c>
      <c r="E460" s="20" t="s">
        <v>575</v>
      </c>
      <c r="F460" s="21"/>
      <c r="G460" s="60">
        <f>G461</f>
        <v>0</v>
      </c>
      <c r="H460" s="130"/>
      <c r="I460" s="22">
        <f t="shared" si="5"/>
        <v>0</v>
      </c>
    </row>
    <row r="461" spans="1:9" ht="24.75" customHeight="1" hidden="1">
      <c r="A461" s="29" t="s">
        <v>37</v>
      </c>
      <c r="B461" s="20" t="s">
        <v>599</v>
      </c>
      <c r="C461" s="20" t="s">
        <v>104</v>
      </c>
      <c r="D461" s="20" t="s">
        <v>18</v>
      </c>
      <c r="E461" s="20" t="s">
        <v>575</v>
      </c>
      <c r="F461" s="21" t="s">
        <v>38</v>
      </c>
      <c r="G461" s="60"/>
      <c r="H461" s="130"/>
      <c r="I461" s="22">
        <f t="shared" si="5"/>
        <v>0</v>
      </c>
    </row>
    <row r="462" spans="1:9" ht="13.5" hidden="1">
      <c r="A462" s="83" t="s">
        <v>576</v>
      </c>
      <c r="B462" s="20" t="s">
        <v>599</v>
      </c>
      <c r="C462" s="20" t="s">
        <v>104</v>
      </c>
      <c r="D462" s="20" t="s">
        <v>18</v>
      </c>
      <c r="E462" s="20" t="s">
        <v>575</v>
      </c>
      <c r="F462" s="21"/>
      <c r="G462" s="60">
        <f>G463</f>
        <v>0</v>
      </c>
      <c r="H462" s="130"/>
      <c r="I462" s="22">
        <f t="shared" si="5"/>
        <v>0</v>
      </c>
    </row>
    <row r="463" spans="1:9" ht="26.25" hidden="1">
      <c r="A463" s="29" t="s">
        <v>37</v>
      </c>
      <c r="B463" s="20" t="s">
        <v>599</v>
      </c>
      <c r="C463" s="20" t="s">
        <v>104</v>
      </c>
      <c r="D463" s="20" t="s">
        <v>18</v>
      </c>
      <c r="E463" s="20" t="s">
        <v>575</v>
      </c>
      <c r="F463" s="21" t="s">
        <v>38</v>
      </c>
      <c r="G463" s="60"/>
      <c r="H463" s="130"/>
      <c r="I463" s="22">
        <f t="shared" si="5"/>
        <v>0</v>
      </c>
    </row>
    <row r="464" spans="1:9" ht="33.75" customHeight="1">
      <c r="A464" s="41" t="s">
        <v>384</v>
      </c>
      <c r="B464" s="20" t="s">
        <v>599</v>
      </c>
      <c r="C464" s="20" t="s">
        <v>104</v>
      </c>
      <c r="D464" s="20" t="s">
        <v>18</v>
      </c>
      <c r="E464" s="20" t="s">
        <v>385</v>
      </c>
      <c r="F464" s="21"/>
      <c r="G464" s="60">
        <f>G469+G477+G479+G481+G483+G486+G490+G472+G474+G465+G467+G492</f>
        <v>267946440</v>
      </c>
      <c r="H464" s="60">
        <f>H469+H477+H479+H481+H483+H486+H490+H472+H474+H465+H467+H492</f>
        <v>8197233.77</v>
      </c>
      <c r="I464" s="22">
        <f t="shared" si="5"/>
        <v>276143673.77</v>
      </c>
    </row>
    <row r="465" spans="1:9" ht="38.25" customHeight="1" hidden="1">
      <c r="A465" s="41" t="s">
        <v>606</v>
      </c>
      <c r="B465" s="20" t="s">
        <v>599</v>
      </c>
      <c r="C465" s="20" t="s">
        <v>104</v>
      </c>
      <c r="D465" s="20" t="s">
        <v>18</v>
      </c>
      <c r="E465" s="20" t="s">
        <v>607</v>
      </c>
      <c r="F465" s="21"/>
      <c r="G465" s="60">
        <f>G466</f>
        <v>0</v>
      </c>
      <c r="H465" s="130"/>
      <c r="I465" s="22">
        <f t="shared" si="5"/>
        <v>0</v>
      </c>
    </row>
    <row r="466" spans="1:9" ht="26.25" hidden="1">
      <c r="A466" s="29" t="s">
        <v>37</v>
      </c>
      <c r="B466" s="20" t="s">
        <v>599</v>
      </c>
      <c r="C466" s="20" t="s">
        <v>104</v>
      </c>
      <c r="D466" s="20" t="s">
        <v>18</v>
      </c>
      <c r="E466" s="20" t="s">
        <v>607</v>
      </c>
      <c r="F466" s="21" t="s">
        <v>38</v>
      </c>
      <c r="G466" s="60"/>
      <c r="H466" s="130"/>
      <c r="I466" s="22">
        <f t="shared" si="5"/>
        <v>0</v>
      </c>
    </row>
    <row r="467" spans="1:9" ht="33" customHeight="1" hidden="1">
      <c r="A467" s="71" t="s">
        <v>382</v>
      </c>
      <c r="B467" s="20" t="s">
        <v>599</v>
      </c>
      <c r="C467" s="20" t="s">
        <v>104</v>
      </c>
      <c r="D467" s="20" t="s">
        <v>18</v>
      </c>
      <c r="E467" s="20" t="s">
        <v>608</v>
      </c>
      <c r="F467" s="21"/>
      <c r="G467" s="60">
        <f>G468</f>
        <v>0</v>
      </c>
      <c r="H467" s="60"/>
      <c r="I467" s="22">
        <f aca="true" t="shared" si="7" ref="I467:I530">G467+H467</f>
        <v>0</v>
      </c>
    </row>
    <row r="468" spans="1:9" ht="30" customHeight="1" hidden="1">
      <c r="A468" s="29" t="s">
        <v>37</v>
      </c>
      <c r="B468" s="20" t="s">
        <v>599</v>
      </c>
      <c r="C468" s="20" t="s">
        <v>104</v>
      </c>
      <c r="D468" s="20" t="s">
        <v>18</v>
      </c>
      <c r="E468" s="20" t="s">
        <v>608</v>
      </c>
      <c r="F468" s="21" t="s">
        <v>38</v>
      </c>
      <c r="G468" s="60"/>
      <c r="H468" s="60"/>
      <c r="I468" s="22">
        <f t="shared" si="7"/>
        <v>0</v>
      </c>
    </row>
    <row r="469" spans="1:9" ht="81" customHeight="1">
      <c r="A469" s="118" t="s">
        <v>386</v>
      </c>
      <c r="B469" s="20" t="s">
        <v>599</v>
      </c>
      <c r="C469" s="20" t="s">
        <v>104</v>
      </c>
      <c r="D469" s="20" t="s">
        <v>18</v>
      </c>
      <c r="E469" s="20" t="s">
        <v>387</v>
      </c>
      <c r="F469" s="21"/>
      <c r="G469" s="60">
        <f>G470+G471</f>
        <v>216861514</v>
      </c>
      <c r="H469" s="117"/>
      <c r="I469" s="22">
        <f t="shared" si="7"/>
        <v>216861514</v>
      </c>
    </row>
    <row r="470" spans="1:9" ht="47.25" customHeight="1">
      <c r="A470" s="29" t="s">
        <v>25</v>
      </c>
      <c r="B470" s="20" t="s">
        <v>599</v>
      </c>
      <c r="C470" s="20" t="s">
        <v>104</v>
      </c>
      <c r="D470" s="20" t="s">
        <v>18</v>
      </c>
      <c r="E470" s="20" t="s">
        <v>387</v>
      </c>
      <c r="F470" s="21" t="s">
        <v>26</v>
      </c>
      <c r="G470" s="60">
        <v>208726602</v>
      </c>
      <c r="H470" s="117"/>
      <c r="I470" s="22">
        <f t="shared" si="7"/>
        <v>208726602</v>
      </c>
    </row>
    <row r="471" spans="1:9" ht="26.25">
      <c r="A471" s="29" t="s">
        <v>37</v>
      </c>
      <c r="B471" s="20" t="s">
        <v>599</v>
      </c>
      <c r="C471" s="20" t="s">
        <v>104</v>
      </c>
      <c r="D471" s="20" t="s">
        <v>18</v>
      </c>
      <c r="E471" s="20" t="s">
        <v>387</v>
      </c>
      <c r="F471" s="21" t="s">
        <v>38</v>
      </c>
      <c r="G471" s="60">
        <v>8134912</v>
      </c>
      <c r="H471" s="117"/>
      <c r="I471" s="22">
        <f t="shared" si="7"/>
        <v>8134912</v>
      </c>
    </row>
    <row r="472" spans="1:9" ht="26.25">
      <c r="A472" s="118" t="s">
        <v>388</v>
      </c>
      <c r="B472" s="20" t="s">
        <v>599</v>
      </c>
      <c r="C472" s="20" t="s">
        <v>104</v>
      </c>
      <c r="D472" s="20" t="s">
        <v>18</v>
      </c>
      <c r="E472" s="20" t="s">
        <v>389</v>
      </c>
      <c r="F472" s="21"/>
      <c r="G472" s="60">
        <f>G473</f>
        <v>1513610</v>
      </c>
      <c r="H472" s="117"/>
      <c r="I472" s="22">
        <f t="shared" si="7"/>
        <v>1513610</v>
      </c>
    </row>
    <row r="473" spans="1:9" ht="26.25">
      <c r="A473" s="29" t="s">
        <v>37</v>
      </c>
      <c r="B473" s="20" t="s">
        <v>599</v>
      </c>
      <c r="C473" s="20" t="s">
        <v>104</v>
      </c>
      <c r="D473" s="20" t="s">
        <v>18</v>
      </c>
      <c r="E473" s="20" t="s">
        <v>389</v>
      </c>
      <c r="F473" s="21" t="s">
        <v>38</v>
      </c>
      <c r="G473" s="60">
        <v>1513610</v>
      </c>
      <c r="H473" s="117"/>
      <c r="I473" s="22">
        <f t="shared" si="7"/>
        <v>1513610</v>
      </c>
    </row>
    <row r="474" spans="1:9" ht="26.25">
      <c r="A474" s="118" t="s">
        <v>390</v>
      </c>
      <c r="B474" s="20" t="s">
        <v>599</v>
      </c>
      <c r="C474" s="20" t="s">
        <v>104</v>
      </c>
      <c r="D474" s="20" t="s">
        <v>18</v>
      </c>
      <c r="E474" s="20" t="s">
        <v>391</v>
      </c>
      <c r="F474" s="21"/>
      <c r="G474" s="60">
        <f>G475</f>
        <v>815021</v>
      </c>
      <c r="H474" s="117"/>
      <c r="I474" s="22">
        <f t="shared" si="7"/>
        <v>815021</v>
      </c>
    </row>
    <row r="475" spans="1:9" ht="25.5" customHeight="1">
      <c r="A475" s="29" t="s">
        <v>37</v>
      </c>
      <c r="B475" s="20" t="s">
        <v>599</v>
      </c>
      <c r="C475" s="20" t="s">
        <v>104</v>
      </c>
      <c r="D475" s="20" t="s">
        <v>18</v>
      </c>
      <c r="E475" s="20" t="s">
        <v>391</v>
      </c>
      <c r="F475" s="21" t="s">
        <v>38</v>
      </c>
      <c r="G475" s="60">
        <f>5108548-4293527</f>
        <v>815021</v>
      </c>
      <c r="H475" s="117"/>
      <c r="I475" s="22">
        <f t="shared" si="7"/>
        <v>815021</v>
      </c>
    </row>
    <row r="476" spans="1:9" ht="26.25" hidden="1">
      <c r="A476" s="29" t="s">
        <v>37</v>
      </c>
      <c r="B476" s="20" t="s">
        <v>599</v>
      </c>
      <c r="C476" s="20" t="s">
        <v>104</v>
      </c>
      <c r="D476" s="20" t="s">
        <v>18</v>
      </c>
      <c r="E476" s="20" t="s">
        <v>609</v>
      </c>
      <c r="F476" s="21" t="s">
        <v>38</v>
      </c>
      <c r="G476" s="60"/>
      <c r="H476" s="117"/>
      <c r="I476" s="22">
        <f t="shared" si="7"/>
        <v>0</v>
      </c>
    </row>
    <row r="477" spans="1:9" ht="39">
      <c r="A477" s="71" t="s">
        <v>610</v>
      </c>
      <c r="B477" s="20" t="s">
        <v>599</v>
      </c>
      <c r="C477" s="20" t="s">
        <v>104</v>
      </c>
      <c r="D477" s="20" t="s">
        <v>18</v>
      </c>
      <c r="E477" s="20" t="s">
        <v>392</v>
      </c>
      <c r="F477" s="21"/>
      <c r="G477" s="60">
        <f>G478</f>
        <v>1025590</v>
      </c>
      <c r="H477" s="117"/>
      <c r="I477" s="22">
        <f t="shared" si="7"/>
        <v>1025590</v>
      </c>
    </row>
    <row r="478" spans="1:9" ht="26.25">
      <c r="A478" s="29" t="s">
        <v>37</v>
      </c>
      <c r="B478" s="20" t="s">
        <v>599</v>
      </c>
      <c r="C478" s="20" t="s">
        <v>104</v>
      </c>
      <c r="D478" s="20" t="s">
        <v>18</v>
      </c>
      <c r="E478" s="20" t="s">
        <v>392</v>
      </c>
      <c r="F478" s="21" t="s">
        <v>38</v>
      </c>
      <c r="G478" s="60">
        <v>1025590</v>
      </c>
      <c r="H478" s="117"/>
      <c r="I478" s="22">
        <f t="shared" si="7"/>
        <v>1025590</v>
      </c>
    </row>
    <row r="479" spans="1:9" ht="39">
      <c r="A479" s="71" t="s">
        <v>393</v>
      </c>
      <c r="B479" s="20" t="s">
        <v>599</v>
      </c>
      <c r="C479" s="20" t="s">
        <v>104</v>
      </c>
      <c r="D479" s="20" t="s">
        <v>18</v>
      </c>
      <c r="E479" s="20" t="s">
        <v>394</v>
      </c>
      <c r="F479" s="21"/>
      <c r="G479" s="60">
        <f>G480</f>
        <v>1578555</v>
      </c>
      <c r="H479" s="117"/>
      <c r="I479" s="22">
        <f t="shared" si="7"/>
        <v>1578555</v>
      </c>
    </row>
    <row r="480" spans="1:9" ht="25.5" customHeight="1">
      <c r="A480" s="29" t="s">
        <v>37</v>
      </c>
      <c r="B480" s="20" t="s">
        <v>599</v>
      </c>
      <c r="C480" s="20" t="s">
        <v>104</v>
      </c>
      <c r="D480" s="20" t="s">
        <v>18</v>
      </c>
      <c r="E480" s="20" t="s">
        <v>394</v>
      </c>
      <c r="F480" s="21" t="s">
        <v>38</v>
      </c>
      <c r="G480" s="60">
        <v>1578555</v>
      </c>
      <c r="H480" s="120"/>
      <c r="I480" s="22">
        <f t="shared" si="7"/>
        <v>1578555</v>
      </c>
    </row>
    <row r="481" spans="1:9" ht="52.5">
      <c r="A481" s="118" t="s">
        <v>395</v>
      </c>
      <c r="B481" s="20" t="s">
        <v>599</v>
      </c>
      <c r="C481" s="20" t="s">
        <v>104</v>
      </c>
      <c r="D481" s="20" t="s">
        <v>18</v>
      </c>
      <c r="E481" s="20" t="s">
        <v>396</v>
      </c>
      <c r="F481" s="21"/>
      <c r="G481" s="60">
        <f>G482</f>
        <v>433348</v>
      </c>
      <c r="H481" s="117"/>
      <c r="I481" s="22">
        <f t="shared" si="7"/>
        <v>433348</v>
      </c>
    </row>
    <row r="482" spans="1:9" ht="26.25">
      <c r="A482" s="29" t="s">
        <v>37</v>
      </c>
      <c r="B482" s="20" t="s">
        <v>599</v>
      </c>
      <c r="C482" s="20" t="s">
        <v>104</v>
      </c>
      <c r="D482" s="20" t="s">
        <v>18</v>
      </c>
      <c r="E482" s="20" t="s">
        <v>396</v>
      </c>
      <c r="F482" s="21" t="s">
        <v>38</v>
      </c>
      <c r="G482" s="60">
        <v>433348</v>
      </c>
      <c r="H482" s="117"/>
      <c r="I482" s="22">
        <f t="shared" si="7"/>
        <v>433348</v>
      </c>
    </row>
    <row r="483" spans="1:9" ht="39">
      <c r="A483" s="118" t="s">
        <v>397</v>
      </c>
      <c r="B483" s="20" t="s">
        <v>599</v>
      </c>
      <c r="C483" s="20" t="s">
        <v>104</v>
      </c>
      <c r="D483" s="20" t="s">
        <v>18</v>
      </c>
      <c r="E483" s="20" t="s">
        <v>398</v>
      </c>
      <c r="F483" s="21"/>
      <c r="G483" s="60">
        <f>G484+G485</f>
        <v>4038392</v>
      </c>
      <c r="H483" s="117"/>
      <c r="I483" s="22">
        <f t="shared" si="7"/>
        <v>4038392</v>
      </c>
    </row>
    <row r="484" spans="1:9" ht="25.5" customHeight="1">
      <c r="A484" s="29" t="s">
        <v>37</v>
      </c>
      <c r="B484" s="20" t="s">
        <v>599</v>
      </c>
      <c r="C484" s="20" t="s">
        <v>104</v>
      </c>
      <c r="D484" s="20" t="s">
        <v>18</v>
      </c>
      <c r="E484" s="20" t="s">
        <v>398</v>
      </c>
      <c r="F484" s="21" t="s">
        <v>38</v>
      </c>
      <c r="G484" s="60">
        <f>4038392-893343</f>
        <v>3145049</v>
      </c>
      <c r="H484" s="120"/>
      <c r="I484" s="22">
        <f t="shared" si="7"/>
        <v>3145049</v>
      </c>
    </row>
    <row r="485" spans="1:9" ht="13.5">
      <c r="A485" s="92" t="s">
        <v>210</v>
      </c>
      <c r="B485" s="20" t="s">
        <v>599</v>
      </c>
      <c r="C485" s="20" t="s">
        <v>104</v>
      </c>
      <c r="D485" s="20" t="s">
        <v>18</v>
      </c>
      <c r="E485" s="20" t="s">
        <v>398</v>
      </c>
      <c r="F485" s="21" t="s">
        <v>211</v>
      </c>
      <c r="G485" s="60">
        <f>893343</f>
        <v>893343</v>
      </c>
      <c r="H485" s="117"/>
      <c r="I485" s="22">
        <f t="shared" si="7"/>
        <v>893343</v>
      </c>
    </row>
    <row r="486" spans="1:9" ht="27" customHeight="1">
      <c r="A486" s="41" t="s">
        <v>199</v>
      </c>
      <c r="B486" s="20" t="s">
        <v>599</v>
      </c>
      <c r="C486" s="20" t="s">
        <v>104</v>
      </c>
      <c r="D486" s="20" t="s">
        <v>18</v>
      </c>
      <c r="E486" s="20" t="s">
        <v>399</v>
      </c>
      <c r="F486" s="21"/>
      <c r="G486" s="60">
        <f>G487+G489+G488</f>
        <v>39642399</v>
      </c>
      <c r="H486" s="60">
        <f>H487+H489+H488</f>
        <v>8197233.77</v>
      </c>
      <c r="I486" s="22">
        <f t="shared" si="7"/>
        <v>47839632.769999996</v>
      </c>
    </row>
    <row r="487" spans="1:9" ht="26.25">
      <c r="A487" s="29" t="s">
        <v>37</v>
      </c>
      <c r="B487" s="20" t="s">
        <v>599</v>
      </c>
      <c r="C487" s="20" t="s">
        <v>104</v>
      </c>
      <c r="D487" s="20" t="s">
        <v>18</v>
      </c>
      <c r="E487" s="20" t="s">
        <v>399</v>
      </c>
      <c r="F487" s="21" t="s">
        <v>38</v>
      </c>
      <c r="G487" s="60">
        <f>31042773-7687947+8+45+4779081+262425+3100737+145200+376527+1027065-130000</f>
        <v>32915914</v>
      </c>
      <c r="H487" s="123">
        <f>7687947+509286.77</f>
        <v>8197233.77</v>
      </c>
      <c r="I487" s="22">
        <f t="shared" si="7"/>
        <v>41113147.769999996</v>
      </c>
    </row>
    <row r="488" spans="1:9" ht="26.25">
      <c r="A488" s="66" t="s">
        <v>253</v>
      </c>
      <c r="B488" s="20" t="s">
        <v>599</v>
      </c>
      <c r="C488" s="20" t="s">
        <v>104</v>
      </c>
      <c r="D488" s="20" t="s">
        <v>18</v>
      </c>
      <c r="E488" s="20" t="s">
        <v>399</v>
      </c>
      <c r="F488" s="21" t="s">
        <v>254</v>
      </c>
      <c r="G488" s="60">
        <f>928610+3667375</f>
        <v>4595985</v>
      </c>
      <c r="H488" s="123"/>
      <c r="I488" s="22">
        <f t="shared" si="7"/>
        <v>4595985</v>
      </c>
    </row>
    <row r="489" spans="1:9" ht="13.5">
      <c r="A489" s="41" t="s">
        <v>79</v>
      </c>
      <c r="B489" s="20" t="s">
        <v>599</v>
      </c>
      <c r="C489" s="20" t="s">
        <v>104</v>
      </c>
      <c r="D489" s="20" t="s">
        <v>18</v>
      </c>
      <c r="E489" s="20" t="s">
        <v>399</v>
      </c>
      <c r="F489" s="21" t="s">
        <v>80</v>
      </c>
      <c r="G489" s="60">
        <v>2130500</v>
      </c>
      <c r="H489" s="117"/>
      <c r="I489" s="22">
        <f t="shared" si="7"/>
        <v>2130500</v>
      </c>
    </row>
    <row r="490" spans="1:9" ht="13.5">
      <c r="A490" s="29" t="s">
        <v>400</v>
      </c>
      <c r="B490" s="20" t="s">
        <v>599</v>
      </c>
      <c r="C490" s="20" t="s">
        <v>104</v>
      </c>
      <c r="D490" s="20" t="s">
        <v>18</v>
      </c>
      <c r="E490" s="20" t="s">
        <v>401</v>
      </c>
      <c r="F490" s="21"/>
      <c r="G490" s="60">
        <f>G491</f>
        <v>200000</v>
      </c>
      <c r="H490" s="117"/>
      <c r="I490" s="22">
        <f t="shared" si="7"/>
        <v>200000</v>
      </c>
    </row>
    <row r="491" spans="1:9" ht="26.25">
      <c r="A491" s="29" t="s">
        <v>37</v>
      </c>
      <c r="B491" s="20" t="s">
        <v>599</v>
      </c>
      <c r="C491" s="20" t="s">
        <v>104</v>
      </c>
      <c r="D491" s="20" t="s">
        <v>18</v>
      </c>
      <c r="E491" s="20" t="s">
        <v>401</v>
      </c>
      <c r="F491" s="21" t="s">
        <v>211</v>
      </c>
      <c r="G491" s="60">
        <v>200000</v>
      </c>
      <c r="H491" s="120"/>
      <c r="I491" s="22">
        <f t="shared" si="7"/>
        <v>200000</v>
      </c>
    </row>
    <row r="492" spans="1:9" ht="26.25">
      <c r="A492" s="41" t="s">
        <v>725</v>
      </c>
      <c r="B492" s="20" t="s">
        <v>599</v>
      </c>
      <c r="C492" s="20" t="s">
        <v>104</v>
      </c>
      <c r="D492" s="20" t="s">
        <v>18</v>
      </c>
      <c r="E492" s="20" t="s">
        <v>717</v>
      </c>
      <c r="F492" s="21"/>
      <c r="G492" s="60">
        <f>G493</f>
        <v>1838011</v>
      </c>
      <c r="H492" s="117"/>
      <c r="I492" s="22">
        <f t="shared" si="7"/>
        <v>1838011</v>
      </c>
    </row>
    <row r="493" spans="1:9" ht="26.25">
      <c r="A493" s="29" t="s">
        <v>37</v>
      </c>
      <c r="B493" s="20" t="s">
        <v>599</v>
      </c>
      <c r="C493" s="20" t="s">
        <v>104</v>
      </c>
      <c r="D493" s="20" t="s">
        <v>18</v>
      </c>
      <c r="E493" s="20" t="s">
        <v>717</v>
      </c>
      <c r="F493" s="21" t="s">
        <v>38</v>
      </c>
      <c r="G493" s="60">
        <f>1144476+693535</f>
        <v>1838011</v>
      </c>
      <c r="H493" s="117"/>
      <c r="I493" s="22">
        <f t="shared" si="7"/>
        <v>1838011</v>
      </c>
    </row>
    <row r="494" spans="1:9" ht="39">
      <c r="A494" s="126" t="s">
        <v>615</v>
      </c>
      <c r="B494" s="20" t="s">
        <v>599</v>
      </c>
      <c r="C494" s="20" t="s">
        <v>104</v>
      </c>
      <c r="D494" s="20" t="s">
        <v>18</v>
      </c>
      <c r="E494" s="48" t="s">
        <v>294</v>
      </c>
      <c r="F494" s="21"/>
      <c r="G494" s="60">
        <f>G495</f>
        <v>1106068</v>
      </c>
      <c r="H494" s="117"/>
      <c r="I494" s="22">
        <f t="shared" si="7"/>
        <v>1106068</v>
      </c>
    </row>
    <row r="495" spans="1:9" ht="66.75" customHeight="1">
      <c r="A495" s="132" t="s">
        <v>616</v>
      </c>
      <c r="B495" s="20" t="s">
        <v>599</v>
      </c>
      <c r="C495" s="20" t="s">
        <v>104</v>
      </c>
      <c r="D495" s="20" t="s">
        <v>18</v>
      </c>
      <c r="E495" s="48" t="s">
        <v>341</v>
      </c>
      <c r="F495" s="21"/>
      <c r="G495" s="60">
        <f>G496</f>
        <v>1106068</v>
      </c>
      <c r="H495" s="117"/>
      <c r="I495" s="22">
        <f t="shared" si="7"/>
        <v>1106068</v>
      </c>
    </row>
    <row r="496" spans="1:9" ht="26.25">
      <c r="A496" s="41" t="s">
        <v>373</v>
      </c>
      <c r="B496" s="20" t="s">
        <v>599</v>
      </c>
      <c r="C496" s="20" t="s">
        <v>104</v>
      </c>
      <c r="D496" s="20" t="s">
        <v>18</v>
      </c>
      <c r="E496" s="45" t="s">
        <v>374</v>
      </c>
      <c r="F496" s="21"/>
      <c r="G496" s="60">
        <f>G499+G497+G501</f>
        <v>1106068</v>
      </c>
      <c r="H496" s="117"/>
      <c r="I496" s="22">
        <f t="shared" si="7"/>
        <v>1106068</v>
      </c>
    </row>
    <row r="497" spans="1:9" ht="24" hidden="1">
      <c r="A497" s="80" t="s">
        <v>375</v>
      </c>
      <c r="B497" s="20" t="s">
        <v>599</v>
      </c>
      <c r="C497" s="20" t="s">
        <v>104</v>
      </c>
      <c r="D497" s="20" t="s">
        <v>18</v>
      </c>
      <c r="E497" s="45" t="s">
        <v>376</v>
      </c>
      <c r="F497" s="21"/>
      <c r="G497" s="60">
        <f>G498</f>
        <v>0</v>
      </c>
      <c r="H497" s="117"/>
      <c r="I497" s="22">
        <f>G497+H497</f>
        <v>0</v>
      </c>
    </row>
    <row r="498" spans="1:9" ht="26.25" hidden="1">
      <c r="A498" s="29" t="s">
        <v>253</v>
      </c>
      <c r="B498" s="20" t="s">
        <v>599</v>
      </c>
      <c r="C498" s="20" t="s">
        <v>104</v>
      </c>
      <c r="D498" s="20" t="s">
        <v>18</v>
      </c>
      <c r="E498" s="45" t="s">
        <v>376</v>
      </c>
      <c r="F498" s="21" t="s">
        <v>254</v>
      </c>
      <c r="G498" s="60"/>
      <c r="H498" s="117"/>
      <c r="I498" s="22">
        <f>G498+H498</f>
        <v>0</v>
      </c>
    </row>
    <row r="499" spans="1:9" ht="24">
      <c r="A499" s="80" t="s">
        <v>377</v>
      </c>
      <c r="B499" s="20" t="s">
        <v>599</v>
      </c>
      <c r="C499" s="20" t="s">
        <v>104</v>
      </c>
      <c r="D499" s="20" t="s">
        <v>18</v>
      </c>
      <c r="E499" s="45" t="s">
        <v>378</v>
      </c>
      <c r="F499" s="21"/>
      <c r="G499" s="60">
        <f>G500</f>
        <v>832708</v>
      </c>
      <c r="H499" s="117"/>
      <c r="I499" s="22">
        <f t="shared" si="7"/>
        <v>832708</v>
      </c>
    </row>
    <row r="500" spans="1:9" ht="26.25">
      <c r="A500" s="29" t="s">
        <v>253</v>
      </c>
      <c r="B500" s="20" t="s">
        <v>599</v>
      </c>
      <c r="C500" s="20" t="s">
        <v>104</v>
      </c>
      <c r="D500" s="20" t="s">
        <v>18</v>
      </c>
      <c r="E500" s="45" t="s">
        <v>378</v>
      </c>
      <c r="F500" s="21" t="s">
        <v>254</v>
      </c>
      <c r="G500" s="60">
        <f>600000+232708</f>
        <v>832708</v>
      </c>
      <c r="H500" s="117"/>
      <c r="I500" s="22">
        <f t="shared" si="7"/>
        <v>832708</v>
      </c>
    </row>
    <row r="501" spans="1:9" ht="39">
      <c r="A501" s="41" t="s">
        <v>702</v>
      </c>
      <c r="B501" s="20" t="s">
        <v>599</v>
      </c>
      <c r="C501" s="20" t="s">
        <v>104</v>
      </c>
      <c r="D501" s="20" t="s">
        <v>18</v>
      </c>
      <c r="E501" s="20" t="s">
        <v>701</v>
      </c>
      <c r="F501" s="21"/>
      <c r="G501" s="60">
        <f>G502</f>
        <v>273360</v>
      </c>
      <c r="H501" s="120"/>
      <c r="I501" s="22">
        <f t="shared" si="7"/>
        <v>273360</v>
      </c>
    </row>
    <row r="502" spans="1:9" ht="26.25">
      <c r="A502" s="26" t="s">
        <v>253</v>
      </c>
      <c r="B502" s="20" t="s">
        <v>599</v>
      </c>
      <c r="C502" s="20" t="s">
        <v>104</v>
      </c>
      <c r="D502" s="20" t="s">
        <v>18</v>
      </c>
      <c r="E502" s="20" t="s">
        <v>701</v>
      </c>
      <c r="F502" s="21" t="s">
        <v>254</v>
      </c>
      <c r="G502" s="60">
        <f>273360</f>
        <v>273360</v>
      </c>
      <c r="H502" s="120"/>
      <c r="I502" s="22">
        <f t="shared" si="7"/>
        <v>273360</v>
      </c>
    </row>
    <row r="503" spans="1:9" ht="54.75" customHeight="1">
      <c r="A503" s="64" t="s">
        <v>153</v>
      </c>
      <c r="B503" s="20" t="s">
        <v>599</v>
      </c>
      <c r="C503" s="20" t="s">
        <v>104</v>
      </c>
      <c r="D503" s="20" t="s">
        <v>18</v>
      </c>
      <c r="E503" s="48" t="s">
        <v>154</v>
      </c>
      <c r="F503" s="21"/>
      <c r="G503" s="60">
        <f>G504</f>
        <v>32000</v>
      </c>
      <c r="H503" s="117"/>
      <c r="I503" s="22">
        <f t="shared" si="7"/>
        <v>32000</v>
      </c>
    </row>
    <row r="504" spans="1:9" ht="75.75" customHeight="1">
      <c r="A504" s="69" t="s">
        <v>155</v>
      </c>
      <c r="B504" s="20" t="s">
        <v>599</v>
      </c>
      <c r="C504" s="20" t="s">
        <v>104</v>
      </c>
      <c r="D504" s="20" t="s">
        <v>18</v>
      </c>
      <c r="E504" s="48" t="s">
        <v>156</v>
      </c>
      <c r="F504" s="21"/>
      <c r="G504" s="60">
        <f>G505+G508</f>
        <v>32000</v>
      </c>
      <c r="H504" s="117"/>
      <c r="I504" s="22">
        <f t="shared" si="7"/>
        <v>32000</v>
      </c>
    </row>
    <row r="505" spans="1:9" ht="26.25" hidden="1">
      <c r="A505" s="124" t="s">
        <v>157</v>
      </c>
      <c r="B505" s="20" t="s">
        <v>599</v>
      </c>
      <c r="C505" s="20" t="s">
        <v>104</v>
      </c>
      <c r="D505" s="20" t="s">
        <v>18</v>
      </c>
      <c r="E505" s="48" t="s">
        <v>158</v>
      </c>
      <c r="F505" s="21"/>
      <c r="G505" s="60">
        <f>G506</f>
        <v>0</v>
      </c>
      <c r="H505" s="117"/>
      <c r="I505" s="22">
        <f t="shared" si="7"/>
        <v>0</v>
      </c>
    </row>
    <row r="506" spans="1:9" ht="26.25" hidden="1">
      <c r="A506" s="41" t="s">
        <v>159</v>
      </c>
      <c r="B506" s="20" t="s">
        <v>599</v>
      </c>
      <c r="C506" s="20" t="s">
        <v>104</v>
      </c>
      <c r="D506" s="20" t="s">
        <v>18</v>
      </c>
      <c r="E506" s="48" t="s">
        <v>160</v>
      </c>
      <c r="F506" s="21"/>
      <c r="G506" s="60">
        <f>G507</f>
        <v>0</v>
      </c>
      <c r="H506" s="117"/>
      <c r="I506" s="22">
        <f t="shared" si="7"/>
        <v>0</v>
      </c>
    </row>
    <row r="507" spans="1:9" ht="26.25" hidden="1">
      <c r="A507" s="29" t="s">
        <v>37</v>
      </c>
      <c r="B507" s="20" t="s">
        <v>599</v>
      </c>
      <c r="C507" s="20" t="s">
        <v>104</v>
      </c>
      <c r="D507" s="20" t="s">
        <v>18</v>
      </c>
      <c r="E507" s="48" t="s">
        <v>160</v>
      </c>
      <c r="F507" s="21" t="s">
        <v>38</v>
      </c>
      <c r="G507" s="60"/>
      <c r="H507" s="120"/>
      <c r="I507" s="22">
        <f t="shared" si="7"/>
        <v>0</v>
      </c>
    </row>
    <row r="508" spans="1:9" ht="63.75" customHeight="1">
      <c r="A508" s="124" t="s">
        <v>402</v>
      </c>
      <c r="B508" s="20" t="s">
        <v>599</v>
      </c>
      <c r="C508" s="20" t="s">
        <v>104</v>
      </c>
      <c r="D508" s="20" t="s">
        <v>18</v>
      </c>
      <c r="E508" s="48" t="s">
        <v>403</v>
      </c>
      <c r="F508" s="21"/>
      <c r="G508" s="60">
        <f>G509</f>
        <v>32000</v>
      </c>
      <c r="H508" s="117"/>
      <c r="I508" s="22">
        <f t="shared" si="7"/>
        <v>32000</v>
      </c>
    </row>
    <row r="509" spans="1:9" ht="30.75" customHeight="1">
      <c r="A509" s="41" t="s">
        <v>159</v>
      </c>
      <c r="B509" s="20" t="s">
        <v>599</v>
      </c>
      <c r="C509" s="20" t="s">
        <v>104</v>
      </c>
      <c r="D509" s="20" t="s">
        <v>18</v>
      </c>
      <c r="E509" s="48" t="s">
        <v>404</v>
      </c>
      <c r="F509" s="21"/>
      <c r="G509" s="60">
        <f>G510</f>
        <v>32000</v>
      </c>
      <c r="H509" s="117"/>
      <c r="I509" s="22">
        <f t="shared" si="7"/>
        <v>32000</v>
      </c>
    </row>
    <row r="510" spans="1:9" ht="34.5" customHeight="1">
      <c r="A510" s="29" t="s">
        <v>37</v>
      </c>
      <c r="B510" s="20" t="s">
        <v>599</v>
      </c>
      <c r="C510" s="20" t="s">
        <v>104</v>
      </c>
      <c r="D510" s="20" t="s">
        <v>18</v>
      </c>
      <c r="E510" s="48" t="s">
        <v>404</v>
      </c>
      <c r="F510" s="21" t="s">
        <v>38</v>
      </c>
      <c r="G510" s="60">
        <v>32000</v>
      </c>
      <c r="H510" s="120"/>
      <c r="I510" s="22">
        <f t="shared" si="7"/>
        <v>32000</v>
      </c>
    </row>
    <row r="511" spans="1:9" ht="42" customHeight="1">
      <c r="A511" s="82" t="s">
        <v>405</v>
      </c>
      <c r="B511" s="20" t="s">
        <v>599</v>
      </c>
      <c r="C511" s="20" t="s">
        <v>104</v>
      </c>
      <c r="D511" s="20" t="s">
        <v>18</v>
      </c>
      <c r="E511" s="20" t="s">
        <v>406</v>
      </c>
      <c r="F511" s="31"/>
      <c r="G511" s="60">
        <f>G512</f>
        <v>20000</v>
      </c>
      <c r="H511" s="117"/>
      <c r="I511" s="22">
        <f t="shared" si="7"/>
        <v>20000</v>
      </c>
    </row>
    <row r="512" spans="1:9" s="36" customFormat="1" ht="60" customHeight="1">
      <c r="A512" s="40" t="s">
        <v>407</v>
      </c>
      <c r="B512" s="20" t="s">
        <v>599</v>
      </c>
      <c r="C512" s="20" t="s">
        <v>104</v>
      </c>
      <c r="D512" s="20" t="s">
        <v>18</v>
      </c>
      <c r="E512" s="20" t="s">
        <v>408</v>
      </c>
      <c r="F512" s="31"/>
      <c r="G512" s="60">
        <f>G513</f>
        <v>20000</v>
      </c>
      <c r="H512" s="117"/>
      <c r="I512" s="22">
        <f t="shared" si="7"/>
        <v>20000</v>
      </c>
    </row>
    <row r="513" spans="1:9" ht="26.25">
      <c r="A513" s="71" t="s">
        <v>409</v>
      </c>
      <c r="B513" s="20" t="s">
        <v>599</v>
      </c>
      <c r="C513" s="20" t="s">
        <v>104</v>
      </c>
      <c r="D513" s="20" t="s">
        <v>18</v>
      </c>
      <c r="E513" s="20" t="s">
        <v>410</v>
      </c>
      <c r="F513" s="31"/>
      <c r="G513" s="60">
        <f>G514</f>
        <v>20000</v>
      </c>
      <c r="H513" s="117"/>
      <c r="I513" s="22">
        <f t="shared" si="7"/>
        <v>20000</v>
      </c>
    </row>
    <row r="514" spans="1:9" ht="13.5">
      <c r="A514" s="71" t="s">
        <v>411</v>
      </c>
      <c r="B514" s="20" t="s">
        <v>599</v>
      </c>
      <c r="C514" s="20" t="s">
        <v>104</v>
      </c>
      <c r="D514" s="20" t="s">
        <v>18</v>
      </c>
      <c r="E514" s="20" t="s">
        <v>412</v>
      </c>
      <c r="F514" s="31"/>
      <c r="G514" s="60">
        <f>G515</f>
        <v>20000</v>
      </c>
      <c r="H514" s="117"/>
      <c r="I514" s="22">
        <f t="shared" si="7"/>
        <v>20000</v>
      </c>
    </row>
    <row r="515" spans="1:9" ht="33" customHeight="1">
      <c r="A515" s="88" t="s">
        <v>37</v>
      </c>
      <c r="B515" s="20" t="s">
        <v>599</v>
      </c>
      <c r="C515" s="20" t="s">
        <v>104</v>
      </c>
      <c r="D515" s="20" t="s">
        <v>18</v>
      </c>
      <c r="E515" s="20" t="s">
        <v>412</v>
      </c>
      <c r="F515" s="21" t="s">
        <v>38</v>
      </c>
      <c r="G515" s="60">
        <v>20000</v>
      </c>
      <c r="H515" s="120"/>
      <c r="I515" s="22">
        <f t="shared" si="7"/>
        <v>20000</v>
      </c>
    </row>
    <row r="516" spans="1:9" ht="39">
      <c r="A516" s="62" t="s">
        <v>692</v>
      </c>
      <c r="B516" s="20" t="s">
        <v>599</v>
      </c>
      <c r="C516" s="20" t="s">
        <v>104</v>
      </c>
      <c r="D516" s="20" t="s">
        <v>18</v>
      </c>
      <c r="E516" s="20" t="s">
        <v>689</v>
      </c>
      <c r="F516" s="21"/>
      <c r="G516" s="60">
        <f>G517</f>
        <v>20000</v>
      </c>
      <c r="H516" s="120"/>
      <c r="I516" s="22">
        <f t="shared" si="7"/>
        <v>20000</v>
      </c>
    </row>
    <row r="517" spans="1:9" ht="66">
      <c r="A517" s="29" t="s">
        <v>693</v>
      </c>
      <c r="B517" s="20" t="s">
        <v>599</v>
      </c>
      <c r="C517" s="20" t="s">
        <v>104</v>
      </c>
      <c r="D517" s="20" t="s">
        <v>18</v>
      </c>
      <c r="E517" s="20" t="s">
        <v>690</v>
      </c>
      <c r="F517" s="21"/>
      <c r="G517" s="60">
        <f>G518</f>
        <v>20000</v>
      </c>
      <c r="H517" s="120"/>
      <c r="I517" s="22">
        <f t="shared" si="7"/>
        <v>20000</v>
      </c>
    </row>
    <row r="518" spans="1:9" ht="26.25">
      <c r="A518" s="29" t="s">
        <v>694</v>
      </c>
      <c r="B518" s="20" t="s">
        <v>599</v>
      </c>
      <c r="C518" s="20" t="s">
        <v>104</v>
      </c>
      <c r="D518" s="20" t="s">
        <v>18</v>
      </c>
      <c r="E518" s="20" t="s">
        <v>691</v>
      </c>
      <c r="F518" s="21"/>
      <c r="G518" s="60">
        <f>G519</f>
        <v>20000</v>
      </c>
      <c r="H518" s="120"/>
      <c r="I518" s="22">
        <f t="shared" si="7"/>
        <v>20000</v>
      </c>
    </row>
    <row r="519" spans="1:9" ht="26.25">
      <c r="A519" s="41" t="s">
        <v>159</v>
      </c>
      <c r="B519" s="20" t="s">
        <v>599</v>
      </c>
      <c r="C519" s="20" t="s">
        <v>104</v>
      </c>
      <c r="D519" s="20" t="s">
        <v>18</v>
      </c>
      <c r="E519" s="20" t="s">
        <v>695</v>
      </c>
      <c r="F519" s="21"/>
      <c r="G519" s="60">
        <f>G520</f>
        <v>20000</v>
      </c>
      <c r="H519" s="120"/>
      <c r="I519" s="22">
        <f t="shared" si="7"/>
        <v>20000</v>
      </c>
    </row>
    <row r="520" spans="1:9" ht="26.25">
      <c r="A520" s="29" t="s">
        <v>37</v>
      </c>
      <c r="B520" s="20" t="s">
        <v>599</v>
      </c>
      <c r="C520" s="20" t="s">
        <v>104</v>
      </c>
      <c r="D520" s="20" t="s">
        <v>18</v>
      </c>
      <c r="E520" s="20" t="s">
        <v>695</v>
      </c>
      <c r="F520" s="21" t="s">
        <v>38</v>
      </c>
      <c r="G520" s="60">
        <f>20000</f>
        <v>20000</v>
      </c>
      <c r="H520" s="120"/>
      <c r="I520" s="22">
        <f t="shared" si="7"/>
        <v>20000</v>
      </c>
    </row>
    <row r="521" spans="1:9" ht="21" customHeight="1">
      <c r="A521" s="68" t="s">
        <v>413</v>
      </c>
      <c r="B521" s="20" t="s">
        <v>599</v>
      </c>
      <c r="C521" s="20" t="s">
        <v>104</v>
      </c>
      <c r="D521" s="20" t="s">
        <v>28</v>
      </c>
      <c r="E521" s="20"/>
      <c r="F521" s="21"/>
      <c r="G521" s="60">
        <f>G522</f>
        <v>28931900</v>
      </c>
      <c r="H521" s="117"/>
      <c r="I521" s="22">
        <f t="shared" si="7"/>
        <v>28931900</v>
      </c>
    </row>
    <row r="522" spans="1:9" ht="39" customHeight="1">
      <c r="A522" s="26" t="s">
        <v>364</v>
      </c>
      <c r="B522" s="20" t="s">
        <v>599</v>
      </c>
      <c r="C522" s="20" t="s">
        <v>104</v>
      </c>
      <c r="D522" s="20" t="s">
        <v>28</v>
      </c>
      <c r="E522" s="20" t="s">
        <v>365</v>
      </c>
      <c r="F522" s="21"/>
      <c r="G522" s="60">
        <f>G527+G523</f>
        <v>28931900</v>
      </c>
      <c r="H522" s="117"/>
      <c r="I522" s="22">
        <f>G522+H522</f>
        <v>28931900</v>
      </c>
    </row>
    <row r="523" spans="1:9" ht="39" customHeight="1">
      <c r="A523" s="19" t="s">
        <v>366</v>
      </c>
      <c r="B523" s="20" t="s">
        <v>599</v>
      </c>
      <c r="C523" s="20" t="s">
        <v>104</v>
      </c>
      <c r="D523" s="20" t="s">
        <v>28</v>
      </c>
      <c r="E523" s="20" t="s">
        <v>367</v>
      </c>
      <c r="F523" s="21"/>
      <c r="G523" s="60">
        <f>G524</f>
        <v>818667</v>
      </c>
      <c r="H523" s="117"/>
      <c r="I523" s="22">
        <f t="shared" si="7"/>
        <v>818667</v>
      </c>
    </row>
    <row r="524" spans="1:9" ht="24.75" customHeight="1">
      <c r="A524" s="83" t="s">
        <v>380</v>
      </c>
      <c r="B524" s="20" t="s">
        <v>599</v>
      </c>
      <c r="C524" s="20" t="s">
        <v>104</v>
      </c>
      <c r="D524" s="20" t="s">
        <v>28</v>
      </c>
      <c r="E524" s="20" t="s">
        <v>381</v>
      </c>
      <c r="F524" s="21"/>
      <c r="G524" s="60">
        <f>G525</f>
        <v>818667</v>
      </c>
      <c r="H524" s="117"/>
      <c r="I524" s="22">
        <f t="shared" si="7"/>
        <v>818667</v>
      </c>
    </row>
    <row r="525" spans="1:9" ht="45" customHeight="1">
      <c r="A525" s="202" t="s">
        <v>715</v>
      </c>
      <c r="B525" s="20" t="s">
        <v>599</v>
      </c>
      <c r="C525" s="20" t="s">
        <v>104</v>
      </c>
      <c r="D525" s="20" t="s">
        <v>28</v>
      </c>
      <c r="E525" s="20" t="s">
        <v>575</v>
      </c>
      <c r="F525" s="21"/>
      <c r="G525" s="60">
        <f>G526</f>
        <v>818667</v>
      </c>
      <c r="H525" s="117"/>
      <c r="I525" s="22">
        <f t="shared" si="7"/>
        <v>818667</v>
      </c>
    </row>
    <row r="526" spans="1:9" ht="28.5" customHeight="1">
      <c r="A526" s="29" t="s">
        <v>37</v>
      </c>
      <c r="B526" s="20" t="s">
        <v>599</v>
      </c>
      <c r="C526" s="20" t="s">
        <v>104</v>
      </c>
      <c r="D526" s="20" t="s">
        <v>28</v>
      </c>
      <c r="E526" s="20" t="s">
        <v>575</v>
      </c>
      <c r="F526" s="21" t="s">
        <v>38</v>
      </c>
      <c r="G526" s="60">
        <f>49120-32746+802293.6-0.6</f>
        <v>818667</v>
      </c>
      <c r="H526" s="117"/>
      <c r="I526" s="22">
        <f t="shared" si="7"/>
        <v>818667</v>
      </c>
    </row>
    <row r="527" spans="1:9" s="36" customFormat="1" ht="40.5" customHeight="1">
      <c r="A527" s="29" t="s">
        <v>414</v>
      </c>
      <c r="B527" s="20" t="s">
        <v>599</v>
      </c>
      <c r="C527" s="20" t="s">
        <v>104</v>
      </c>
      <c r="D527" s="20" t="s">
        <v>28</v>
      </c>
      <c r="E527" s="20" t="s">
        <v>415</v>
      </c>
      <c r="F527" s="21"/>
      <c r="G527" s="60">
        <f>G528+G536</f>
        <v>28113233</v>
      </c>
      <c r="H527" s="117"/>
      <c r="I527" s="22">
        <f t="shared" si="7"/>
        <v>28113233</v>
      </c>
    </row>
    <row r="528" spans="1:9" ht="26.25">
      <c r="A528" s="41" t="s">
        <v>416</v>
      </c>
      <c r="B528" s="20" t="s">
        <v>599</v>
      </c>
      <c r="C528" s="20" t="s">
        <v>104</v>
      </c>
      <c r="D528" s="20" t="s">
        <v>28</v>
      </c>
      <c r="E528" s="20" t="s">
        <v>417</v>
      </c>
      <c r="F528" s="21"/>
      <c r="G528" s="60">
        <f>G529+G534</f>
        <v>24019899</v>
      </c>
      <c r="H528" s="117"/>
      <c r="I528" s="22">
        <f t="shared" si="7"/>
        <v>24019899</v>
      </c>
    </row>
    <row r="529" spans="1:9" ht="26.25">
      <c r="A529" s="41" t="s">
        <v>199</v>
      </c>
      <c r="B529" s="20" t="s">
        <v>599</v>
      </c>
      <c r="C529" s="20" t="s">
        <v>104</v>
      </c>
      <c r="D529" s="20" t="s">
        <v>28</v>
      </c>
      <c r="E529" s="20" t="s">
        <v>418</v>
      </c>
      <c r="F529" s="21"/>
      <c r="G529" s="60">
        <f>G530+G531+G533+G532</f>
        <v>23953179</v>
      </c>
      <c r="H529" s="117"/>
      <c r="I529" s="22">
        <f t="shared" si="7"/>
        <v>23953179</v>
      </c>
    </row>
    <row r="530" spans="1:9" ht="43.5" customHeight="1">
      <c r="A530" s="29" t="s">
        <v>25</v>
      </c>
      <c r="B530" s="20" t="s">
        <v>599</v>
      </c>
      <c r="C530" s="20" t="s">
        <v>104</v>
      </c>
      <c r="D530" s="20" t="s">
        <v>28</v>
      </c>
      <c r="E530" s="20" t="s">
        <v>418</v>
      </c>
      <c r="F530" s="21" t="s">
        <v>26</v>
      </c>
      <c r="G530" s="60">
        <v>16358400</v>
      </c>
      <c r="H530" s="117"/>
      <c r="I530" s="22">
        <f t="shared" si="7"/>
        <v>16358400</v>
      </c>
    </row>
    <row r="531" spans="1:9" ht="26.25" customHeight="1">
      <c r="A531" s="29" t="s">
        <v>37</v>
      </c>
      <c r="B531" s="20" t="s">
        <v>599</v>
      </c>
      <c r="C531" s="20" t="s">
        <v>104</v>
      </c>
      <c r="D531" s="20" t="s">
        <v>28</v>
      </c>
      <c r="E531" s="20" t="s">
        <v>418</v>
      </c>
      <c r="F531" s="21" t="s">
        <v>38</v>
      </c>
      <c r="G531" s="60">
        <f>1464634+33275+4639375+15000+4291197-3009814</f>
        <v>7433667</v>
      </c>
      <c r="H531" s="117"/>
      <c r="I531" s="22">
        <f aca="true" t="shared" si="8" ref="I531:I619">G531+H531</f>
        <v>7433667</v>
      </c>
    </row>
    <row r="532" spans="1:9" ht="26.25">
      <c r="A532" s="66" t="s">
        <v>253</v>
      </c>
      <c r="B532" s="20" t="s">
        <v>599</v>
      </c>
      <c r="C532" s="20" t="s">
        <v>104</v>
      </c>
      <c r="D532" s="20" t="s">
        <v>28</v>
      </c>
      <c r="E532" s="20" t="s">
        <v>418</v>
      </c>
      <c r="F532" s="21" t="s">
        <v>254</v>
      </c>
      <c r="G532" s="60">
        <v>92032</v>
      </c>
      <c r="H532" s="120"/>
      <c r="I532" s="22">
        <f>G532+H532</f>
        <v>92032</v>
      </c>
    </row>
    <row r="533" spans="1:9" ht="22.5" customHeight="1">
      <c r="A533" s="41" t="s">
        <v>79</v>
      </c>
      <c r="B533" s="20" t="s">
        <v>599</v>
      </c>
      <c r="C533" s="20" t="s">
        <v>104</v>
      </c>
      <c r="D533" s="20" t="s">
        <v>28</v>
      </c>
      <c r="E533" s="20" t="s">
        <v>418</v>
      </c>
      <c r="F533" s="21" t="s">
        <v>80</v>
      </c>
      <c r="G533" s="60">
        <v>69080</v>
      </c>
      <c r="H533" s="120"/>
      <c r="I533" s="22">
        <f t="shared" si="8"/>
        <v>69080</v>
      </c>
    </row>
    <row r="534" spans="1:9" ht="32.25" customHeight="1">
      <c r="A534" s="41" t="s">
        <v>725</v>
      </c>
      <c r="B534" s="20" t="s">
        <v>599</v>
      </c>
      <c r="C534" s="20" t="s">
        <v>104</v>
      </c>
      <c r="D534" s="20" t="s">
        <v>28</v>
      </c>
      <c r="E534" s="20" t="s">
        <v>723</v>
      </c>
      <c r="F534" s="21"/>
      <c r="G534" s="60">
        <f>G535</f>
        <v>66720</v>
      </c>
      <c r="H534" s="120"/>
      <c r="I534" s="22">
        <f t="shared" si="8"/>
        <v>66720</v>
      </c>
    </row>
    <row r="535" spans="1:9" ht="31.5" customHeight="1">
      <c r="A535" s="29" t="s">
        <v>37</v>
      </c>
      <c r="B535" s="20" t="s">
        <v>599</v>
      </c>
      <c r="C535" s="20" t="s">
        <v>104</v>
      </c>
      <c r="D535" s="20" t="s">
        <v>28</v>
      </c>
      <c r="E535" s="20" t="s">
        <v>723</v>
      </c>
      <c r="F535" s="21" t="s">
        <v>38</v>
      </c>
      <c r="G535" s="60">
        <f>66720</f>
        <v>66720</v>
      </c>
      <c r="H535" s="120"/>
      <c r="I535" s="22">
        <f t="shared" si="8"/>
        <v>66720</v>
      </c>
    </row>
    <row r="536" spans="1:9" ht="18" customHeight="1">
      <c r="A536" s="83" t="s">
        <v>380</v>
      </c>
      <c r="B536" s="20" t="s">
        <v>599</v>
      </c>
      <c r="C536" s="20" t="s">
        <v>104</v>
      </c>
      <c r="D536" s="20" t="s">
        <v>28</v>
      </c>
      <c r="E536" s="20" t="s">
        <v>578</v>
      </c>
      <c r="F536" s="21"/>
      <c r="G536" s="60">
        <f>G537</f>
        <v>4093334</v>
      </c>
      <c r="H536" s="120"/>
      <c r="I536" s="22">
        <f t="shared" si="8"/>
        <v>4093334</v>
      </c>
    </row>
    <row r="537" spans="1:9" ht="45.75" customHeight="1">
      <c r="A537" s="202" t="s">
        <v>715</v>
      </c>
      <c r="B537" s="20" t="s">
        <v>599</v>
      </c>
      <c r="C537" s="20" t="s">
        <v>104</v>
      </c>
      <c r="D537" s="20" t="s">
        <v>28</v>
      </c>
      <c r="E537" s="20" t="s">
        <v>579</v>
      </c>
      <c r="F537" s="21"/>
      <c r="G537" s="60">
        <f>G538</f>
        <v>4093334</v>
      </c>
      <c r="H537" s="120"/>
      <c r="I537" s="22">
        <f t="shared" si="8"/>
        <v>4093334</v>
      </c>
    </row>
    <row r="538" spans="1:9" ht="29.25" customHeight="1">
      <c r="A538" s="29" t="s">
        <v>37</v>
      </c>
      <c r="B538" s="20" t="s">
        <v>599</v>
      </c>
      <c r="C538" s="20" t="s">
        <v>104</v>
      </c>
      <c r="D538" s="20" t="s">
        <v>28</v>
      </c>
      <c r="E538" s="20" t="s">
        <v>579</v>
      </c>
      <c r="F538" s="21" t="s">
        <v>38</v>
      </c>
      <c r="G538" s="60">
        <f>49120+32746+4011467.4+0.6</f>
        <v>4093334</v>
      </c>
      <c r="H538" s="120"/>
      <c r="I538" s="22">
        <f t="shared" si="8"/>
        <v>4093334</v>
      </c>
    </row>
    <row r="539" spans="1:9" ht="13.5">
      <c r="A539" s="26" t="s">
        <v>596</v>
      </c>
      <c r="B539" s="20" t="s">
        <v>599</v>
      </c>
      <c r="C539" s="20" t="s">
        <v>104</v>
      </c>
      <c r="D539" s="20" t="s">
        <v>104</v>
      </c>
      <c r="E539" s="20"/>
      <c r="F539" s="21"/>
      <c r="G539" s="60">
        <f>G540</f>
        <v>15262965</v>
      </c>
      <c r="H539" s="120">
        <f>H540</f>
        <v>1257677.06</v>
      </c>
      <c r="I539" s="22">
        <f t="shared" si="8"/>
        <v>16520642.06</v>
      </c>
    </row>
    <row r="540" spans="1:9" ht="53.25" customHeight="1">
      <c r="A540" s="41" t="s">
        <v>420</v>
      </c>
      <c r="B540" s="20" t="s">
        <v>599</v>
      </c>
      <c r="C540" s="20" t="s">
        <v>104</v>
      </c>
      <c r="D540" s="20" t="s">
        <v>104</v>
      </c>
      <c r="E540" s="48" t="s">
        <v>421</v>
      </c>
      <c r="F540" s="21"/>
      <c r="G540" s="60">
        <f>G541</f>
        <v>15262965</v>
      </c>
      <c r="H540" s="117">
        <f>H541</f>
        <v>1257677.06</v>
      </c>
      <c r="I540" s="22">
        <f t="shared" si="8"/>
        <v>16520642.06</v>
      </c>
    </row>
    <row r="541" spans="1:9" ht="60" customHeight="1">
      <c r="A541" s="65" t="s">
        <v>428</v>
      </c>
      <c r="B541" s="20" t="s">
        <v>599</v>
      </c>
      <c r="C541" s="20" t="s">
        <v>104</v>
      </c>
      <c r="D541" s="20" t="s">
        <v>104</v>
      </c>
      <c r="E541" s="48" t="s">
        <v>429</v>
      </c>
      <c r="F541" s="55"/>
      <c r="G541" s="60">
        <f>G542+G550+G547</f>
        <v>15262965</v>
      </c>
      <c r="H541" s="117">
        <f>H543+H555</f>
        <v>1257677.06</v>
      </c>
      <c r="I541" s="22">
        <f t="shared" si="8"/>
        <v>16520642.06</v>
      </c>
    </row>
    <row r="542" spans="1:9" ht="31.5" customHeight="1">
      <c r="A542" s="41" t="s">
        <v>430</v>
      </c>
      <c r="B542" s="20" t="s">
        <v>599</v>
      </c>
      <c r="C542" s="20" t="s">
        <v>104</v>
      </c>
      <c r="D542" s="20" t="s">
        <v>104</v>
      </c>
      <c r="E542" s="48" t="s">
        <v>431</v>
      </c>
      <c r="F542" s="55"/>
      <c r="G542" s="60">
        <f>G543+G545</f>
        <v>775170</v>
      </c>
      <c r="H542" s="117"/>
      <c r="I542" s="22">
        <f t="shared" si="8"/>
        <v>775170</v>
      </c>
    </row>
    <row r="543" spans="1:9" ht="13.5">
      <c r="A543" s="26" t="s">
        <v>432</v>
      </c>
      <c r="B543" s="20" t="s">
        <v>599</v>
      </c>
      <c r="C543" s="20" t="s">
        <v>104</v>
      </c>
      <c r="D543" s="20" t="s">
        <v>104</v>
      </c>
      <c r="E543" s="48" t="s">
        <v>433</v>
      </c>
      <c r="F543" s="21"/>
      <c r="G543" s="60">
        <f>G544</f>
        <v>297132</v>
      </c>
      <c r="H543" s="117"/>
      <c r="I543" s="22">
        <f t="shared" si="8"/>
        <v>297132</v>
      </c>
    </row>
    <row r="544" spans="1:9" ht="13.5">
      <c r="A544" s="88" t="s">
        <v>37</v>
      </c>
      <c r="B544" s="20" t="s">
        <v>599</v>
      </c>
      <c r="C544" s="20" t="s">
        <v>104</v>
      </c>
      <c r="D544" s="20" t="s">
        <v>104</v>
      </c>
      <c r="E544" s="48" t="s">
        <v>433</v>
      </c>
      <c r="F544" s="55" t="s">
        <v>38</v>
      </c>
      <c r="G544" s="60">
        <v>297132</v>
      </c>
      <c r="H544" s="117"/>
      <c r="I544" s="22">
        <f t="shared" si="8"/>
        <v>297132</v>
      </c>
    </row>
    <row r="545" spans="1:9" ht="13.5">
      <c r="A545" s="84" t="s">
        <v>434</v>
      </c>
      <c r="B545" s="20" t="s">
        <v>599</v>
      </c>
      <c r="C545" s="20" t="s">
        <v>104</v>
      </c>
      <c r="D545" s="20" t="s">
        <v>104</v>
      </c>
      <c r="E545" s="48" t="s">
        <v>435</v>
      </c>
      <c r="F545" s="21"/>
      <c r="G545" s="60">
        <f>G546</f>
        <v>478038</v>
      </c>
      <c r="H545" s="117"/>
      <c r="I545" s="22">
        <f t="shared" si="8"/>
        <v>478038</v>
      </c>
    </row>
    <row r="546" spans="1:9" ht="13.5">
      <c r="A546" s="88" t="s">
        <v>37</v>
      </c>
      <c r="B546" s="20" t="s">
        <v>599</v>
      </c>
      <c r="C546" s="20" t="s">
        <v>104</v>
      </c>
      <c r="D546" s="20" t="s">
        <v>104</v>
      </c>
      <c r="E546" s="48" t="s">
        <v>435</v>
      </c>
      <c r="F546" s="55" t="s">
        <v>38</v>
      </c>
      <c r="G546" s="60">
        <v>478038</v>
      </c>
      <c r="H546" s="117"/>
      <c r="I546" s="22">
        <f t="shared" si="8"/>
        <v>478038</v>
      </c>
    </row>
    <row r="547" spans="1:9" ht="22.5" customHeight="1">
      <c r="A547" s="41" t="s">
        <v>438</v>
      </c>
      <c r="B547" s="20" t="s">
        <v>599</v>
      </c>
      <c r="C547" s="20" t="s">
        <v>104</v>
      </c>
      <c r="D547" s="20" t="s">
        <v>104</v>
      </c>
      <c r="E547" s="48" t="s">
        <v>439</v>
      </c>
      <c r="F547" s="55"/>
      <c r="G547" s="60">
        <f>G548</f>
        <v>40000</v>
      </c>
      <c r="H547" s="117"/>
      <c r="I547" s="22">
        <f t="shared" si="8"/>
        <v>40000</v>
      </c>
    </row>
    <row r="548" spans="1:9" ht="15" customHeight="1">
      <c r="A548" s="88" t="s">
        <v>436</v>
      </c>
      <c r="B548" s="20" t="s">
        <v>599</v>
      </c>
      <c r="C548" s="20" t="s">
        <v>104</v>
      </c>
      <c r="D548" s="20" t="s">
        <v>104</v>
      </c>
      <c r="E548" s="48" t="s">
        <v>440</v>
      </c>
      <c r="F548" s="55"/>
      <c r="G548" s="60">
        <f>G549</f>
        <v>40000</v>
      </c>
      <c r="H548" s="117"/>
      <c r="I548" s="22">
        <f t="shared" si="8"/>
        <v>40000</v>
      </c>
    </row>
    <row r="549" spans="1:9" ht="13.5">
      <c r="A549" s="88" t="s">
        <v>37</v>
      </c>
      <c r="B549" s="20" t="s">
        <v>599</v>
      </c>
      <c r="C549" s="20" t="s">
        <v>104</v>
      </c>
      <c r="D549" s="20" t="s">
        <v>104</v>
      </c>
      <c r="E549" s="48" t="s">
        <v>440</v>
      </c>
      <c r="F549" s="55" t="s">
        <v>38</v>
      </c>
      <c r="G549" s="60">
        <v>40000</v>
      </c>
      <c r="H549" s="117"/>
      <c r="I549" s="22">
        <f t="shared" si="8"/>
        <v>40000</v>
      </c>
    </row>
    <row r="550" spans="1:9" ht="39.75" customHeight="1">
      <c r="A550" s="41" t="s">
        <v>441</v>
      </c>
      <c r="B550" s="20" t="s">
        <v>599</v>
      </c>
      <c r="C550" s="20" t="s">
        <v>104</v>
      </c>
      <c r="D550" s="20" t="s">
        <v>104</v>
      </c>
      <c r="E550" s="48" t="s">
        <v>442</v>
      </c>
      <c r="F550" s="55"/>
      <c r="G550" s="60">
        <f>G555+G553+G551</f>
        <v>14447795</v>
      </c>
      <c r="H550" s="117">
        <f>H555</f>
        <v>1257677.06</v>
      </c>
      <c r="I550" s="22">
        <f t="shared" si="8"/>
        <v>15705472.06</v>
      </c>
    </row>
    <row r="551" spans="1:9" ht="30" customHeight="1">
      <c r="A551" s="41" t="s">
        <v>699</v>
      </c>
      <c r="B551" s="20" t="s">
        <v>599</v>
      </c>
      <c r="C551" s="20" t="s">
        <v>104</v>
      </c>
      <c r="D551" s="20" t="s">
        <v>104</v>
      </c>
      <c r="E551" s="48" t="s">
        <v>698</v>
      </c>
      <c r="F551" s="55"/>
      <c r="G551" s="60">
        <f>G552</f>
        <v>9186415</v>
      </c>
      <c r="H551" s="120"/>
      <c r="I551" s="22">
        <f t="shared" si="8"/>
        <v>9186415</v>
      </c>
    </row>
    <row r="552" spans="1:9" ht="35.25" customHeight="1">
      <c r="A552" s="29" t="s">
        <v>37</v>
      </c>
      <c r="B552" s="20" t="s">
        <v>599</v>
      </c>
      <c r="C552" s="20" t="s">
        <v>104</v>
      </c>
      <c r="D552" s="20" t="s">
        <v>104</v>
      </c>
      <c r="E552" s="48" t="s">
        <v>698</v>
      </c>
      <c r="F552" s="55" t="s">
        <v>38</v>
      </c>
      <c r="G552" s="60">
        <f>9186415</f>
        <v>9186415</v>
      </c>
      <c r="H552" s="120"/>
      <c r="I552" s="22">
        <f t="shared" si="8"/>
        <v>9186415</v>
      </c>
    </row>
    <row r="553" spans="1:9" ht="33" customHeight="1">
      <c r="A553" s="41" t="s">
        <v>700</v>
      </c>
      <c r="B553" s="20" t="s">
        <v>599</v>
      </c>
      <c r="C553" s="20" t="s">
        <v>104</v>
      </c>
      <c r="D553" s="20" t="s">
        <v>104</v>
      </c>
      <c r="E553" s="48" t="s">
        <v>697</v>
      </c>
      <c r="F553" s="55"/>
      <c r="G553" s="60">
        <f>G554</f>
        <v>3937035</v>
      </c>
      <c r="H553" s="120"/>
      <c r="I553" s="22">
        <f t="shared" si="8"/>
        <v>3937035</v>
      </c>
    </row>
    <row r="554" spans="1:9" ht="31.5" customHeight="1">
      <c r="A554" s="29" t="s">
        <v>37</v>
      </c>
      <c r="B554" s="20" t="s">
        <v>599</v>
      </c>
      <c r="C554" s="20" t="s">
        <v>104</v>
      </c>
      <c r="D554" s="20" t="s">
        <v>104</v>
      </c>
      <c r="E554" s="48" t="s">
        <v>697</v>
      </c>
      <c r="F554" s="55" t="s">
        <v>38</v>
      </c>
      <c r="G554" s="60">
        <f>3937035</f>
        <v>3937035</v>
      </c>
      <c r="H554" s="120"/>
      <c r="I554" s="22">
        <f t="shared" si="8"/>
        <v>3937035</v>
      </c>
    </row>
    <row r="555" spans="1:9" ht="29.25" customHeight="1">
      <c r="A555" s="133" t="s">
        <v>199</v>
      </c>
      <c r="B555" s="20" t="s">
        <v>599</v>
      </c>
      <c r="C555" s="20" t="s">
        <v>104</v>
      </c>
      <c r="D555" s="20" t="s">
        <v>104</v>
      </c>
      <c r="E555" s="48" t="s">
        <v>443</v>
      </c>
      <c r="F555" s="55"/>
      <c r="G555" s="60">
        <f>G556+G557+G558</f>
        <v>1324345</v>
      </c>
      <c r="H555" s="117">
        <f>H556+H557+H558</f>
        <v>1257677.06</v>
      </c>
      <c r="I555" s="22">
        <f t="shared" si="8"/>
        <v>2582022.06</v>
      </c>
    </row>
    <row r="556" spans="1:9" ht="27.75" customHeight="1">
      <c r="A556" s="26" t="s">
        <v>444</v>
      </c>
      <c r="B556" s="20" t="s">
        <v>599</v>
      </c>
      <c r="C556" s="20" t="s">
        <v>104</v>
      </c>
      <c r="D556" s="20" t="s">
        <v>104</v>
      </c>
      <c r="E556" s="48" t="s">
        <v>443</v>
      </c>
      <c r="F556" s="21" t="s">
        <v>26</v>
      </c>
      <c r="G556" s="60">
        <v>657700</v>
      </c>
      <c r="H556" s="117"/>
      <c r="I556" s="22">
        <f t="shared" si="8"/>
        <v>657700</v>
      </c>
    </row>
    <row r="557" spans="1:9" ht="29.25" customHeight="1">
      <c r="A557" s="29" t="s">
        <v>37</v>
      </c>
      <c r="B557" s="20" t="s">
        <v>599</v>
      </c>
      <c r="C557" s="20" t="s">
        <v>104</v>
      </c>
      <c r="D557" s="20" t="s">
        <v>104</v>
      </c>
      <c r="E557" s="48" t="s">
        <v>443</v>
      </c>
      <c r="F557" s="55" t="s">
        <v>38</v>
      </c>
      <c r="G557" s="60">
        <f>1274360-1141560+391000+131235-40000</f>
        <v>615035</v>
      </c>
      <c r="H557" s="117">
        <f>1141560+50000+66117.06</f>
        <v>1257677.06</v>
      </c>
      <c r="I557" s="22">
        <f t="shared" si="8"/>
        <v>1872712.06</v>
      </c>
    </row>
    <row r="558" spans="1:9" ht="13.5">
      <c r="A558" s="41" t="s">
        <v>79</v>
      </c>
      <c r="B558" s="20" t="s">
        <v>599</v>
      </c>
      <c r="C558" s="20" t="s">
        <v>104</v>
      </c>
      <c r="D558" s="20" t="s">
        <v>104</v>
      </c>
      <c r="E558" s="48" t="s">
        <v>443</v>
      </c>
      <c r="F558" s="55" t="s">
        <v>80</v>
      </c>
      <c r="G558" s="60">
        <v>51610</v>
      </c>
      <c r="H558" s="117"/>
      <c r="I558" s="22">
        <f t="shared" si="8"/>
        <v>51610</v>
      </c>
    </row>
    <row r="559" spans="1:9" ht="13.5">
      <c r="A559" s="26" t="s">
        <v>445</v>
      </c>
      <c r="B559" s="20" t="s">
        <v>599</v>
      </c>
      <c r="C559" s="20" t="s">
        <v>104</v>
      </c>
      <c r="D559" s="20" t="s">
        <v>215</v>
      </c>
      <c r="E559" s="20"/>
      <c r="F559" s="21"/>
      <c r="G559" s="60">
        <f>G560+G572</f>
        <v>9640107</v>
      </c>
      <c r="H559" s="60">
        <f>H560+H572</f>
        <v>25000</v>
      </c>
      <c r="I559" s="22">
        <f t="shared" si="8"/>
        <v>9665107</v>
      </c>
    </row>
    <row r="560" spans="1:9" ht="36" customHeight="1">
      <c r="A560" s="26" t="s">
        <v>364</v>
      </c>
      <c r="B560" s="20" t="s">
        <v>599</v>
      </c>
      <c r="C560" s="20" t="s">
        <v>104</v>
      </c>
      <c r="D560" s="20" t="s">
        <v>215</v>
      </c>
      <c r="E560" s="20" t="s">
        <v>365</v>
      </c>
      <c r="F560" s="21"/>
      <c r="G560" s="60">
        <f>G561</f>
        <v>9640107</v>
      </c>
      <c r="H560" s="60">
        <f>H561</f>
        <v>25000</v>
      </c>
      <c r="I560" s="22">
        <f t="shared" si="8"/>
        <v>9665107</v>
      </c>
    </row>
    <row r="561" spans="1:9" ht="58.5" customHeight="1">
      <c r="A561" s="82" t="s">
        <v>446</v>
      </c>
      <c r="B561" s="20" t="s">
        <v>599</v>
      </c>
      <c r="C561" s="20" t="s">
        <v>104</v>
      </c>
      <c r="D561" s="20" t="s">
        <v>215</v>
      </c>
      <c r="E561" s="20" t="s">
        <v>447</v>
      </c>
      <c r="F561" s="21"/>
      <c r="G561" s="60">
        <f>G562+G567</f>
        <v>9640107</v>
      </c>
      <c r="H561" s="60">
        <f>H562+H567</f>
        <v>25000</v>
      </c>
      <c r="I561" s="22">
        <f t="shared" si="8"/>
        <v>9665107</v>
      </c>
    </row>
    <row r="562" spans="1:9" ht="32.25" customHeight="1">
      <c r="A562" s="41" t="s">
        <v>448</v>
      </c>
      <c r="B562" s="20" t="s">
        <v>599</v>
      </c>
      <c r="C562" s="20" t="s">
        <v>104</v>
      </c>
      <c r="D562" s="20" t="s">
        <v>215</v>
      </c>
      <c r="E562" s="20" t="s">
        <v>449</v>
      </c>
      <c r="F562" s="21"/>
      <c r="G562" s="60">
        <f>G563</f>
        <v>9412523</v>
      </c>
      <c r="H562" s="60">
        <f>H563</f>
        <v>25000</v>
      </c>
      <c r="I562" s="22">
        <f t="shared" si="8"/>
        <v>9437523</v>
      </c>
    </row>
    <row r="563" spans="1:9" ht="28.5" customHeight="1">
      <c r="A563" s="41" t="s">
        <v>199</v>
      </c>
      <c r="B563" s="20" t="s">
        <v>599</v>
      </c>
      <c r="C563" s="20" t="s">
        <v>104</v>
      </c>
      <c r="D563" s="20" t="s">
        <v>215</v>
      </c>
      <c r="E563" s="20" t="s">
        <v>450</v>
      </c>
      <c r="F563" s="21"/>
      <c r="G563" s="60">
        <f>G564+G565+G566</f>
        <v>9412523</v>
      </c>
      <c r="H563" s="60">
        <f>H564+H565+H566</f>
        <v>25000</v>
      </c>
      <c r="I563" s="22">
        <f t="shared" si="8"/>
        <v>9437523</v>
      </c>
    </row>
    <row r="564" spans="1:9" ht="42.75" customHeight="1">
      <c r="A564" s="29" t="s">
        <v>25</v>
      </c>
      <c r="B564" s="20" t="s">
        <v>599</v>
      </c>
      <c r="C564" s="20" t="s">
        <v>104</v>
      </c>
      <c r="D564" s="20" t="s">
        <v>215</v>
      </c>
      <c r="E564" s="20" t="s">
        <v>450</v>
      </c>
      <c r="F564" s="21" t="s">
        <v>26</v>
      </c>
      <c r="G564" s="60">
        <v>8000000</v>
      </c>
      <c r="H564" s="117"/>
      <c r="I564" s="22">
        <f t="shared" si="8"/>
        <v>8000000</v>
      </c>
    </row>
    <row r="565" spans="1:9" ht="26.25">
      <c r="A565" s="29" t="s">
        <v>37</v>
      </c>
      <c r="B565" s="20" t="s">
        <v>599</v>
      </c>
      <c r="C565" s="20" t="s">
        <v>104</v>
      </c>
      <c r="D565" s="20" t="s">
        <v>215</v>
      </c>
      <c r="E565" s="20" t="s">
        <v>450</v>
      </c>
      <c r="F565" s="21" t="s">
        <v>38</v>
      </c>
      <c r="G565" s="60">
        <f>1281848-25000+27875+100000</f>
        <v>1384723</v>
      </c>
      <c r="H565" s="117">
        <v>25000</v>
      </c>
      <c r="I565" s="22">
        <f t="shared" si="8"/>
        <v>1409723</v>
      </c>
    </row>
    <row r="566" spans="1:9" ht="15.75" customHeight="1">
      <c r="A566" s="41" t="s">
        <v>79</v>
      </c>
      <c r="B566" s="20" t="s">
        <v>599</v>
      </c>
      <c r="C566" s="20" t="s">
        <v>104</v>
      </c>
      <c r="D566" s="20" t="s">
        <v>215</v>
      </c>
      <c r="E566" s="20" t="s">
        <v>450</v>
      </c>
      <c r="F566" s="21" t="s">
        <v>80</v>
      </c>
      <c r="G566" s="60">
        <v>27800</v>
      </c>
      <c r="H566" s="117"/>
      <c r="I566" s="22">
        <f t="shared" si="8"/>
        <v>27800</v>
      </c>
    </row>
    <row r="567" spans="1:9" ht="29.25" customHeight="1">
      <c r="A567" s="41" t="s">
        <v>451</v>
      </c>
      <c r="B567" s="20" t="s">
        <v>599</v>
      </c>
      <c r="C567" s="20" t="s">
        <v>104</v>
      </c>
      <c r="D567" s="20" t="s">
        <v>215</v>
      </c>
      <c r="E567" s="20" t="s">
        <v>452</v>
      </c>
      <c r="F567" s="21"/>
      <c r="G567" s="60">
        <f>G568+G570</f>
        <v>227584</v>
      </c>
      <c r="H567" s="117"/>
      <c r="I567" s="22">
        <f t="shared" si="8"/>
        <v>227584</v>
      </c>
    </row>
    <row r="568" spans="1:9" ht="34.5" customHeight="1">
      <c r="A568" s="85" t="s">
        <v>453</v>
      </c>
      <c r="B568" s="20" t="s">
        <v>599</v>
      </c>
      <c r="C568" s="20" t="s">
        <v>104</v>
      </c>
      <c r="D568" s="20" t="s">
        <v>215</v>
      </c>
      <c r="E568" s="20" t="s">
        <v>454</v>
      </c>
      <c r="F568" s="21"/>
      <c r="G568" s="60">
        <f>G569</f>
        <v>227584</v>
      </c>
      <c r="H568" s="117"/>
      <c r="I568" s="22">
        <f t="shared" si="8"/>
        <v>227584</v>
      </c>
    </row>
    <row r="569" spans="1:9" ht="44.25" customHeight="1">
      <c r="A569" s="29" t="s">
        <v>25</v>
      </c>
      <c r="B569" s="20" t="s">
        <v>599</v>
      </c>
      <c r="C569" s="20" t="s">
        <v>104</v>
      </c>
      <c r="D569" s="20" t="s">
        <v>215</v>
      </c>
      <c r="E569" s="20" t="s">
        <v>454</v>
      </c>
      <c r="F569" s="21" t="s">
        <v>26</v>
      </c>
      <c r="G569" s="60">
        <v>227584</v>
      </c>
      <c r="H569" s="117"/>
      <c r="I569" s="22">
        <f t="shared" si="8"/>
        <v>227584</v>
      </c>
    </row>
    <row r="570" spans="1:9" ht="13.5" hidden="1">
      <c r="A570" s="29" t="s">
        <v>400</v>
      </c>
      <c r="B570" s="20" t="s">
        <v>599</v>
      </c>
      <c r="C570" s="20" t="s">
        <v>104</v>
      </c>
      <c r="D570" s="20" t="s">
        <v>215</v>
      </c>
      <c r="E570" s="20" t="s">
        <v>455</v>
      </c>
      <c r="F570" s="21"/>
      <c r="G570" s="60">
        <f>G571</f>
        <v>0</v>
      </c>
      <c r="H570" s="120"/>
      <c r="I570" s="22">
        <f t="shared" si="8"/>
        <v>0</v>
      </c>
    </row>
    <row r="571" spans="1:9" ht="26.25" hidden="1">
      <c r="A571" s="29" t="s">
        <v>37</v>
      </c>
      <c r="B571" s="20" t="s">
        <v>599</v>
      </c>
      <c r="C571" s="20" t="s">
        <v>104</v>
      </c>
      <c r="D571" s="20" t="s">
        <v>215</v>
      </c>
      <c r="E571" s="20" t="s">
        <v>455</v>
      </c>
      <c r="F571" s="21" t="s">
        <v>38</v>
      </c>
      <c r="G571" s="60"/>
      <c r="H571" s="120"/>
      <c r="I571" s="22">
        <f t="shared" si="8"/>
        <v>0</v>
      </c>
    </row>
    <row r="572" spans="1:9" ht="26.25" hidden="1">
      <c r="A572" s="41" t="s">
        <v>456</v>
      </c>
      <c r="B572" s="20" t="s">
        <v>599</v>
      </c>
      <c r="C572" s="20" t="s">
        <v>104</v>
      </c>
      <c r="D572" s="20" t="s">
        <v>215</v>
      </c>
      <c r="E572" s="30" t="s">
        <v>457</v>
      </c>
      <c r="F572" s="21"/>
      <c r="G572" s="60">
        <f>G573</f>
        <v>0</v>
      </c>
      <c r="H572" s="120"/>
      <c r="I572" s="22">
        <f t="shared" si="8"/>
        <v>0</v>
      </c>
    </row>
    <row r="573" spans="1:9" ht="26.25" customHeight="1" hidden="1">
      <c r="A573" s="41" t="s">
        <v>458</v>
      </c>
      <c r="B573" s="20" t="s">
        <v>599</v>
      </c>
      <c r="C573" s="20" t="s">
        <v>104</v>
      </c>
      <c r="D573" s="20" t="s">
        <v>215</v>
      </c>
      <c r="E573" s="30" t="s">
        <v>459</v>
      </c>
      <c r="F573" s="21"/>
      <c r="G573" s="60">
        <f>G574</f>
        <v>0</v>
      </c>
      <c r="H573" s="120"/>
      <c r="I573" s="22">
        <f t="shared" si="8"/>
        <v>0</v>
      </c>
    </row>
    <row r="574" spans="1:9" ht="17.25" customHeight="1" hidden="1">
      <c r="A574" s="41" t="s">
        <v>460</v>
      </c>
      <c r="B574" s="20" t="s">
        <v>599</v>
      </c>
      <c r="C574" s="20" t="s">
        <v>104</v>
      </c>
      <c r="D574" s="20" t="s">
        <v>215</v>
      </c>
      <c r="E574" s="86" t="s">
        <v>461</v>
      </c>
      <c r="F574" s="21"/>
      <c r="G574" s="60">
        <f>G575</f>
        <v>0</v>
      </c>
      <c r="H574" s="120"/>
      <c r="I574" s="22">
        <f t="shared" si="8"/>
        <v>0</v>
      </c>
    </row>
    <row r="575" spans="1:9" ht="26.25" hidden="1">
      <c r="A575" s="29" t="s">
        <v>37</v>
      </c>
      <c r="B575" s="20" t="s">
        <v>599</v>
      </c>
      <c r="C575" s="20" t="s">
        <v>104</v>
      </c>
      <c r="D575" s="20" t="s">
        <v>215</v>
      </c>
      <c r="E575" s="30" t="s">
        <v>461</v>
      </c>
      <c r="F575" s="21" t="s">
        <v>38</v>
      </c>
      <c r="G575" s="60"/>
      <c r="H575" s="120"/>
      <c r="I575" s="22">
        <f t="shared" si="8"/>
        <v>0</v>
      </c>
    </row>
    <row r="576" spans="1:9" ht="17.25" customHeight="1">
      <c r="A576" s="26" t="s">
        <v>494</v>
      </c>
      <c r="B576" s="20" t="s">
        <v>599</v>
      </c>
      <c r="C576" s="20">
        <v>10</v>
      </c>
      <c r="D576" s="20"/>
      <c r="E576" s="20"/>
      <c r="F576" s="21"/>
      <c r="G576" s="60">
        <f>G577+G589</f>
        <v>33443453</v>
      </c>
      <c r="H576" s="120"/>
      <c r="I576" s="22">
        <f t="shared" si="8"/>
        <v>33443453</v>
      </c>
    </row>
    <row r="577" spans="1:9" ht="16.5" customHeight="1">
      <c r="A577" s="26" t="s">
        <v>504</v>
      </c>
      <c r="B577" s="20" t="s">
        <v>599</v>
      </c>
      <c r="C577" s="20">
        <v>10</v>
      </c>
      <c r="D577" s="20" t="s">
        <v>28</v>
      </c>
      <c r="E577" s="20"/>
      <c r="F577" s="21"/>
      <c r="G577" s="60">
        <f>G578</f>
        <v>21735670</v>
      </c>
      <c r="H577" s="120"/>
      <c r="I577" s="22">
        <f t="shared" si="8"/>
        <v>21735670</v>
      </c>
    </row>
    <row r="578" spans="1:9" ht="27.75" customHeight="1">
      <c r="A578" s="26" t="s">
        <v>364</v>
      </c>
      <c r="B578" s="20" t="s">
        <v>599</v>
      </c>
      <c r="C578" s="20">
        <v>10</v>
      </c>
      <c r="D578" s="20" t="s">
        <v>28</v>
      </c>
      <c r="E578" s="20" t="s">
        <v>365</v>
      </c>
      <c r="F578" s="21"/>
      <c r="G578" s="60">
        <f>G579+G584</f>
        <v>21735670</v>
      </c>
      <c r="H578" s="120"/>
      <c r="I578" s="22">
        <f t="shared" si="8"/>
        <v>21735670</v>
      </c>
    </row>
    <row r="579" spans="1:9" ht="45" customHeight="1">
      <c r="A579" s="83" t="s">
        <v>366</v>
      </c>
      <c r="B579" s="20" t="s">
        <v>599</v>
      </c>
      <c r="C579" s="20">
        <v>10</v>
      </c>
      <c r="D579" s="20" t="s">
        <v>28</v>
      </c>
      <c r="E579" s="20" t="s">
        <v>367</v>
      </c>
      <c r="F579" s="21"/>
      <c r="G579" s="60">
        <f>G580</f>
        <v>21310670</v>
      </c>
      <c r="H579" s="120"/>
      <c r="I579" s="22">
        <f t="shared" si="8"/>
        <v>21310670</v>
      </c>
    </row>
    <row r="580" spans="1:9" ht="28.5" customHeight="1">
      <c r="A580" s="41" t="s">
        <v>521</v>
      </c>
      <c r="B580" s="20" t="s">
        <v>599</v>
      </c>
      <c r="C580" s="20">
        <v>10</v>
      </c>
      <c r="D580" s="20" t="s">
        <v>28</v>
      </c>
      <c r="E580" s="20" t="s">
        <v>522</v>
      </c>
      <c r="F580" s="21"/>
      <c r="G580" s="60">
        <f>G581</f>
        <v>21310670</v>
      </c>
      <c r="H580" s="120"/>
      <c r="I580" s="22">
        <f t="shared" si="8"/>
        <v>21310670</v>
      </c>
    </row>
    <row r="581" spans="1:9" ht="53.25" customHeight="1">
      <c r="A581" s="118" t="s">
        <v>523</v>
      </c>
      <c r="B581" s="20" t="s">
        <v>599</v>
      </c>
      <c r="C581" s="20">
        <v>10</v>
      </c>
      <c r="D581" s="20" t="s">
        <v>28</v>
      </c>
      <c r="E581" s="20" t="s">
        <v>524</v>
      </c>
      <c r="F581" s="21"/>
      <c r="G581" s="60">
        <f>G582+G583</f>
        <v>21310670</v>
      </c>
      <c r="H581" s="117"/>
      <c r="I581" s="22">
        <f t="shared" si="8"/>
        <v>21310670</v>
      </c>
    </row>
    <row r="582" spans="1:9" ht="26.25" hidden="1">
      <c r="A582" s="29" t="s">
        <v>37</v>
      </c>
      <c r="B582" s="20" t="s">
        <v>599</v>
      </c>
      <c r="C582" s="20">
        <v>10</v>
      </c>
      <c r="D582" s="20" t="s">
        <v>28</v>
      </c>
      <c r="E582" s="20" t="s">
        <v>524</v>
      </c>
      <c r="F582" s="21" t="s">
        <v>38</v>
      </c>
      <c r="G582" s="60"/>
      <c r="H582" s="117"/>
      <c r="I582" s="22">
        <f>G582+H582</f>
        <v>0</v>
      </c>
    </row>
    <row r="583" spans="1:9" ht="19.5" customHeight="1">
      <c r="A583" s="92" t="s">
        <v>210</v>
      </c>
      <c r="B583" s="20" t="s">
        <v>599</v>
      </c>
      <c r="C583" s="20">
        <v>10</v>
      </c>
      <c r="D583" s="20" t="s">
        <v>28</v>
      </c>
      <c r="E583" s="20" t="s">
        <v>524</v>
      </c>
      <c r="F583" s="21" t="s">
        <v>211</v>
      </c>
      <c r="G583" s="60">
        <v>21310670</v>
      </c>
      <c r="H583" s="117"/>
      <c r="I583" s="22">
        <f t="shared" si="8"/>
        <v>21310670</v>
      </c>
    </row>
    <row r="584" spans="1:9" ht="46.5" customHeight="1">
      <c r="A584" s="29" t="s">
        <v>414</v>
      </c>
      <c r="B584" s="20" t="s">
        <v>599</v>
      </c>
      <c r="C584" s="20">
        <v>10</v>
      </c>
      <c r="D584" s="20" t="s">
        <v>28</v>
      </c>
      <c r="E584" s="20" t="s">
        <v>415</v>
      </c>
      <c r="F584" s="21"/>
      <c r="G584" s="60">
        <f>G585</f>
        <v>425000</v>
      </c>
      <c r="H584" s="117"/>
      <c r="I584" s="22">
        <f>G584+H584</f>
        <v>425000</v>
      </c>
    </row>
    <row r="585" spans="1:9" ht="29.25" customHeight="1">
      <c r="A585" s="93" t="s">
        <v>525</v>
      </c>
      <c r="B585" s="20" t="s">
        <v>599</v>
      </c>
      <c r="C585" s="20">
        <v>10</v>
      </c>
      <c r="D585" s="20" t="s">
        <v>28</v>
      </c>
      <c r="E585" s="20" t="s">
        <v>674</v>
      </c>
      <c r="F585" s="21"/>
      <c r="G585" s="60">
        <f>G586</f>
        <v>425000</v>
      </c>
      <c r="H585" s="117"/>
      <c r="I585" s="22">
        <f>G585+H585</f>
        <v>425000</v>
      </c>
    </row>
    <row r="586" spans="1:9" ht="52.5" customHeight="1">
      <c r="A586" s="77" t="s">
        <v>526</v>
      </c>
      <c r="B586" s="20" t="s">
        <v>599</v>
      </c>
      <c r="C586" s="20">
        <v>10</v>
      </c>
      <c r="D586" s="20" t="s">
        <v>28</v>
      </c>
      <c r="E586" s="20" t="s">
        <v>675</v>
      </c>
      <c r="F586" s="21"/>
      <c r="G586" s="60">
        <f>G588</f>
        <v>425000</v>
      </c>
      <c r="H586" s="117"/>
      <c r="I586" s="22">
        <f>G586+H586</f>
        <v>425000</v>
      </c>
    </row>
    <row r="587" spans="1:9" ht="26.25" hidden="1">
      <c r="A587" s="29" t="s">
        <v>37</v>
      </c>
      <c r="B587" s="20" t="s">
        <v>599</v>
      </c>
      <c r="C587" s="20">
        <v>10</v>
      </c>
      <c r="D587" s="20" t="s">
        <v>28</v>
      </c>
      <c r="E587" s="20" t="s">
        <v>527</v>
      </c>
      <c r="F587" s="21" t="s">
        <v>38</v>
      </c>
      <c r="G587" s="60"/>
      <c r="H587" s="117"/>
      <c r="I587" s="22">
        <f>G587+H587</f>
        <v>0</v>
      </c>
    </row>
    <row r="588" spans="1:9" ht="19.5" customHeight="1">
      <c r="A588" s="92" t="s">
        <v>210</v>
      </c>
      <c r="B588" s="20" t="s">
        <v>599</v>
      </c>
      <c r="C588" s="20">
        <v>10</v>
      </c>
      <c r="D588" s="20" t="s">
        <v>28</v>
      </c>
      <c r="E588" s="20" t="s">
        <v>675</v>
      </c>
      <c r="F588" s="21" t="s">
        <v>211</v>
      </c>
      <c r="G588" s="134">
        <v>425000</v>
      </c>
      <c r="H588" s="117"/>
      <c r="I588" s="22">
        <f>G588+H588</f>
        <v>425000</v>
      </c>
    </row>
    <row r="589" spans="1:9" ht="19.5" customHeight="1">
      <c r="A589" s="26" t="s">
        <v>528</v>
      </c>
      <c r="B589" s="20" t="s">
        <v>599</v>
      </c>
      <c r="C589" s="20">
        <v>10</v>
      </c>
      <c r="D589" s="20" t="s">
        <v>41</v>
      </c>
      <c r="E589" s="20"/>
      <c r="F589" s="21"/>
      <c r="G589" s="60">
        <f>G595+G590</f>
        <v>11707783</v>
      </c>
      <c r="H589" s="117"/>
      <c r="I589" s="22">
        <f t="shared" si="8"/>
        <v>11707783</v>
      </c>
    </row>
    <row r="590" spans="1:9" ht="47.25" customHeight="1">
      <c r="A590" s="26" t="s">
        <v>589</v>
      </c>
      <c r="B590" s="20" t="s">
        <v>599</v>
      </c>
      <c r="C590" s="20">
        <v>10</v>
      </c>
      <c r="D590" s="20" t="s">
        <v>41</v>
      </c>
      <c r="E590" s="94" t="s">
        <v>43</v>
      </c>
      <c r="F590" s="21"/>
      <c r="G590" s="60">
        <f>G591</f>
        <v>9594269</v>
      </c>
      <c r="H590" s="117"/>
      <c r="I590" s="22">
        <f t="shared" si="8"/>
        <v>9594269</v>
      </c>
    </row>
    <row r="591" spans="1:9" ht="58.5" customHeight="1">
      <c r="A591" s="65" t="s">
        <v>531</v>
      </c>
      <c r="B591" s="20" t="s">
        <v>599</v>
      </c>
      <c r="C591" s="20">
        <v>10</v>
      </c>
      <c r="D591" s="20" t="s">
        <v>41</v>
      </c>
      <c r="E591" s="20" t="s">
        <v>45</v>
      </c>
      <c r="F591" s="21"/>
      <c r="G591" s="60">
        <f>G593</f>
        <v>9594269</v>
      </c>
      <c r="H591" s="117"/>
      <c r="I591" s="22">
        <f t="shared" si="8"/>
        <v>9594269</v>
      </c>
    </row>
    <row r="592" spans="1:9" ht="40.5" customHeight="1">
      <c r="A592" s="41" t="s">
        <v>532</v>
      </c>
      <c r="B592" s="20" t="s">
        <v>599</v>
      </c>
      <c r="C592" s="20">
        <v>10</v>
      </c>
      <c r="D592" s="20" t="s">
        <v>41</v>
      </c>
      <c r="E592" s="20" t="s">
        <v>533</v>
      </c>
      <c r="F592" s="21"/>
      <c r="G592" s="60">
        <f>G593</f>
        <v>9594269</v>
      </c>
      <c r="H592" s="117"/>
      <c r="I592" s="22">
        <f t="shared" si="8"/>
        <v>9594269</v>
      </c>
    </row>
    <row r="593" spans="1:9" ht="30.75" customHeight="1">
      <c r="A593" s="27" t="s">
        <v>534</v>
      </c>
      <c r="B593" s="20" t="s">
        <v>599</v>
      </c>
      <c r="C593" s="20">
        <v>10</v>
      </c>
      <c r="D593" s="20" t="s">
        <v>41</v>
      </c>
      <c r="E593" s="20" t="s">
        <v>535</v>
      </c>
      <c r="F593" s="21"/>
      <c r="G593" s="60">
        <f>G594</f>
        <v>9594269</v>
      </c>
      <c r="H593" s="117"/>
      <c r="I593" s="22">
        <f t="shared" si="8"/>
        <v>9594269</v>
      </c>
    </row>
    <row r="594" spans="1:9" ht="19.5" customHeight="1">
      <c r="A594" s="92" t="s">
        <v>210</v>
      </c>
      <c r="B594" s="20" t="s">
        <v>599</v>
      </c>
      <c r="C594" s="20">
        <v>10</v>
      </c>
      <c r="D594" s="20" t="s">
        <v>41</v>
      </c>
      <c r="E594" s="20" t="s">
        <v>535</v>
      </c>
      <c r="F594" s="21" t="s">
        <v>211</v>
      </c>
      <c r="G594" s="60">
        <v>9594269</v>
      </c>
      <c r="H594" s="117"/>
      <c r="I594" s="22">
        <f t="shared" si="8"/>
        <v>9594269</v>
      </c>
    </row>
    <row r="595" spans="1:9" ht="32.25" customHeight="1">
      <c r="A595" s="26" t="s">
        <v>536</v>
      </c>
      <c r="B595" s="20" t="s">
        <v>599</v>
      </c>
      <c r="C595" s="20">
        <v>10</v>
      </c>
      <c r="D595" s="20" t="s">
        <v>41</v>
      </c>
      <c r="E595" s="94" t="s">
        <v>365</v>
      </c>
      <c r="F595" s="21"/>
      <c r="G595" s="60">
        <f>G596+G603</f>
        <v>2113514</v>
      </c>
      <c r="H595" s="117"/>
      <c r="I595" s="22">
        <f t="shared" si="8"/>
        <v>2113514</v>
      </c>
    </row>
    <row r="596" spans="1:9" ht="48.75" customHeight="1">
      <c r="A596" s="83" t="s">
        <v>366</v>
      </c>
      <c r="B596" s="20" t="s">
        <v>599</v>
      </c>
      <c r="C596" s="20">
        <v>10</v>
      </c>
      <c r="D596" s="20" t="s">
        <v>41</v>
      </c>
      <c r="E596" s="94" t="s">
        <v>367</v>
      </c>
      <c r="F596" s="21"/>
      <c r="G596" s="60">
        <f>G600+G597</f>
        <v>2108714</v>
      </c>
      <c r="H596" s="117"/>
      <c r="I596" s="22">
        <f t="shared" si="8"/>
        <v>2108714</v>
      </c>
    </row>
    <row r="597" spans="1:9" ht="30" customHeight="1">
      <c r="A597" s="41" t="s">
        <v>199</v>
      </c>
      <c r="B597" s="20" t="s">
        <v>599</v>
      </c>
      <c r="C597" s="20">
        <v>10</v>
      </c>
      <c r="D597" s="20" t="s">
        <v>41</v>
      </c>
      <c r="E597" s="94" t="s">
        <v>580</v>
      </c>
      <c r="F597" s="21"/>
      <c r="G597" s="60">
        <f>G598</f>
        <v>1000</v>
      </c>
      <c r="H597" s="117"/>
      <c r="I597" s="22">
        <f t="shared" si="8"/>
        <v>1000</v>
      </c>
    </row>
    <row r="598" spans="1:9" ht="24.75" customHeight="1">
      <c r="A598" s="29" t="s">
        <v>25</v>
      </c>
      <c r="B598" s="20" t="s">
        <v>599</v>
      </c>
      <c r="C598" s="20">
        <v>10</v>
      </c>
      <c r="D598" s="20" t="s">
        <v>41</v>
      </c>
      <c r="E598" s="94" t="s">
        <v>580</v>
      </c>
      <c r="F598" s="21" t="s">
        <v>26</v>
      </c>
      <c r="G598" s="60">
        <v>1000</v>
      </c>
      <c r="H598" s="117"/>
      <c r="I598" s="22">
        <f t="shared" si="8"/>
        <v>1000</v>
      </c>
    </row>
    <row r="599" spans="1:9" ht="29.25" customHeight="1">
      <c r="A599" s="41" t="s">
        <v>368</v>
      </c>
      <c r="B599" s="20" t="s">
        <v>599</v>
      </c>
      <c r="C599" s="20">
        <v>10</v>
      </c>
      <c r="D599" s="20" t="s">
        <v>41</v>
      </c>
      <c r="E599" s="94" t="s">
        <v>369</v>
      </c>
      <c r="F599" s="21"/>
      <c r="G599" s="60">
        <f>G600</f>
        <v>2107714</v>
      </c>
      <c r="H599" s="117"/>
      <c r="I599" s="22">
        <f t="shared" si="8"/>
        <v>2107714</v>
      </c>
    </row>
    <row r="600" spans="1:9" ht="12" customHeight="1">
      <c r="A600" s="135" t="s">
        <v>537</v>
      </c>
      <c r="B600" s="20" t="s">
        <v>599</v>
      </c>
      <c r="C600" s="20">
        <v>10</v>
      </c>
      <c r="D600" s="20" t="s">
        <v>41</v>
      </c>
      <c r="E600" s="94" t="s">
        <v>538</v>
      </c>
      <c r="F600" s="21"/>
      <c r="G600" s="60">
        <f>G602+G601</f>
        <v>2107714</v>
      </c>
      <c r="H600" s="117"/>
      <c r="I600" s="22">
        <f t="shared" si="8"/>
        <v>2107714</v>
      </c>
    </row>
    <row r="601" spans="1:9" ht="13.5" hidden="1">
      <c r="A601" s="88" t="s">
        <v>37</v>
      </c>
      <c r="B601" s="20" t="s">
        <v>599</v>
      </c>
      <c r="C601" s="20">
        <v>10</v>
      </c>
      <c r="D601" s="20" t="s">
        <v>41</v>
      </c>
      <c r="E601" s="94" t="s">
        <v>538</v>
      </c>
      <c r="F601" s="21" t="s">
        <v>38</v>
      </c>
      <c r="G601" s="60"/>
      <c r="H601" s="117"/>
      <c r="I601" s="22">
        <f t="shared" si="8"/>
        <v>0</v>
      </c>
    </row>
    <row r="602" spans="1:9" ht="16.5" customHeight="1">
      <c r="A602" s="92" t="s">
        <v>210</v>
      </c>
      <c r="B602" s="20" t="s">
        <v>599</v>
      </c>
      <c r="C602" s="20">
        <v>10</v>
      </c>
      <c r="D602" s="20" t="s">
        <v>41</v>
      </c>
      <c r="E602" s="94" t="s">
        <v>538</v>
      </c>
      <c r="F602" s="21" t="s">
        <v>211</v>
      </c>
      <c r="G602" s="22">
        <v>2107714</v>
      </c>
      <c r="H602" s="117"/>
      <c r="I602" s="22">
        <f t="shared" si="8"/>
        <v>2107714</v>
      </c>
    </row>
    <row r="603" spans="1:9" ht="16.5" customHeight="1">
      <c r="A603" s="41" t="s">
        <v>384</v>
      </c>
      <c r="B603" s="20" t="s">
        <v>599</v>
      </c>
      <c r="C603" s="20" t="s">
        <v>495</v>
      </c>
      <c r="D603" s="20" t="s">
        <v>41</v>
      </c>
      <c r="E603" s="20" t="s">
        <v>385</v>
      </c>
      <c r="F603" s="21"/>
      <c r="G603" s="128">
        <f>G604</f>
        <v>4800</v>
      </c>
      <c r="H603" s="117"/>
      <c r="I603" s="22">
        <f t="shared" si="8"/>
        <v>4800</v>
      </c>
    </row>
    <row r="604" spans="1:9" ht="81" customHeight="1">
      <c r="A604" s="38" t="s">
        <v>386</v>
      </c>
      <c r="B604" s="20" t="s">
        <v>599</v>
      </c>
      <c r="C604" s="20">
        <v>10</v>
      </c>
      <c r="D604" s="20" t="s">
        <v>41</v>
      </c>
      <c r="E604" s="94" t="s">
        <v>387</v>
      </c>
      <c r="F604" s="21"/>
      <c r="G604" s="128">
        <f>G605</f>
        <v>4800</v>
      </c>
      <c r="H604" s="117"/>
      <c r="I604" s="22">
        <f t="shared" si="8"/>
        <v>4800</v>
      </c>
    </row>
    <row r="605" spans="1:9" ht="39" customHeight="1">
      <c r="A605" s="29" t="s">
        <v>25</v>
      </c>
      <c r="B605" s="20" t="s">
        <v>599</v>
      </c>
      <c r="C605" s="20">
        <v>10</v>
      </c>
      <c r="D605" s="20" t="s">
        <v>41</v>
      </c>
      <c r="E605" s="94" t="s">
        <v>387</v>
      </c>
      <c r="F605" s="21" t="s">
        <v>26</v>
      </c>
      <c r="G605" s="128">
        <v>4800</v>
      </c>
      <c r="H605" s="117"/>
      <c r="I605" s="22">
        <f t="shared" si="8"/>
        <v>4800</v>
      </c>
    </row>
    <row r="606" spans="1:9" s="194" customFormat="1" ht="13.5">
      <c r="A606" s="188" t="s">
        <v>539</v>
      </c>
      <c r="B606" s="189" t="s">
        <v>599</v>
      </c>
      <c r="C606" s="189" t="s">
        <v>110</v>
      </c>
      <c r="D606" s="189"/>
      <c r="E606" s="189"/>
      <c r="F606" s="190"/>
      <c r="G606" s="191">
        <f>G607</f>
        <v>9445614.09</v>
      </c>
      <c r="H606" s="192"/>
      <c r="I606" s="193">
        <f t="shared" si="8"/>
        <v>9445614.09</v>
      </c>
    </row>
    <row r="607" spans="1:9" s="194" customFormat="1" ht="13.5">
      <c r="A607" s="188" t="s">
        <v>540</v>
      </c>
      <c r="B607" s="189" t="s">
        <v>599</v>
      </c>
      <c r="C607" s="189" t="s">
        <v>110</v>
      </c>
      <c r="D607" s="189" t="s">
        <v>16</v>
      </c>
      <c r="E607" s="189"/>
      <c r="F607" s="190"/>
      <c r="G607" s="191">
        <f>G608</f>
        <v>9445614.09</v>
      </c>
      <c r="H607" s="192"/>
      <c r="I607" s="193">
        <f t="shared" si="8"/>
        <v>9445614.09</v>
      </c>
    </row>
    <row r="608" spans="1:9" s="194" customFormat="1" ht="54.75" customHeight="1">
      <c r="A608" s="195" t="s">
        <v>420</v>
      </c>
      <c r="B608" s="189" t="s">
        <v>599</v>
      </c>
      <c r="C608" s="189" t="s">
        <v>110</v>
      </c>
      <c r="D608" s="189" t="s">
        <v>16</v>
      </c>
      <c r="E608" s="196" t="s">
        <v>421</v>
      </c>
      <c r="F608" s="190"/>
      <c r="G608" s="191">
        <f>G609</f>
        <v>9445614.09</v>
      </c>
      <c r="H608" s="192"/>
      <c r="I608" s="193">
        <f t="shared" si="8"/>
        <v>9445614.09</v>
      </c>
    </row>
    <row r="609" spans="1:9" s="194" customFormat="1" ht="74.25" customHeight="1">
      <c r="A609" s="197" t="s">
        <v>541</v>
      </c>
      <c r="B609" s="189" t="s">
        <v>599</v>
      </c>
      <c r="C609" s="189" t="s">
        <v>110</v>
      </c>
      <c r="D609" s="189" t="s">
        <v>16</v>
      </c>
      <c r="E609" s="196" t="s">
        <v>542</v>
      </c>
      <c r="F609" s="190"/>
      <c r="G609" s="191">
        <f>G610+G614</f>
        <v>9445614.09</v>
      </c>
      <c r="H609" s="192"/>
      <c r="I609" s="193">
        <f t="shared" si="8"/>
        <v>9445614.09</v>
      </c>
    </row>
    <row r="610" spans="1:9" s="194" customFormat="1" ht="44.25" customHeight="1" hidden="1">
      <c r="A610" s="197" t="s">
        <v>543</v>
      </c>
      <c r="B610" s="189" t="s">
        <v>599</v>
      </c>
      <c r="C610" s="189" t="s">
        <v>110</v>
      </c>
      <c r="D610" s="189" t="s">
        <v>16</v>
      </c>
      <c r="E610" s="196" t="s">
        <v>544</v>
      </c>
      <c r="F610" s="190"/>
      <c r="G610" s="191">
        <f>G611</f>
        <v>0</v>
      </c>
      <c r="H610" s="192"/>
      <c r="I610" s="193">
        <f t="shared" si="8"/>
        <v>0</v>
      </c>
    </row>
    <row r="611" spans="1:9" s="194" customFormat="1" ht="39.75" customHeight="1" hidden="1">
      <c r="A611" s="188" t="s">
        <v>545</v>
      </c>
      <c r="B611" s="189" t="s">
        <v>599</v>
      </c>
      <c r="C611" s="189" t="s">
        <v>110</v>
      </c>
      <c r="D611" s="189" t="s">
        <v>16</v>
      </c>
      <c r="E611" s="196" t="s">
        <v>546</v>
      </c>
      <c r="F611" s="190"/>
      <c r="G611" s="191">
        <f>G613+G612</f>
        <v>0</v>
      </c>
      <c r="H611" s="192"/>
      <c r="I611" s="193">
        <f t="shared" si="8"/>
        <v>0</v>
      </c>
    </row>
    <row r="612" spans="1:9" s="194" customFormat="1" ht="43.5" customHeight="1" hidden="1">
      <c r="A612" s="198" t="s">
        <v>25</v>
      </c>
      <c r="B612" s="189" t="s">
        <v>599</v>
      </c>
      <c r="C612" s="189" t="s">
        <v>110</v>
      </c>
      <c r="D612" s="189" t="s">
        <v>16</v>
      </c>
      <c r="E612" s="196" t="s">
        <v>546</v>
      </c>
      <c r="F612" s="190" t="s">
        <v>26</v>
      </c>
      <c r="G612" s="191">
        <f>3195-3195</f>
        <v>0</v>
      </c>
      <c r="H612" s="199"/>
      <c r="I612" s="193">
        <f t="shared" si="8"/>
        <v>0</v>
      </c>
    </row>
    <row r="613" spans="1:9" s="194" customFormat="1" ht="26.25" hidden="1">
      <c r="A613" s="198" t="s">
        <v>37</v>
      </c>
      <c r="B613" s="189" t="s">
        <v>599</v>
      </c>
      <c r="C613" s="189" t="s">
        <v>110</v>
      </c>
      <c r="D613" s="189" t="s">
        <v>16</v>
      </c>
      <c r="E613" s="196" t="s">
        <v>546</v>
      </c>
      <c r="F613" s="190" t="s">
        <v>38</v>
      </c>
      <c r="G613" s="191"/>
      <c r="H613" s="199"/>
      <c r="I613" s="193">
        <f t="shared" si="8"/>
        <v>0</v>
      </c>
    </row>
    <row r="614" spans="1:9" s="194" customFormat="1" ht="26.25">
      <c r="A614" s="200" t="s">
        <v>547</v>
      </c>
      <c r="B614" s="189" t="s">
        <v>599</v>
      </c>
      <c r="C614" s="189" t="s">
        <v>110</v>
      </c>
      <c r="D614" s="189" t="s">
        <v>16</v>
      </c>
      <c r="E614" s="196" t="s">
        <v>548</v>
      </c>
      <c r="F614" s="190"/>
      <c r="G614" s="191">
        <f>G615+G619</f>
        <v>9445614.09</v>
      </c>
      <c r="H614" s="192"/>
      <c r="I614" s="193">
        <f t="shared" si="8"/>
        <v>9445614.09</v>
      </c>
    </row>
    <row r="615" spans="1:9" s="194" customFormat="1" ht="26.25">
      <c r="A615" s="188" t="s">
        <v>199</v>
      </c>
      <c r="B615" s="189" t="s">
        <v>599</v>
      </c>
      <c r="C615" s="189" t="s">
        <v>110</v>
      </c>
      <c r="D615" s="189" t="s">
        <v>16</v>
      </c>
      <c r="E615" s="196" t="s">
        <v>549</v>
      </c>
      <c r="F615" s="190"/>
      <c r="G615" s="191">
        <f>G617+G616+G618</f>
        <v>9392404.09</v>
      </c>
      <c r="H615" s="192"/>
      <c r="I615" s="193">
        <f t="shared" si="8"/>
        <v>9392404.09</v>
      </c>
    </row>
    <row r="616" spans="1:9" s="194" customFormat="1" ht="39">
      <c r="A616" s="198" t="s">
        <v>25</v>
      </c>
      <c r="B616" s="189" t="s">
        <v>599</v>
      </c>
      <c r="C616" s="189" t="s">
        <v>110</v>
      </c>
      <c r="D616" s="189" t="s">
        <v>16</v>
      </c>
      <c r="E616" s="196" t="s">
        <v>549</v>
      </c>
      <c r="F616" s="190" t="s">
        <v>26</v>
      </c>
      <c r="G616" s="191">
        <f>4677272.1+5000+1395970.89</f>
        <v>6078242.989999999</v>
      </c>
      <c r="H616" s="192"/>
      <c r="I616" s="193">
        <f t="shared" si="8"/>
        <v>6078242.989999999</v>
      </c>
    </row>
    <row r="617" spans="1:9" s="194" customFormat="1" ht="26.25">
      <c r="A617" s="198" t="s">
        <v>37</v>
      </c>
      <c r="B617" s="189" t="s">
        <v>599</v>
      </c>
      <c r="C617" s="189" t="s">
        <v>110</v>
      </c>
      <c r="D617" s="189" t="s">
        <v>16</v>
      </c>
      <c r="E617" s="196" t="s">
        <v>549</v>
      </c>
      <c r="F617" s="190" t="s">
        <v>38</v>
      </c>
      <c r="G617" s="191">
        <f>193649.75+2940511.35+170000</f>
        <v>3304161.1</v>
      </c>
      <c r="H617" s="192"/>
      <c r="I617" s="193">
        <f t="shared" si="8"/>
        <v>3304161.1</v>
      </c>
    </row>
    <row r="618" spans="1:9" s="194" customFormat="1" ht="18" customHeight="1">
      <c r="A618" s="201" t="s">
        <v>79</v>
      </c>
      <c r="B618" s="189" t="s">
        <v>599</v>
      </c>
      <c r="C618" s="189" t="s">
        <v>110</v>
      </c>
      <c r="D618" s="189" t="s">
        <v>16</v>
      </c>
      <c r="E618" s="196" t="s">
        <v>549</v>
      </c>
      <c r="F618" s="190" t="s">
        <v>80</v>
      </c>
      <c r="G618" s="191">
        <f>2375000-2365000</f>
        <v>10000</v>
      </c>
      <c r="H618" s="192"/>
      <c r="I618" s="193">
        <f t="shared" si="8"/>
        <v>10000</v>
      </c>
    </row>
    <row r="619" spans="1:9" s="194" customFormat="1" ht="30" customHeight="1">
      <c r="A619" s="41" t="s">
        <v>725</v>
      </c>
      <c r="B619" s="189" t="s">
        <v>599</v>
      </c>
      <c r="C619" s="189" t="s">
        <v>110</v>
      </c>
      <c r="D619" s="189" t="s">
        <v>16</v>
      </c>
      <c r="E619" s="196" t="s">
        <v>719</v>
      </c>
      <c r="F619" s="190"/>
      <c r="G619" s="191">
        <f>G620</f>
        <v>53210</v>
      </c>
      <c r="H619" s="192"/>
      <c r="I619" s="193">
        <f t="shared" si="8"/>
        <v>53210</v>
      </c>
    </row>
    <row r="620" spans="1:9" s="194" customFormat="1" ht="30" customHeight="1">
      <c r="A620" s="29" t="s">
        <v>37</v>
      </c>
      <c r="B620" s="189" t="s">
        <v>599</v>
      </c>
      <c r="C620" s="189" t="s">
        <v>110</v>
      </c>
      <c r="D620" s="189" t="s">
        <v>16</v>
      </c>
      <c r="E620" s="196" t="s">
        <v>719</v>
      </c>
      <c r="F620" s="190" t="s">
        <v>38</v>
      </c>
      <c r="G620" s="191">
        <f>53210</f>
        <v>53210</v>
      </c>
      <c r="H620" s="192"/>
      <c r="I620" s="193">
        <f aca="true" t="shared" si="9" ref="I620:I659">G620+H620</f>
        <v>53210</v>
      </c>
    </row>
    <row r="621" spans="1:11" ht="33.75" customHeight="1">
      <c r="A621" s="116" t="s">
        <v>617</v>
      </c>
      <c r="B621" s="20" t="s">
        <v>618</v>
      </c>
      <c r="C621" s="20"/>
      <c r="D621" s="20"/>
      <c r="E621" s="20"/>
      <c r="F621" s="21"/>
      <c r="G621" s="60">
        <f>G632+G674+G622</f>
        <v>35256394</v>
      </c>
      <c r="H621" s="117">
        <f>H632+H674+H622</f>
        <v>1586284.3</v>
      </c>
      <c r="I621" s="22">
        <f t="shared" si="9"/>
        <v>36842678.3</v>
      </c>
      <c r="K621" s="28"/>
    </row>
    <row r="622" spans="1:9" ht="13.5" hidden="1">
      <c r="A622" s="26" t="s">
        <v>233</v>
      </c>
      <c r="B622" s="20" t="s">
        <v>618</v>
      </c>
      <c r="C622" s="20" t="s">
        <v>41</v>
      </c>
      <c r="D622" s="20"/>
      <c r="E622" s="20"/>
      <c r="F622" s="21"/>
      <c r="G622" s="60">
        <f>G623</f>
        <v>0</v>
      </c>
      <c r="H622" s="117">
        <f>H623</f>
        <v>0</v>
      </c>
      <c r="I622" s="22">
        <f t="shared" si="9"/>
        <v>0</v>
      </c>
    </row>
    <row r="623" spans="1:9" ht="13.5" hidden="1">
      <c r="A623" s="26" t="s">
        <v>274</v>
      </c>
      <c r="B623" s="20" t="s">
        <v>618</v>
      </c>
      <c r="C623" s="20" t="s">
        <v>41</v>
      </c>
      <c r="D623" s="20" t="s">
        <v>275</v>
      </c>
      <c r="E623" s="20"/>
      <c r="F623" s="21"/>
      <c r="G623" s="60">
        <f>G624</f>
        <v>0</v>
      </c>
      <c r="H623" s="117"/>
      <c r="I623" s="22">
        <f t="shared" si="9"/>
        <v>0</v>
      </c>
    </row>
    <row r="624" spans="1:9" ht="54" customHeight="1" hidden="1">
      <c r="A624" s="125" t="s">
        <v>285</v>
      </c>
      <c r="B624" s="20" t="s">
        <v>618</v>
      </c>
      <c r="C624" s="20" t="s">
        <v>41</v>
      </c>
      <c r="D624" s="20" t="s">
        <v>275</v>
      </c>
      <c r="E624" s="75" t="s">
        <v>286</v>
      </c>
      <c r="F624" s="21"/>
      <c r="G624" s="60">
        <f>G625</f>
        <v>0</v>
      </c>
      <c r="H624" s="117"/>
      <c r="I624" s="22">
        <f t="shared" si="9"/>
        <v>0</v>
      </c>
    </row>
    <row r="625" spans="1:9" ht="75.75" customHeight="1" hidden="1">
      <c r="A625" s="65" t="s">
        <v>593</v>
      </c>
      <c r="B625" s="20" t="s">
        <v>618</v>
      </c>
      <c r="C625" s="20" t="s">
        <v>41</v>
      </c>
      <c r="D625" s="20" t="s">
        <v>275</v>
      </c>
      <c r="E625" s="75" t="s">
        <v>288</v>
      </c>
      <c r="F625" s="21"/>
      <c r="G625" s="60">
        <f>G627</f>
        <v>0</v>
      </c>
      <c r="H625" s="117"/>
      <c r="I625" s="22">
        <f t="shared" si="9"/>
        <v>0</v>
      </c>
    </row>
    <row r="626" spans="1:9" ht="27" customHeight="1" hidden="1">
      <c r="A626" s="41" t="s">
        <v>289</v>
      </c>
      <c r="B626" s="20" t="s">
        <v>618</v>
      </c>
      <c r="C626" s="20" t="s">
        <v>41</v>
      </c>
      <c r="D626" s="20" t="s">
        <v>275</v>
      </c>
      <c r="E626" s="75" t="s">
        <v>290</v>
      </c>
      <c r="F626" s="21"/>
      <c r="G626" s="60"/>
      <c r="H626" s="117"/>
      <c r="I626" s="22">
        <f>I627</f>
        <v>0</v>
      </c>
    </row>
    <row r="627" spans="1:9" ht="15" hidden="1">
      <c r="A627" s="19" t="s">
        <v>291</v>
      </c>
      <c r="B627" s="20" t="s">
        <v>618</v>
      </c>
      <c r="C627" s="20" t="s">
        <v>41</v>
      </c>
      <c r="D627" s="20" t="s">
        <v>275</v>
      </c>
      <c r="E627" s="75" t="s">
        <v>292</v>
      </c>
      <c r="F627" s="21"/>
      <c r="G627" s="60">
        <f>G628</f>
        <v>0</v>
      </c>
      <c r="H627" s="117"/>
      <c r="I627" s="22">
        <f>G627+H627</f>
        <v>0</v>
      </c>
    </row>
    <row r="628" spans="1:9" ht="28.5" customHeight="1" hidden="1">
      <c r="A628" s="88" t="s">
        <v>37</v>
      </c>
      <c r="B628" s="20" t="s">
        <v>618</v>
      </c>
      <c r="C628" s="20" t="s">
        <v>41</v>
      </c>
      <c r="D628" s="20" t="s">
        <v>275</v>
      </c>
      <c r="E628" s="75" t="s">
        <v>292</v>
      </c>
      <c r="F628" s="21" t="s">
        <v>38</v>
      </c>
      <c r="G628" s="60"/>
      <c r="H628" s="117"/>
      <c r="I628" s="22">
        <f>G628+H628</f>
        <v>0</v>
      </c>
    </row>
    <row r="629" spans="1:9" ht="15" customHeight="1" hidden="1">
      <c r="A629" s="41" t="s">
        <v>619</v>
      </c>
      <c r="B629" s="20" t="s">
        <v>618</v>
      </c>
      <c r="C629" s="20" t="s">
        <v>104</v>
      </c>
      <c r="D629" s="20" t="s">
        <v>18</v>
      </c>
      <c r="E629" s="20" t="s">
        <v>620</v>
      </c>
      <c r="F629" s="21"/>
      <c r="G629" s="60">
        <f>G631+G630</f>
        <v>0</v>
      </c>
      <c r="H629" s="117">
        <f>H631+H630</f>
        <v>0</v>
      </c>
      <c r="I629" s="22">
        <f t="shared" si="9"/>
        <v>0</v>
      </c>
    </row>
    <row r="630" spans="1:9" ht="39.75" customHeight="1" hidden="1">
      <c r="A630" s="29" t="s">
        <v>25</v>
      </c>
      <c r="B630" s="20" t="s">
        <v>618</v>
      </c>
      <c r="C630" s="20" t="s">
        <v>104</v>
      </c>
      <c r="D630" s="20" t="s">
        <v>18</v>
      </c>
      <c r="E630" s="20" t="s">
        <v>620</v>
      </c>
      <c r="F630" s="21" t="s">
        <v>26</v>
      </c>
      <c r="G630" s="60"/>
      <c r="H630" s="117"/>
      <c r="I630" s="22">
        <f t="shared" si="9"/>
        <v>0</v>
      </c>
    </row>
    <row r="631" spans="1:9" ht="15" customHeight="1" hidden="1">
      <c r="A631" s="29" t="s">
        <v>87</v>
      </c>
      <c r="B631" s="20" t="s">
        <v>618</v>
      </c>
      <c r="C631" s="20" t="s">
        <v>104</v>
      </c>
      <c r="D631" s="20" t="s">
        <v>18</v>
      </c>
      <c r="E631" s="20" t="s">
        <v>620</v>
      </c>
      <c r="F631" s="21" t="s">
        <v>38</v>
      </c>
      <c r="G631" s="60"/>
      <c r="H631" s="117"/>
      <c r="I631" s="22">
        <f t="shared" si="9"/>
        <v>0</v>
      </c>
    </row>
    <row r="632" spans="1:9" ht="15.75" customHeight="1">
      <c r="A632" s="26" t="s">
        <v>462</v>
      </c>
      <c r="B632" s="20" t="s">
        <v>618</v>
      </c>
      <c r="C632" s="20" t="s">
        <v>235</v>
      </c>
      <c r="D632" s="20"/>
      <c r="E632" s="20"/>
      <c r="F632" s="21"/>
      <c r="G632" s="60">
        <f>G633+G663</f>
        <v>33590952</v>
      </c>
      <c r="H632" s="117">
        <f>H633+H663</f>
        <v>1586284.3</v>
      </c>
      <c r="I632" s="22">
        <f t="shared" si="9"/>
        <v>35177236.3</v>
      </c>
    </row>
    <row r="633" spans="1:9" ht="13.5">
      <c r="A633" s="26" t="s">
        <v>621</v>
      </c>
      <c r="B633" s="20" t="s">
        <v>618</v>
      </c>
      <c r="C633" s="20" t="s">
        <v>235</v>
      </c>
      <c r="D633" s="20" t="s">
        <v>16</v>
      </c>
      <c r="E633" s="20"/>
      <c r="F633" s="21"/>
      <c r="G633" s="60">
        <f>G634+G648+G659</f>
        <v>29573800</v>
      </c>
      <c r="H633" s="60">
        <f>H634+H648+H659</f>
        <v>1586284.3</v>
      </c>
      <c r="I633" s="22">
        <f t="shared" si="9"/>
        <v>31160084.3</v>
      </c>
    </row>
    <row r="634" spans="1:9" ht="31.5" customHeight="1">
      <c r="A634" s="26" t="s">
        <v>464</v>
      </c>
      <c r="B634" s="20" t="s">
        <v>618</v>
      </c>
      <c r="C634" s="20" t="s">
        <v>235</v>
      </c>
      <c r="D634" s="20" t="s">
        <v>16</v>
      </c>
      <c r="E634" s="20" t="s">
        <v>465</v>
      </c>
      <c r="F634" s="21"/>
      <c r="G634" s="60">
        <f>G635+G653</f>
        <v>29513800</v>
      </c>
      <c r="H634" s="117">
        <f>H635+H653</f>
        <v>1586284.3</v>
      </c>
      <c r="I634" s="22">
        <f t="shared" si="9"/>
        <v>31100084.3</v>
      </c>
    </row>
    <row r="635" spans="1:9" s="36" customFormat="1" ht="45.75" customHeight="1">
      <c r="A635" s="26" t="s">
        <v>466</v>
      </c>
      <c r="B635" s="20" t="s">
        <v>618</v>
      </c>
      <c r="C635" s="20" t="s">
        <v>467</v>
      </c>
      <c r="D635" s="20" t="s">
        <v>16</v>
      </c>
      <c r="E635" s="20" t="s">
        <v>468</v>
      </c>
      <c r="F635" s="21"/>
      <c r="G635" s="60">
        <f>G636</f>
        <v>19257100</v>
      </c>
      <c r="H635" s="60">
        <f>H636</f>
        <v>1586284.3</v>
      </c>
      <c r="I635" s="22">
        <f t="shared" si="9"/>
        <v>20843384.3</v>
      </c>
    </row>
    <row r="636" spans="1:9" ht="39.75" customHeight="1">
      <c r="A636" s="40" t="s">
        <v>469</v>
      </c>
      <c r="B636" s="20" t="s">
        <v>618</v>
      </c>
      <c r="C636" s="20" t="s">
        <v>467</v>
      </c>
      <c r="D636" s="20" t="s">
        <v>16</v>
      </c>
      <c r="E636" s="20" t="s">
        <v>470</v>
      </c>
      <c r="F636" s="21"/>
      <c r="G636" s="60">
        <f>G637+G641+G639+G646</f>
        <v>19257100</v>
      </c>
      <c r="H636" s="60">
        <f>H637+H641+H639+H646</f>
        <v>1586284.3</v>
      </c>
      <c r="I636" s="22">
        <f t="shared" si="9"/>
        <v>20843384.3</v>
      </c>
    </row>
    <row r="637" spans="1:9" ht="13.5" hidden="1">
      <c r="A637" s="41" t="s">
        <v>622</v>
      </c>
      <c r="B637" s="20" t="s">
        <v>618</v>
      </c>
      <c r="C637" s="20" t="s">
        <v>467</v>
      </c>
      <c r="D637" s="20" t="s">
        <v>16</v>
      </c>
      <c r="E637" s="20" t="s">
        <v>623</v>
      </c>
      <c r="F637" s="21"/>
      <c r="G637" s="60">
        <f>G638</f>
        <v>0</v>
      </c>
      <c r="H637" s="60">
        <f>H638</f>
        <v>0</v>
      </c>
      <c r="I637" s="22">
        <f t="shared" si="9"/>
        <v>0</v>
      </c>
    </row>
    <row r="638" spans="1:9" ht="13.5" hidden="1">
      <c r="A638" s="88" t="s">
        <v>37</v>
      </c>
      <c r="B638" s="20" t="s">
        <v>618</v>
      </c>
      <c r="C638" s="20" t="s">
        <v>467</v>
      </c>
      <c r="D638" s="20" t="s">
        <v>16</v>
      </c>
      <c r="E638" s="20" t="s">
        <v>623</v>
      </c>
      <c r="F638" s="21" t="s">
        <v>38</v>
      </c>
      <c r="G638" s="60"/>
      <c r="H638" s="60"/>
      <c r="I638" s="22">
        <f t="shared" si="9"/>
        <v>0</v>
      </c>
    </row>
    <row r="639" spans="1:9" ht="13.5" hidden="1">
      <c r="A639" s="118" t="s">
        <v>624</v>
      </c>
      <c r="B639" s="20" t="s">
        <v>618</v>
      </c>
      <c r="C639" s="20" t="s">
        <v>467</v>
      </c>
      <c r="D639" s="20" t="s">
        <v>16</v>
      </c>
      <c r="E639" s="20" t="s">
        <v>625</v>
      </c>
      <c r="F639" s="21"/>
      <c r="G639" s="60">
        <f>G640</f>
        <v>0</v>
      </c>
      <c r="H639" s="60">
        <f>H640</f>
        <v>0</v>
      </c>
      <c r="I639" s="22">
        <f t="shared" si="9"/>
        <v>0</v>
      </c>
    </row>
    <row r="640" spans="1:9" ht="26.25" hidden="1">
      <c r="A640" s="29" t="s">
        <v>37</v>
      </c>
      <c r="B640" s="20" t="s">
        <v>618</v>
      </c>
      <c r="C640" s="20" t="s">
        <v>467</v>
      </c>
      <c r="D640" s="20" t="s">
        <v>16</v>
      </c>
      <c r="E640" s="20" t="s">
        <v>625</v>
      </c>
      <c r="F640" s="21" t="s">
        <v>38</v>
      </c>
      <c r="G640" s="60"/>
      <c r="H640" s="60"/>
      <c r="I640" s="22">
        <f t="shared" si="9"/>
        <v>0</v>
      </c>
    </row>
    <row r="641" spans="1:9" ht="26.25">
      <c r="A641" s="26" t="s">
        <v>199</v>
      </c>
      <c r="B641" s="20" t="s">
        <v>618</v>
      </c>
      <c r="C641" s="20" t="s">
        <v>467</v>
      </c>
      <c r="D641" s="20" t="s">
        <v>16</v>
      </c>
      <c r="E641" s="20" t="s">
        <v>471</v>
      </c>
      <c r="F641" s="21"/>
      <c r="G641" s="60">
        <f>G642+G643+G645+G644</f>
        <v>18732100</v>
      </c>
      <c r="H641" s="60">
        <f>H642+H643+H645+H644</f>
        <v>1586284.3</v>
      </c>
      <c r="I641" s="22">
        <f t="shared" si="9"/>
        <v>20318384.3</v>
      </c>
    </row>
    <row r="642" spans="1:9" ht="48" customHeight="1">
      <c r="A642" s="29" t="s">
        <v>25</v>
      </c>
      <c r="B642" s="20" t="s">
        <v>618</v>
      </c>
      <c r="C642" s="20" t="s">
        <v>467</v>
      </c>
      <c r="D642" s="20" t="s">
        <v>16</v>
      </c>
      <c r="E642" s="20" t="s">
        <v>471</v>
      </c>
      <c r="F642" s="21" t="s">
        <v>26</v>
      </c>
      <c r="G642" s="60">
        <f>12229600-5000</f>
        <v>12224600</v>
      </c>
      <c r="H642" s="117">
        <v>5000</v>
      </c>
      <c r="I642" s="22">
        <f t="shared" si="9"/>
        <v>12229600</v>
      </c>
    </row>
    <row r="643" spans="1:9" ht="24.75" customHeight="1">
      <c r="A643" s="29" t="s">
        <v>37</v>
      </c>
      <c r="B643" s="20" t="s">
        <v>618</v>
      </c>
      <c r="C643" s="20" t="s">
        <v>467</v>
      </c>
      <c r="D643" s="20" t="s">
        <v>16</v>
      </c>
      <c r="E643" s="20" t="s">
        <v>471</v>
      </c>
      <c r="F643" s="21" t="s">
        <v>38</v>
      </c>
      <c r="G643" s="60">
        <f>2839824-1383024+116500+1388500+30000+434000+630000+210000</f>
        <v>4265800</v>
      </c>
      <c r="H643" s="117">
        <f>1383024+196000+2260.3</f>
        <v>1581284.3</v>
      </c>
      <c r="I643" s="22">
        <f t="shared" si="9"/>
        <v>5847084.3</v>
      </c>
    </row>
    <row r="644" spans="1:9" ht="26.25">
      <c r="A644" s="66" t="s">
        <v>253</v>
      </c>
      <c r="B644" s="20" t="s">
        <v>618</v>
      </c>
      <c r="C644" s="20" t="s">
        <v>467</v>
      </c>
      <c r="D644" s="20" t="s">
        <v>16</v>
      </c>
      <c r="E644" s="20" t="s">
        <v>471</v>
      </c>
      <c r="F644" s="21" t="s">
        <v>254</v>
      </c>
      <c r="G644" s="60">
        <f>1829000</f>
        <v>1829000</v>
      </c>
      <c r="H644" s="117"/>
      <c r="I644" s="22">
        <f t="shared" si="9"/>
        <v>1829000</v>
      </c>
    </row>
    <row r="645" spans="1:9" ht="13.5">
      <c r="A645" s="61" t="s">
        <v>79</v>
      </c>
      <c r="B645" s="20" t="s">
        <v>618</v>
      </c>
      <c r="C645" s="20" t="s">
        <v>467</v>
      </c>
      <c r="D645" s="20" t="s">
        <v>16</v>
      </c>
      <c r="E645" s="20" t="s">
        <v>471</v>
      </c>
      <c r="F645" s="21" t="s">
        <v>80</v>
      </c>
      <c r="G645" s="60">
        <v>412700</v>
      </c>
      <c r="H645" s="117"/>
      <c r="I645" s="22">
        <f t="shared" si="9"/>
        <v>412700</v>
      </c>
    </row>
    <row r="646" spans="1:9" ht="26.25">
      <c r="A646" s="29" t="s">
        <v>472</v>
      </c>
      <c r="B646" s="20" t="s">
        <v>618</v>
      </c>
      <c r="C646" s="20" t="s">
        <v>235</v>
      </c>
      <c r="D646" s="20" t="s">
        <v>16</v>
      </c>
      <c r="E646" s="20" t="s">
        <v>473</v>
      </c>
      <c r="F646" s="21"/>
      <c r="G646" s="60">
        <f>G647</f>
        <v>525000</v>
      </c>
      <c r="H646" s="117"/>
      <c r="I646" s="22">
        <f t="shared" si="9"/>
        <v>525000</v>
      </c>
    </row>
    <row r="647" spans="1:9" ht="26.25">
      <c r="A647" s="29" t="s">
        <v>37</v>
      </c>
      <c r="B647" s="20" t="s">
        <v>618</v>
      </c>
      <c r="C647" s="20" t="s">
        <v>235</v>
      </c>
      <c r="D647" s="20" t="s">
        <v>16</v>
      </c>
      <c r="E647" s="20" t="s">
        <v>473</v>
      </c>
      <c r="F647" s="21" t="s">
        <v>38</v>
      </c>
      <c r="G647" s="60">
        <f>25000+500000</f>
        <v>525000</v>
      </c>
      <c r="H647" s="117"/>
      <c r="I647" s="22">
        <f t="shared" si="9"/>
        <v>525000</v>
      </c>
    </row>
    <row r="648" spans="1:9" ht="26.25">
      <c r="A648" s="82" t="s">
        <v>479</v>
      </c>
      <c r="B648" s="20" t="s">
        <v>618</v>
      </c>
      <c r="C648" s="20" t="s">
        <v>467</v>
      </c>
      <c r="D648" s="20" t="s">
        <v>16</v>
      </c>
      <c r="E648" s="20" t="s">
        <v>406</v>
      </c>
      <c r="F648" s="31"/>
      <c r="G648" s="60">
        <f>G649</f>
        <v>10000</v>
      </c>
      <c r="H648" s="117"/>
      <c r="I648" s="22">
        <f t="shared" si="9"/>
        <v>10000</v>
      </c>
    </row>
    <row r="649" spans="1:9" ht="39">
      <c r="A649" s="40" t="s">
        <v>407</v>
      </c>
      <c r="B649" s="20" t="s">
        <v>618</v>
      </c>
      <c r="C649" s="20" t="s">
        <v>467</v>
      </c>
      <c r="D649" s="20" t="s">
        <v>16</v>
      </c>
      <c r="E649" s="20" t="s">
        <v>408</v>
      </c>
      <c r="F649" s="31"/>
      <c r="G649" s="60">
        <f>G650</f>
        <v>10000</v>
      </c>
      <c r="H649" s="117"/>
      <c r="I649" s="22">
        <f t="shared" si="9"/>
        <v>10000</v>
      </c>
    </row>
    <row r="650" spans="1:9" ht="26.25">
      <c r="A650" s="71" t="s">
        <v>409</v>
      </c>
      <c r="B650" s="20" t="s">
        <v>618</v>
      </c>
      <c r="C650" s="20" t="s">
        <v>467</v>
      </c>
      <c r="D650" s="20" t="s">
        <v>16</v>
      </c>
      <c r="E650" s="20" t="s">
        <v>410</v>
      </c>
      <c r="F650" s="31"/>
      <c r="G650" s="60">
        <f>G651</f>
        <v>10000</v>
      </c>
      <c r="H650" s="117"/>
      <c r="I650" s="22">
        <f t="shared" si="9"/>
        <v>10000</v>
      </c>
    </row>
    <row r="651" spans="1:9" ht="13.5">
      <c r="A651" s="71" t="s">
        <v>411</v>
      </c>
      <c r="B651" s="20" t="s">
        <v>618</v>
      </c>
      <c r="C651" s="20" t="s">
        <v>467</v>
      </c>
      <c r="D651" s="20" t="s">
        <v>16</v>
      </c>
      <c r="E651" s="20" t="s">
        <v>412</v>
      </c>
      <c r="F651" s="31"/>
      <c r="G651" s="60">
        <f>G652</f>
        <v>10000</v>
      </c>
      <c r="H651" s="117"/>
      <c r="I651" s="22">
        <f t="shared" si="9"/>
        <v>10000</v>
      </c>
    </row>
    <row r="652" spans="1:9" ht="13.5">
      <c r="A652" s="88" t="s">
        <v>37</v>
      </c>
      <c r="B652" s="20" t="s">
        <v>618</v>
      </c>
      <c r="C652" s="20" t="s">
        <v>467</v>
      </c>
      <c r="D652" s="20" t="s">
        <v>16</v>
      </c>
      <c r="E652" s="20" t="s">
        <v>412</v>
      </c>
      <c r="F652" s="21" t="s">
        <v>38</v>
      </c>
      <c r="G652" s="60">
        <v>10000</v>
      </c>
      <c r="H652" s="117"/>
      <c r="I652" s="22">
        <f t="shared" si="9"/>
        <v>10000</v>
      </c>
    </row>
    <row r="653" spans="1:9" ht="38.25" customHeight="1">
      <c r="A653" s="26" t="s">
        <v>474</v>
      </c>
      <c r="B653" s="20" t="s">
        <v>618</v>
      </c>
      <c r="C653" s="20" t="s">
        <v>467</v>
      </c>
      <c r="D653" s="20" t="s">
        <v>16</v>
      </c>
      <c r="E653" s="48" t="s">
        <v>475</v>
      </c>
      <c r="F653" s="21"/>
      <c r="G653" s="60">
        <f>G654</f>
        <v>10256700</v>
      </c>
      <c r="H653" s="117">
        <f>H655+H659</f>
        <v>0</v>
      </c>
      <c r="I653" s="22">
        <f t="shared" si="9"/>
        <v>10256700</v>
      </c>
    </row>
    <row r="654" spans="1:9" ht="28.5" customHeight="1">
      <c r="A654" s="41" t="s">
        <v>476</v>
      </c>
      <c r="B654" s="20" t="s">
        <v>618</v>
      </c>
      <c r="C654" s="20" t="s">
        <v>467</v>
      </c>
      <c r="D654" s="20" t="s">
        <v>16</v>
      </c>
      <c r="E654" s="48" t="s">
        <v>477</v>
      </c>
      <c r="F654" s="21"/>
      <c r="G654" s="60">
        <f>G655</f>
        <v>10256700</v>
      </c>
      <c r="H654" s="117"/>
      <c r="I654" s="22">
        <f t="shared" si="9"/>
        <v>10256700</v>
      </c>
    </row>
    <row r="655" spans="1:9" ht="26.25">
      <c r="A655" s="26" t="s">
        <v>199</v>
      </c>
      <c r="B655" s="20" t="s">
        <v>618</v>
      </c>
      <c r="C655" s="20" t="s">
        <v>467</v>
      </c>
      <c r="D655" s="20" t="s">
        <v>16</v>
      </c>
      <c r="E655" s="48" t="s">
        <v>478</v>
      </c>
      <c r="F655" s="21"/>
      <c r="G655" s="60">
        <f>G656+G657+G658</f>
        <v>10256700</v>
      </c>
      <c r="H655" s="117">
        <f>H656+H657+H658</f>
        <v>0</v>
      </c>
      <c r="I655" s="22">
        <f t="shared" si="9"/>
        <v>10256700</v>
      </c>
    </row>
    <row r="656" spans="1:9" ht="40.5" customHeight="1">
      <c r="A656" s="29" t="s">
        <v>25</v>
      </c>
      <c r="B656" s="20" t="s">
        <v>618</v>
      </c>
      <c r="C656" s="20" t="s">
        <v>467</v>
      </c>
      <c r="D656" s="20" t="s">
        <v>16</v>
      </c>
      <c r="E656" s="48" t="s">
        <v>478</v>
      </c>
      <c r="F656" s="21" t="s">
        <v>26</v>
      </c>
      <c r="G656" s="60">
        <v>9722200</v>
      </c>
      <c r="H656" s="117"/>
      <c r="I656" s="22">
        <f t="shared" si="9"/>
        <v>9722200</v>
      </c>
    </row>
    <row r="657" spans="1:9" ht="27" customHeight="1">
      <c r="A657" s="88" t="s">
        <v>37</v>
      </c>
      <c r="B657" s="20" t="s">
        <v>618</v>
      </c>
      <c r="C657" s="20" t="s">
        <v>467</v>
      </c>
      <c r="D657" s="20" t="s">
        <v>16</v>
      </c>
      <c r="E657" s="48" t="s">
        <v>478</v>
      </c>
      <c r="F657" s="21" t="s">
        <v>38</v>
      </c>
      <c r="G657" s="60">
        <v>529200</v>
      </c>
      <c r="H657" s="117"/>
      <c r="I657" s="22">
        <f t="shared" si="9"/>
        <v>529200</v>
      </c>
    </row>
    <row r="658" spans="1:9" ht="21.75" customHeight="1">
      <c r="A658" s="61" t="s">
        <v>79</v>
      </c>
      <c r="B658" s="20" t="s">
        <v>618</v>
      </c>
      <c r="C658" s="20" t="s">
        <v>467</v>
      </c>
      <c r="D658" s="20" t="s">
        <v>16</v>
      </c>
      <c r="E658" s="48" t="s">
        <v>478</v>
      </c>
      <c r="F658" s="21" t="s">
        <v>80</v>
      </c>
      <c r="G658" s="60">
        <v>5300</v>
      </c>
      <c r="H658" s="117"/>
      <c r="I658" s="22">
        <f t="shared" si="9"/>
        <v>5300</v>
      </c>
    </row>
    <row r="659" spans="1:9" ht="26.25">
      <c r="A659" s="41" t="s">
        <v>456</v>
      </c>
      <c r="B659" s="20" t="s">
        <v>618</v>
      </c>
      <c r="C659" s="20" t="s">
        <v>467</v>
      </c>
      <c r="D659" s="20" t="s">
        <v>16</v>
      </c>
      <c r="E659" s="48" t="s">
        <v>457</v>
      </c>
      <c r="F659" s="21"/>
      <c r="G659" s="60">
        <f>G660</f>
        <v>50000</v>
      </c>
      <c r="H659" s="120"/>
      <c r="I659" s="22">
        <f t="shared" si="9"/>
        <v>50000</v>
      </c>
    </row>
    <row r="660" spans="1:9" ht="26.25">
      <c r="A660" s="29" t="s">
        <v>458</v>
      </c>
      <c r="B660" s="20" t="s">
        <v>618</v>
      </c>
      <c r="C660" s="20" t="s">
        <v>467</v>
      </c>
      <c r="D660" s="20" t="s">
        <v>16</v>
      </c>
      <c r="E660" s="48" t="s">
        <v>459</v>
      </c>
      <c r="F660" s="21"/>
      <c r="G660" s="60">
        <f>G661</f>
        <v>50000</v>
      </c>
      <c r="H660" s="120"/>
      <c r="I660" s="22">
        <f>G660+H660</f>
        <v>50000</v>
      </c>
    </row>
    <row r="661" spans="1:9" ht="26.25">
      <c r="A661" s="29" t="s">
        <v>720</v>
      </c>
      <c r="B661" s="20" t="s">
        <v>618</v>
      </c>
      <c r="C661" s="20" t="s">
        <v>467</v>
      </c>
      <c r="D661" s="20" t="s">
        <v>16</v>
      </c>
      <c r="E661" s="30" t="s">
        <v>721</v>
      </c>
      <c r="F661" s="21"/>
      <c r="G661" s="60">
        <f>G662</f>
        <v>50000</v>
      </c>
      <c r="H661" s="120"/>
      <c r="I661" s="22">
        <f>G661+H661</f>
        <v>50000</v>
      </c>
    </row>
    <row r="662" spans="1:9" ht="13.5">
      <c r="A662" s="26" t="s">
        <v>210</v>
      </c>
      <c r="B662" s="20" t="s">
        <v>618</v>
      </c>
      <c r="C662" s="20" t="s">
        <v>467</v>
      </c>
      <c r="D662" s="20" t="s">
        <v>16</v>
      </c>
      <c r="E662" s="30" t="s">
        <v>721</v>
      </c>
      <c r="F662" s="21" t="s">
        <v>211</v>
      </c>
      <c r="G662" s="60">
        <f>50000</f>
        <v>50000</v>
      </c>
      <c r="H662" s="120"/>
      <c r="I662" s="22">
        <f>G662+H662</f>
        <v>50000</v>
      </c>
    </row>
    <row r="663" spans="1:9" ht="13.5">
      <c r="A663" s="26" t="s">
        <v>480</v>
      </c>
      <c r="B663" s="20" t="s">
        <v>618</v>
      </c>
      <c r="C663" s="20" t="s">
        <v>235</v>
      </c>
      <c r="D663" s="20" t="s">
        <v>41</v>
      </c>
      <c r="E663" s="20"/>
      <c r="F663" s="21"/>
      <c r="G663" s="60">
        <f>G664</f>
        <v>4017152</v>
      </c>
      <c r="H663" s="117"/>
      <c r="I663" s="22">
        <f aca="true" t="shared" si="10" ref="I663:I675">G663+H663</f>
        <v>4017152</v>
      </c>
    </row>
    <row r="664" spans="1:9" ht="31.5" customHeight="1">
      <c r="A664" s="26" t="s">
        <v>464</v>
      </c>
      <c r="B664" s="20" t="s">
        <v>618</v>
      </c>
      <c r="C664" s="20" t="s">
        <v>235</v>
      </c>
      <c r="D664" s="20" t="s">
        <v>41</v>
      </c>
      <c r="E664" s="20" t="s">
        <v>465</v>
      </c>
      <c r="F664" s="21"/>
      <c r="G664" s="60">
        <f>G665</f>
        <v>4017152</v>
      </c>
      <c r="H664" s="117"/>
      <c r="I664" s="22">
        <f t="shared" si="10"/>
        <v>4017152</v>
      </c>
    </row>
    <row r="665" spans="1:9" ht="58.5" customHeight="1">
      <c r="A665" s="26" t="s">
        <v>481</v>
      </c>
      <c r="B665" s="20" t="s">
        <v>618</v>
      </c>
      <c r="C665" s="20" t="s">
        <v>235</v>
      </c>
      <c r="D665" s="20" t="s">
        <v>41</v>
      </c>
      <c r="E665" s="20" t="s">
        <v>482</v>
      </c>
      <c r="F665" s="21"/>
      <c r="G665" s="60">
        <f>G666+G671</f>
        <v>4017152</v>
      </c>
      <c r="H665" s="120"/>
      <c r="I665" s="22">
        <f t="shared" si="10"/>
        <v>4017152</v>
      </c>
    </row>
    <row r="666" spans="1:9" ht="32.25" customHeight="1">
      <c r="A666" s="89" t="s">
        <v>483</v>
      </c>
      <c r="B666" s="20" t="s">
        <v>618</v>
      </c>
      <c r="C666" s="20" t="s">
        <v>235</v>
      </c>
      <c r="D666" s="20" t="s">
        <v>41</v>
      </c>
      <c r="E666" s="20" t="s">
        <v>484</v>
      </c>
      <c r="F666" s="21"/>
      <c r="G666" s="60">
        <f>G667</f>
        <v>3964280</v>
      </c>
      <c r="H666" s="117"/>
      <c r="I666" s="22">
        <f t="shared" si="10"/>
        <v>3964280</v>
      </c>
    </row>
    <row r="667" spans="1:9" ht="32.25" customHeight="1">
      <c r="A667" s="26" t="s">
        <v>199</v>
      </c>
      <c r="B667" s="20" t="s">
        <v>618</v>
      </c>
      <c r="C667" s="20" t="s">
        <v>235</v>
      </c>
      <c r="D667" s="20" t="s">
        <v>41</v>
      </c>
      <c r="E667" s="20" t="s">
        <v>485</v>
      </c>
      <c r="F667" s="21"/>
      <c r="G667" s="60">
        <f>G668+G669+G670</f>
        <v>3964280</v>
      </c>
      <c r="H667" s="117"/>
      <c r="I667" s="22">
        <f t="shared" si="10"/>
        <v>3964280</v>
      </c>
    </row>
    <row r="668" spans="1:9" ht="42.75" customHeight="1">
      <c r="A668" s="29" t="s">
        <v>25</v>
      </c>
      <c r="B668" s="20" t="s">
        <v>618</v>
      </c>
      <c r="C668" s="20" t="s">
        <v>235</v>
      </c>
      <c r="D668" s="20" t="s">
        <v>41</v>
      </c>
      <c r="E668" s="20" t="s">
        <v>485</v>
      </c>
      <c r="F668" s="21" t="s">
        <v>26</v>
      </c>
      <c r="G668" s="60">
        <v>3679000</v>
      </c>
      <c r="H668" s="117"/>
      <c r="I668" s="22">
        <f t="shared" si="10"/>
        <v>3679000</v>
      </c>
    </row>
    <row r="669" spans="1:9" ht="26.25" customHeight="1">
      <c r="A669" s="88" t="s">
        <v>37</v>
      </c>
      <c r="B669" s="20" t="s">
        <v>618</v>
      </c>
      <c r="C669" s="20" t="s">
        <v>235</v>
      </c>
      <c r="D669" s="20" t="s">
        <v>41</v>
      </c>
      <c r="E669" s="20" t="s">
        <v>485</v>
      </c>
      <c r="F669" s="21" t="s">
        <v>38</v>
      </c>
      <c r="G669" s="60">
        <f>233280+50000</f>
        <v>283280</v>
      </c>
      <c r="H669" s="117"/>
      <c r="I669" s="22">
        <f t="shared" si="10"/>
        <v>283280</v>
      </c>
    </row>
    <row r="670" spans="1:9" ht="16.5" customHeight="1">
      <c r="A670" s="61" t="s">
        <v>79</v>
      </c>
      <c r="B670" s="20" t="s">
        <v>618</v>
      </c>
      <c r="C670" s="20" t="s">
        <v>235</v>
      </c>
      <c r="D670" s="20" t="s">
        <v>41</v>
      </c>
      <c r="E670" s="20" t="s">
        <v>485</v>
      </c>
      <c r="F670" s="21" t="s">
        <v>80</v>
      </c>
      <c r="G670" s="60">
        <v>2000</v>
      </c>
      <c r="H670" s="117"/>
      <c r="I670" s="22">
        <f t="shared" si="10"/>
        <v>2000</v>
      </c>
    </row>
    <row r="671" spans="1:9" ht="41.25" customHeight="1">
      <c r="A671" s="90" t="s">
        <v>486</v>
      </c>
      <c r="B671" s="20" t="s">
        <v>618</v>
      </c>
      <c r="C671" s="20" t="s">
        <v>235</v>
      </c>
      <c r="D671" s="20" t="s">
        <v>41</v>
      </c>
      <c r="E671" s="20" t="s">
        <v>487</v>
      </c>
      <c r="F671" s="21"/>
      <c r="G671" s="60">
        <f>G672</f>
        <v>52872</v>
      </c>
      <c r="H671" s="117"/>
      <c r="I671" s="22">
        <f t="shared" si="10"/>
        <v>52872</v>
      </c>
    </row>
    <row r="672" spans="1:9" ht="42.75" customHeight="1">
      <c r="A672" s="27" t="s">
        <v>488</v>
      </c>
      <c r="B672" s="20" t="s">
        <v>618</v>
      </c>
      <c r="C672" s="20" t="s">
        <v>235</v>
      </c>
      <c r="D672" s="20" t="s">
        <v>41</v>
      </c>
      <c r="E672" s="20" t="s">
        <v>489</v>
      </c>
      <c r="F672" s="21"/>
      <c r="G672" s="60">
        <f>G673</f>
        <v>52872</v>
      </c>
      <c r="H672" s="117"/>
      <c r="I672" s="22">
        <f t="shared" si="10"/>
        <v>52872</v>
      </c>
    </row>
    <row r="673" spans="1:9" ht="42" customHeight="1">
      <c r="A673" s="29" t="s">
        <v>25</v>
      </c>
      <c r="B673" s="20" t="s">
        <v>618</v>
      </c>
      <c r="C673" s="20" t="s">
        <v>235</v>
      </c>
      <c r="D673" s="20" t="s">
        <v>41</v>
      </c>
      <c r="E673" s="20" t="s">
        <v>489</v>
      </c>
      <c r="F673" s="21" t="s">
        <v>26</v>
      </c>
      <c r="G673" s="60">
        <v>52872</v>
      </c>
      <c r="H673" s="117"/>
      <c r="I673" s="22">
        <f t="shared" si="10"/>
        <v>52872</v>
      </c>
    </row>
    <row r="674" spans="1:9" ht="13.5">
      <c r="A674" s="26" t="s">
        <v>494</v>
      </c>
      <c r="B674" s="20" t="s">
        <v>618</v>
      </c>
      <c r="C674" s="20">
        <v>10</v>
      </c>
      <c r="D674" s="20"/>
      <c r="E674" s="20"/>
      <c r="F674" s="21"/>
      <c r="G674" s="60">
        <f aca="true" t="shared" si="11" ref="G674:G679">G675</f>
        <v>1665442</v>
      </c>
      <c r="H674" s="117"/>
      <c r="I674" s="22">
        <f t="shared" si="10"/>
        <v>1665442</v>
      </c>
    </row>
    <row r="675" spans="1:9" ht="13.5">
      <c r="A675" s="26" t="s">
        <v>504</v>
      </c>
      <c r="B675" s="20" t="s">
        <v>618</v>
      </c>
      <c r="C675" s="20">
        <v>10</v>
      </c>
      <c r="D675" s="20" t="s">
        <v>28</v>
      </c>
      <c r="E675" s="20"/>
      <c r="F675" s="21"/>
      <c r="G675" s="60">
        <f t="shared" si="11"/>
        <v>1665442</v>
      </c>
      <c r="H675" s="117"/>
      <c r="I675" s="22">
        <f t="shared" si="10"/>
        <v>1665442</v>
      </c>
    </row>
    <row r="676" spans="1:9" ht="33.75" customHeight="1">
      <c r="A676" s="26" t="s">
        <v>464</v>
      </c>
      <c r="B676" s="20" t="s">
        <v>618</v>
      </c>
      <c r="C676" s="20">
        <v>10</v>
      </c>
      <c r="D676" s="20" t="s">
        <v>28</v>
      </c>
      <c r="E676" s="20" t="s">
        <v>465</v>
      </c>
      <c r="F676" s="21"/>
      <c r="G676" s="60">
        <f t="shared" si="11"/>
        <v>1665442</v>
      </c>
      <c r="H676" s="117"/>
      <c r="I676" s="22">
        <f>G676+H676</f>
        <v>1665442</v>
      </c>
    </row>
    <row r="677" spans="1:9" ht="57.75" customHeight="1">
      <c r="A677" s="26" t="s">
        <v>481</v>
      </c>
      <c r="B677" s="20" t="s">
        <v>618</v>
      </c>
      <c r="C677" s="20">
        <v>10</v>
      </c>
      <c r="D677" s="20" t="s">
        <v>28</v>
      </c>
      <c r="E677" s="20" t="s">
        <v>482</v>
      </c>
      <c r="F677" s="21"/>
      <c r="G677" s="60">
        <f t="shared" si="11"/>
        <v>1665442</v>
      </c>
      <c r="H677" s="117"/>
      <c r="I677" s="22">
        <f>G677+H677</f>
        <v>1665442</v>
      </c>
    </row>
    <row r="678" spans="1:9" ht="30" customHeight="1">
      <c r="A678" s="54" t="s">
        <v>505</v>
      </c>
      <c r="B678" s="20" t="s">
        <v>618</v>
      </c>
      <c r="C678" s="20">
        <v>10</v>
      </c>
      <c r="D678" s="20" t="s">
        <v>28</v>
      </c>
      <c r="E678" s="20" t="s">
        <v>506</v>
      </c>
      <c r="F678" s="21"/>
      <c r="G678" s="60">
        <f t="shared" si="11"/>
        <v>1665442</v>
      </c>
      <c r="H678" s="117"/>
      <c r="I678" s="22">
        <f>G678+H678</f>
        <v>1665442</v>
      </c>
    </row>
    <row r="679" spans="1:9" ht="47.25" customHeight="1">
      <c r="A679" s="118" t="s">
        <v>507</v>
      </c>
      <c r="B679" s="20" t="s">
        <v>618</v>
      </c>
      <c r="C679" s="20">
        <v>10</v>
      </c>
      <c r="D679" s="20" t="s">
        <v>28</v>
      </c>
      <c r="E679" s="45" t="s">
        <v>508</v>
      </c>
      <c r="F679" s="21"/>
      <c r="G679" s="60">
        <f t="shared" si="11"/>
        <v>1665442</v>
      </c>
      <c r="H679" s="117"/>
      <c r="I679" s="22">
        <f>G679+H679</f>
        <v>1665442</v>
      </c>
    </row>
    <row r="680" spans="1:9" ht="18" customHeight="1" thickBot="1">
      <c r="A680" s="170" t="s">
        <v>210</v>
      </c>
      <c r="B680" s="98" t="s">
        <v>618</v>
      </c>
      <c r="C680" s="98">
        <v>10</v>
      </c>
      <c r="D680" s="98" t="s">
        <v>28</v>
      </c>
      <c r="E680" s="171" t="s">
        <v>508</v>
      </c>
      <c r="F680" s="172" t="s">
        <v>211</v>
      </c>
      <c r="G680" s="100">
        <v>1665442</v>
      </c>
      <c r="H680" s="173"/>
      <c r="I680" s="100">
        <f>G680+H680</f>
        <v>1665442</v>
      </c>
    </row>
    <row r="681" spans="2:6" ht="13.5">
      <c r="B681" s="101"/>
      <c r="C681" s="101"/>
      <c r="D681" s="101"/>
      <c r="E681" s="101"/>
      <c r="F681" s="102"/>
    </row>
    <row r="682" spans="2:6" ht="13.5">
      <c r="B682" s="101"/>
      <c r="C682" s="101"/>
      <c r="D682" s="101"/>
      <c r="E682" s="101"/>
      <c r="F682" s="102"/>
    </row>
    <row r="683" spans="2:6" ht="13.5">
      <c r="B683" s="101"/>
      <c r="C683" s="101"/>
      <c r="D683" s="101"/>
      <c r="E683" s="101"/>
      <c r="F683" s="102"/>
    </row>
    <row r="684" spans="2:6" ht="13.5">
      <c r="B684" s="101"/>
      <c r="C684" s="101"/>
      <c r="D684" s="101"/>
      <c r="E684" s="101"/>
      <c r="F684" s="102"/>
    </row>
    <row r="685" spans="2:6" ht="13.5">
      <c r="B685" s="101"/>
      <c r="C685" s="101"/>
      <c r="D685" s="101"/>
      <c r="E685" s="101"/>
      <c r="F685" s="102"/>
    </row>
    <row r="686" spans="2:6" ht="13.5">
      <c r="B686" s="101"/>
      <c r="C686" s="101"/>
      <c r="D686" s="101"/>
      <c r="E686" s="101"/>
      <c r="F686" s="102"/>
    </row>
    <row r="687" spans="2:6" ht="13.5">
      <c r="B687" s="101"/>
      <c r="C687" s="101"/>
      <c r="D687" s="101"/>
      <c r="E687" s="101"/>
      <c r="F687" s="102"/>
    </row>
    <row r="688" spans="2:6" ht="13.5">
      <c r="B688" s="101"/>
      <c r="C688" s="101"/>
      <c r="D688" s="101"/>
      <c r="E688" s="101"/>
      <c r="F688" s="102"/>
    </row>
    <row r="689" spans="2:6" ht="13.5">
      <c r="B689" s="101"/>
      <c r="C689" s="101"/>
      <c r="D689" s="101"/>
      <c r="E689" s="101"/>
      <c r="F689" s="102"/>
    </row>
    <row r="690" spans="2:6" ht="13.5">
      <c r="B690" s="101"/>
      <c r="C690" s="101"/>
      <c r="D690" s="101"/>
      <c r="E690" s="101"/>
      <c r="F690" s="102"/>
    </row>
    <row r="691" spans="2:6" ht="13.5">
      <c r="B691" s="101"/>
      <c r="C691" s="101"/>
      <c r="D691" s="101"/>
      <c r="E691" s="101"/>
      <c r="F691" s="102"/>
    </row>
    <row r="692" ht="13.5">
      <c r="B692" s="101"/>
    </row>
    <row r="693" ht="13.5">
      <c r="B693" s="101"/>
    </row>
    <row r="694" ht="13.5">
      <c r="B694" s="101"/>
    </row>
    <row r="695" ht="13.5">
      <c r="B695" s="101"/>
    </row>
    <row r="696" ht="13.5">
      <c r="B696" s="101"/>
    </row>
  </sheetData>
  <sheetProtection/>
  <mergeCells count="12">
    <mergeCell ref="D10:D11"/>
    <mergeCell ref="E10:E11"/>
    <mergeCell ref="F10:F11"/>
    <mergeCell ref="G10:G11"/>
    <mergeCell ref="H10:H11"/>
    <mergeCell ref="I10:I11"/>
    <mergeCell ref="B5:I5"/>
    <mergeCell ref="B6:I6"/>
    <mergeCell ref="A8:I8"/>
    <mergeCell ref="A10:A11"/>
    <mergeCell ref="B10:B11"/>
    <mergeCell ref="C10:C11"/>
  </mergeCells>
  <hyperlinks>
    <hyperlink ref="A290" r:id="rId1" display="consultantplus://offline/ref=C6EF3AE28B6C46D1117CBBA251A07B11C6C7C5768D606C8B0E322DA1BBA42282C9440EEF08E6CC43400230U6VFM"/>
  </hyperlinks>
  <printOptions/>
  <pageMargins left="0.7086614173228347" right="0.1968503937007874" top="0.4330708661417323" bottom="0.3937007874015748" header="0.31496062992125984" footer="0.31496062992125984"/>
  <pageSetup horizontalDpi="600" verticalDpi="600" orientation="portrait" paperSize="9" scale="78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7"/>
  <sheetViews>
    <sheetView tabSelected="1" zoomScalePageLayoutView="0" workbookViewId="0" topLeftCell="A1">
      <selection activeCell="E10" sqref="E9:E10"/>
    </sheetView>
  </sheetViews>
  <sheetFormatPr defaultColWidth="9.140625" defaultRowHeight="15"/>
  <cols>
    <col min="1" max="1" width="68.57421875" style="5" customWidth="1"/>
    <col min="2" max="2" width="20.140625" style="101" customWidth="1"/>
    <col min="3" max="3" width="6.421875" style="104" customWidth="1"/>
    <col min="4" max="4" width="19.421875" style="107" customWidth="1"/>
    <col min="5" max="5" width="24.421875" style="1" customWidth="1"/>
    <col min="6" max="6" width="18.140625" style="1" customWidth="1"/>
    <col min="7" max="7" width="13.7109375" style="1" customWidth="1"/>
    <col min="8" max="8" width="18.421875" style="1" customWidth="1"/>
    <col min="9" max="16384" width="9.140625" style="1" customWidth="1"/>
  </cols>
  <sheetData>
    <row r="1" spans="2:5" ht="13.5">
      <c r="B1" s="139" t="s">
        <v>628</v>
      </c>
      <c r="C1" s="2"/>
      <c r="E1" s="3"/>
    </row>
    <row r="2" spans="2:7" ht="15.75" customHeight="1">
      <c r="B2" s="139" t="s">
        <v>1</v>
      </c>
      <c r="C2" s="2"/>
      <c r="E2" s="3"/>
      <c r="F2" s="13"/>
      <c r="G2" s="13"/>
    </row>
    <row r="3" spans="2:7" ht="15">
      <c r="B3" s="140" t="s">
        <v>2</v>
      </c>
      <c r="C3" s="8"/>
      <c r="E3" s="9"/>
      <c r="F3" s="13"/>
      <c r="G3" s="13"/>
    </row>
    <row r="4" spans="1:7" ht="18" customHeight="1">
      <c r="A4" s="110"/>
      <c r="B4" s="140" t="s">
        <v>681</v>
      </c>
      <c r="C4" s="8"/>
      <c r="E4" s="9"/>
      <c r="F4" s="13"/>
      <c r="G4" s="13"/>
    </row>
    <row r="5" spans="1:9" ht="45" customHeight="1">
      <c r="A5" s="141"/>
      <c r="B5" s="473" t="s">
        <v>670</v>
      </c>
      <c r="C5" s="473"/>
      <c r="D5" s="473"/>
      <c r="E5" s="141"/>
      <c r="F5" s="141"/>
      <c r="G5" s="141"/>
      <c r="H5" s="141"/>
      <c r="I5" s="141"/>
    </row>
    <row r="6" spans="1:11" ht="6" customHeight="1" hidden="1">
      <c r="A6" s="111"/>
      <c r="B6" s="474"/>
      <c r="C6" s="474"/>
      <c r="D6" s="474"/>
      <c r="E6" s="5"/>
      <c r="F6" s="5"/>
      <c r="G6" s="5"/>
      <c r="H6" s="5"/>
      <c r="I6" s="5"/>
      <c r="J6" s="141"/>
      <c r="K6" s="141"/>
    </row>
    <row r="7" spans="2:9" ht="46.5" customHeight="1">
      <c r="B7" s="492" t="s">
        <v>1230</v>
      </c>
      <c r="C7" s="492"/>
      <c r="D7" s="492"/>
      <c r="E7" s="5"/>
      <c r="F7" s="142"/>
      <c r="G7" s="5"/>
      <c r="H7" s="5"/>
      <c r="I7" s="5"/>
    </row>
    <row r="8" spans="1:11" ht="54" customHeight="1">
      <c r="A8" s="493" t="s">
        <v>667</v>
      </c>
      <c r="B8" s="493"/>
      <c r="C8" s="493"/>
      <c r="D8" s="493"/>
      <c r="F8" s="493"/>
      <c r="G8" s="493"/>
      <c r="H8" s="493"/>
      <c r="I8" s="493"/>
      <c r="J8" s="493"/>
      <c r="K8" s="493"/>
    </row>
    <row r="9" spans="3:4" ht="17.25" customHeight="1" thickBot="1">
      <c r="C9" s="143"/>
      <c r="D9" s="113" t="s">
        <v>3</v>
      </c>
    </row>
    <row r="10" spans="1:6" ht="27" customHeight="1">
      <c r="A10" s="494" t="s">
        <v>4</v>
      </c>
      <c r="B10" s="496" t="s">
        <v>7</v>
      </c>
      <c r="C10" s="498" t="s">
        <v>8</v>
      </c>
      <c r="D10" s="488" t="s">
        <v>629</v>
      </c>
      <c r="E10" s="28"/>
      <c r="F10" s="108"/>
    </row>
    <row r="11" spans="1:4" ht="3.75" customHeight="1" thickBot="1">
      <c r="A11" s="495"/>
      <c r="B11" s="497"/>
      <c r="C11" s="499"/>
      <c r="D11" s="489"/>
    </row>
    <row r="12" spans="1:6" s="18" customFormat="1" ht="12.75" customHeight="1">
      <c r="A12" s="181">
        <v>1</v>
      </c>
      <c r="B12" s="16" t="s">
        <v>10</v>
      </c>
      <c r="C12" s="16" t="s">
        <v>11</v>
      </c>
      <c r="D12" s="182" t="s">
        <v>12</v>
      </c>
      <c r="F12" s="144"/>
    </row>
    <row r="13" spans="1:6" s="23" customFormat="1" ht="21">
      <c r="A13" s="19" t="s">
        <v>14</v>
      </c>
      <c r="B13" s="20"/>
      <c r="C13" s="145"/>
      <c r="D13" s="148">
        <f>D14+D50+D107+D205+D212+D217+D232+D272+D312+D318+D326+D358+D390+D399+D408+D443+D449+D453+D462+D468+D477+D483+D512+D520+D424++D373+D434+D516+D429</f>
        <v>669747633.0899999</v>
      </c>
      <c r="E13" s="28"/>
      <c r="F13" s="146"/>
    </row>
    <row r="14" spans="1:7" ht="34.5" customHeight="1">
      <c r="A14" s="26" t="s">
        <v>464</v>
      </c>
      <c r="B14" s="20" t="s">
        <v>630</v>
      </c>
      <c r="C14" s="21"/>
      <c r="D14" s="148">
        <f>D15+D28+D36</f>
        <v>36782678.3</v>
      </c>
      <c r="E14" s="147"/>
      <c r="F14" s="28"/>
      <c r="G14" s="28"/>
    </row>
    <row r="15" spans="1:6" ht="30" customHeight="1">
      <c r="A15" s="26" t="s">
        <v>466</v>
      </c>
      <c r="B15" s="20" t="s">
        <v>468</v>
      </c>
      <c r="C15" s="21"/>
      <c r="D15" s="148">
        <f>D16</f>
        <v>20843384.3</v>
      </c>
      <c r="E15" s="147"/>
      <c r="F15" s="28"/>
    </row>
    <row r="16" spans="1:5" ht="39" customHeight="1">
      <c r="A16" s="40" t="s">
        <v>469</v>
      </c>
      <c r="B16" s="20" t="s">
        <v>470</v>
      </c>
      <c r="C16" s="21"/>
      <c r="D16" s="148">
        <f>D17+D21+D19+D26</f>
        <v>20843384.3</v>
      </c>
      <c r="E16" s="147"/>
    </row>
    <row r="17" spans="1:5" ht="13.5" hidden="1">
      <c r="A17" s="41" t="s">
        <v>622</v>
      </c>
      <c r="B17" s="48" t="s">
        <v>631</v>
      </c>
      <c r="C17" s="21"/>
      <c r="D17" s="148">
        <f>D18</f>
        <v>0</v>
      </c>
      <c r="E17" s="147"/>
    </row>
    <row r="18" spans="1:5" ht="26.25" hidden="1">
      <c r="A18" s="29" t="s">
        <v>37</v>
      </c>
      <c r="B18" s="48" t="s">
        <v>631</v>
      </c>
      <c r="C18" s="21" t="s">
        <v>38</v>
      </c>
      <c r="D18" s="148"/>
      <c r="E18" s="147"/>
    </row>
    <row r="19" spans="1:5" ht="13.5" hidden="1">
      <c r="A19" s="118" t="s">
        <v>624</v>
      </c>
      <c r="B19" s="48" t="s">
        <v>632</v>
      </c>
      <c r="C19" s="21"/>
      <c r="D19" s="148">
        <f>D20</f>
        <v>0</v>
      </c>
      <c r="E19" s="147"/>
    </row>
    <row r="20" spans="1:5" ht="26.25" hidden="1">
      <c r="A20" s="29" t="s">
        <v>37</v>
      </c>
      <c r="B20" s="48" t="s">
        <v>632</v>
      </c>
      <c r="C20" s="21" t="s">
        <v>38</v>
      </c>
      <c r="D20" s="148"/>
      <c r="E20" s="147"/>
    </row>
    <row r="21" spans="1:5" ht="27" customHeight="1">
      <c r="A21" s="26" t="s">
        <v>199</v>
      </c>
      <c r="B21" s="48" t="s">
        <v>633</v>
      </c>
      <c r="C21" s="21"/>
      <c r="D21" s="148">
        <f>D22+D23+D24+D25</f>
        <v>20318384.3</v>
      </c>
      <c r="E21" s="147"/>
    </row>
    <row r="22" spans="1:5" ht="39.75" customHeight="1">
      <c r="A22" s="29" t="s">
        <v>25</v>
      </c>
      <c r="B22" s="48" t="s">
        <v>633</v>
      </c>
      <c r="C22" s="21" t="s">
        <v>26</v>
      </c>
      <c r="D22" s="22">
        <v>12229600</v>
      </c>
      <c r="E22" s="147"/>
    </row>
    <row r="23" spans="1:5" ht="26.25" customHeight="1">
      <c r="A23" s="29" t="s">
        <v>37</v>
      </c>
      <c r="B23" s="48" t="s">
        <v>633</v>
      </c>
      <c r="C23" s="21" t="s">
        <v>38</v>
      </c>
      <c r="D23" s="22">
        <f>4543084.3+30000+434000+630000+210000</f>
        <v>5847084.3</v>
      </c>
      <c r="E23" s="147"/>
    </row>
    <row r="24" spans="1:5" ht="26.25">
      <c r="A24" s="66" t="s">
        <v>253</v>
      </c>
      <c r="B24" s="48" t="s">
        <v>633</v>
      </c>
      <c r="C24" s="21" t="s">
        <v>254</v>
      </c>
      <c r="D24" s="22">
        <f>1829000</f>
        <v>1829000</v>
      </c>
      <c r="E24" s="147"/>
    </row>
    <row r="25" spans="1:5" ht="23.25" customHeight="1">
      <c r="A25" s="61" t="s">
        <v>79</v>
      </c>
      <c r="B25" s="48" t="s">
        <v>633</v>
      </c>
      <c r="C25" s="21" t="s">
        <v>80</v>
      </c>
      <c r="D25" s="22">
        <v>412700</v>
      </c>
      <c r="E25" s="147"/>
    </row>
    <row r="26" spans="1:5" ht="26.25">
      <c r="A26" s="29" t="s">
        <v>472</v>
      </c>
      <c r="B26" s="20" t="s">
        <v>473</v>
      </c>
      <c r="C26" s="21"/>
      <c r="D26" s="148">
        <f>D27</f>
        <v>525000</v>
      </c>
      <c r="E26" s="147"/>
    </row>
    <row r="27" spans="1:5" ht="26.25">
      <c r="A27" s="29" t="s">
        <v>37</v>
      </c>
      <c r="B27" s="20" t="s">
        <v>473</v>
      </c>
      <c r="C27" s="21" t="s">
        <v>38</v>
      </c>
      <c r="D27" s="22">
        <v>525000</v>
      </c>
      <c r="E27" s="147"/>
    </row>
    <row r="28" spans="1:5" ht="30.75" customHeight="1">
      <c r="A28" s="26" t="s">
        <v>474</v>
      </c>
      <c r="B28" s="48" t="s">
        <v>475</v>
      </c>
      <c r="C28" s="21"/>
      <c r="D28" s="148">
        <f>D29</f>
        <v>10256700</v>
      </c>
      <c r="E28" s="147"/>
    </row>
    <row r="29" spans="1:5" ht="28.5" customHeight="1">
      <c r="A29" s="41" t="s">
        <v>476</v>
      </c>
      <c r="B29" s="48" t="s">
        <v>477</v>
      </c>
      <c r="C29" s="21"/>
      <c r="D29" s="148">
        <f>D30+D35</f>
        <v>10256700</v>
      </c>
      <c r="E29" s="147"/>
    </row>
    <row r="30" spans="1:5" ht="26.25">
      <c r="A30" s="26" t="s">
        <v>199</v>
      </c>
      <c r="B30" s="48" t="s">
        <v>478</v>
      </c>
      <c r="C30" s="21"/>
      <c r="D30" s="148">
        <f>D31+D32+D33</f>
        <v>10256700</v>
      </c>
      <c r="E30" s="147"/>
    </row>
    <row r="31" spans="1:5" ht="39.75" customHeight="1">
      <c r="A31" s="29" t="s">
        <v>25</v>
      </c>
      <c r="B31" s="48" t="s">
        <v>478</v>
      </c>
      <c r="C31" s="21" t="s">
        <v>26</v>
      </c>
      <c r="D31" s="22">
        <v>9722200</v>
      </c>
      <c r="E31" s="147"/>
    </row>
    <row r="32" spans="1:5" ht="26.25">
      <c r="A32" s="29" t="s">
        <v>37</v>
      </c>
      <c r="B32" s="48" t="s">
        <v>478</v>
      </c>
      <c r="C32" s="21" t="s">
        <v>38</v>
      </c>
      <c r="D32" s="22">
        <v>529200</v>
      </c>
      <c r="E32" s="147"/>
    </row>
    <row r="33" spans="1:5" ht="15" customHeight="1">
      <c r="A33" s="61" t="s">
        <v>79</v>
      </c>
      <c r="B33" s="48" t="s">
        <v>478</v>
      </c>
      <c r="C33" s="21" t="s">
        <v>80</v>
      </c>
      <c r="D33" s="22">
        <v>5300</v>
      </c>
      <c r="E33" s="147"/>
    </row>
    <row r="34" spans="1:5" ht="15.75" customHeight="1" hidden="1">
      <c r="A34" s="61" t="s">
        <v>634</v>
      </c>
      <c r="B34" s="48" t="s">
        <v>635</v>
      </c>
      <c r="C34" s="21"/>
      <c r="D34" s="22">
        <f>D35</f>
        <v>0</v>
      </c>
      <c r="E34" s="147"/>
    </row>
    <row r="35" spans="1:5" ht="30.75" customHeight="1" hidden="1">
      <c r="A35" s="29" t="s">
        <v>37</v>
      </c>
      <c r="B35" s="48" t="s">
        <v>635</v>
      </c>
      <c r="C35" s="21" t="s">
        <v>38</v>
      </c>
      <c r="D35" s="22">
        <f>20000-20000</f>
        <v>0</v>
      </c>
      <c r="E35" s="147"/>
    </row>
    <row r="36" spans="1:5" ht="42" customHeight="1">
      <c r="A36" s="26" t="s">
        <v>481</v>
      </c>
      <c r="B36" s="20" t="s">
        <v>482</v>
      </c>
      <c r="C36" s="21"/>
      <c r="D36" s="148">
        <f>D37+D42+D45</f>
        <v>5682594</v>
      </c>
      <c r="E36" s="147"/>
    </row>
    <row r="37" spans="1:5" ht="28.5" customHeight="1">
      <c r="A37" s="89" t="s">
        <v>483</v>
      </c>
      <c r="B37" s="20" t="s">
        <v>484</v>
      </c>
      <c r="C37" s="21"/>
      <c r="D37" s="148">
        <f>D38</f>
        <v>3964280</v>
      </c>
      <c r="E37" s="147"/>
    </row>
    <row r="38" spans="1:5" ht="26.25" customHeight="1">
      <c r="A38" s="26" t="s">
        <v>199</v>
      </c>
      <c r="B38" s="20" t="s">
        <v>485</v>
      </c>
      <c r="C38" s="21"/>
      <c r="D38" s="148">
        <f>D39+D40+D41</f>
        <v>3964280</v>
      </c>
      <c r="E38" s="147"/>
    </row>
    <row r="39" spans="1:5" ht="26.25" customHeight="1">
      <c r="A39" s="29" t="s">
        <v>25</v>
      </c>
      <c r="B39" s="20" t="s">
        <v>485</v>
      </c>
      <c r="C39" s="21" t="s">
        <v>26</v>
      </c>
      <c r="D39" s="22">
        <v>3679000</v>
      </c>
      <c r="E39" s="147"/>
    </row>
    <row r="40" spans="1:5" ht="27.75" customHeight="1">
      <c r="A40" s="29" t="s">
        <v>37</v>
      </c>
      <c r="B40" s="20" t="s">
        <v>485</v>
      </c>
      <c r="C40" s="21" t="s">
        <v>38</v>
      </c>
      <c r="D40" s="22">
        <v>283280</v>
      </c>
      <c r="E40" s="147"/>
    </row>
    <row r="41" spans="1:5" ht="18.75" customHeight="1">
      <c r="A41" s="61" t="s">
        <v>79</v>
      </c>
      <c r="B41" s="20" t="s">
        <v>485</v>
      </c>
      <c r="C41" s="21" t="s">
        <v>80</v>
      </c>
      <c r="D41" s="22">
        <v>2000</v>
      </c>
      <c r="E41" s="147"/>
    </row>
    <row r="42" spans="1:5" ht="42.75" customHeight="1">
      <c r="A42" s="90" t="s">
        <v>486</v>
      </c>
      <c r="B42" s="20" t="s">
        <v>487</v>
      </c>
      <c r="C42" s="21"/>
      <c r="D42" s="148">
        <f>D44</f>
        <v>52872</v>
      </c>
      <c r="E42" s="147"/>
    </row>
    <row r="43" spans="1:5" ht="41.25" customHeight="1">
      <c r="A43" s="27" t="s">
        <v>488</v>
      </c>
      <c r="B43" s="20" t="s">
        <v>489</v>
      </c>
      <c r="C43" s="21"/>
      <c r="D43" s="148">
        <f>D44</f>
        <v>52872</v>
      </c>
      <c r="E43" s="147"/>
    </row>
    <row r="44" spans="1:5" ht="46.5" customHeight="1">
      <c r="A44" s="29" t="s">
        <v>25</v>
      </c>
      <c r="B44" s="20" t="s">
        <v>489</v>
      </c>
      <c r="C44" s="21" t="s">
        <v>26</v>
      </c>
      <c r="D44" s="22">
        <v>52872</v>
      </c>
      <c r="E44" s="147"/>
    </row>
    <row r="45" spans="1:5" ht="30.75" customHeight="1">
      <c r="A45" s="54" t="s">
        <v>505</v>
      </c>
      <c r="B45" s="20" t="s">
        <v>506</v>
      </c>
      <c r="C45" s="21"/>
      <c r="D45" s="148">
        <f>D46</f>
        <v>1665442</v>
      </c>
      <c r="E45" s="147"/>
    </row>
    <row r="46" spans="1:5" ht="30" customHeight="1">
      <c r="A46" s="118" t="s">
        <v>507</v>
      </c>
      <c r="B46" s="45" t="s">
        <v>508</v>
      </c>
      <c r="C46" s="21"/>
      <c r="D46" s="148">
        <f>D47</f>
        <v>1665442</v>
      </c>
      <c r="E46" s="147"/>
    </row>
    <row r="47" spans="1:5" ht="18.75" customHeight="1">
      <c r="A47" s="61" t="s">
        <v>210</v>
      </c>
      <c r="B47" s="45" t="s">
        <v>508</v>
      </c>
      <c r="C47" s="21" t="s">
        <v>211</v>
      </c>
      <c r="D47" s="22">
        <v>1665442</v>
      </c>
      <c r="E47" s="147"/>
    </row>
    <row r="48" spans="1:5" ht="16.5" customHeight="1" hidden="1">
      <c r="A48" s="129" t="s">
        <v>636</v>
      </c>
      <c r="B48" s="20" t="s">
        <v>637</v>
      </c>
      <c r="C48" s="21"/>
      <c r="D48" s="148">
        <f>D49</f>
        <v>0</v>
      </c>
      <c r="E48" s="147"/>
    </row>
    <row r="49" spans="1:5" ht="15.75" customHeight="1" hidden="1">
      <c r="A49" s="29" t="s">
        <v>87</v>
      </c>
      <c r="B49" s="20" t="s">
        <v>637</v>
      </c>
      <c r="C49" s="21" t="s">
        <v>38</v>
      </c>
      <c r="D49" s="148"/>
      <c r="E49" s="147"/>
    </row>
    <row r="50" spans="1:5" ht="30.75" customHeight="1">
      <c r="A50" s="26" t="s">
        <v>497</v>
      </c>
      <c r="B50" s="20" t="s">
        <v>43</v>
      </c>
      <c r="C50" s="21"/>
      <c r="D50" s="148">
        <f>D51+D78+D91</f>
        <v>38721932</v>
      </c>
      <c r="E50" s="28"/>
    </row>
    <row r="51" spans="1:5" ht="45.75" customHeight="1">
      <c r="A51" s="47" t="s">
        <v>510</v>
      </c>
      <c r="B51" s="20" t="s">
        <v>121</v>
      </c>
      <c r="C51" s="21"/>
      <c r="D51" s="148">
        <f>D52+D72+D75</f>
        <v>25506863</v>
      </c>
      <c r="E51" s="147"/>
    </row>
    <row r="52" spans="1:5" ht="30" customHeight="1">
      <c r="A52" s="47" t="s">
        <v>511</v>
      </c>
      <c r="B52" s="20" t="s">
        <v>512</v>
      </c>
      <c r="C52" s="21"/>
      <c r="D52" s="22">
        <f>D53+D60+D63+D66+D69+D56+D58</f>
        <v>25224763</v>
      </c>
      <c r="E52" s="147"/>
    </row>
    <row r="53" spans="1:5" ht="13.5">
      <c r="A53" s="26" t="s">
        <v>529</v>
      </c>
      <c r="B53" s="20" t="s">
        <v>530</v>
      </c>
      <c r="C53" s="21"/>
      <c r="D53" s="22">
        <f>D55+D54</f>
        <v>1398704</v>
      </c>
      <c r="E53" s="147"/>
    </row>
    <row r="54" spans="1:5" ht="27" customHeight="1">
      <c r="A54" s="29" t="s">
        <v>37</v>
      </c>
      <c r="B54" s="20" t="s">
        <v>530</v>
      </c>
      <c r="C54" s="21" t="s">
        <v>38</v>
      </c>
      <c r="D54" s="22">
        <v>260</v>
      </c>
      <c r="E54" s="147"/>
    </row>
    <row r="55" spans="1:5" ht="19.5" customHeight="1">
      <c r="A55" s="92" t="s">
        <v>210</v>
      </c>
      <c r="B55" s="20" t="s">
        <v>530</v>
      </c>
      <c r="C55" s="21" t="s">
        <v>211</v>
      </c>
      <c r="D55" s="22">
        <v>1398444</v>
      </c>
      <c r="E55" s="147"/>
    </row>
    <row r="56" spans="1:5" ht="19.5" customHeight="1">
      <c r="A56" s="92" t="s">
        <v>709</v>
      </c>
      <c r="B56" s="20" t="s">
        <v>707</v>
      </c>
      <c r="C56" s="21"/>
      <c r="D56" s="22">
        <v>13250277</v>
      </c>
      <c r="E56" s="147"/>
    </row>
    <row r="57" spans="1:5" ht="19.5" customHeight="1">
      <c r="A57" s="92" t="s">
        <v>210</v>
      </c>
      <c r="B57" s="20" t="s">
        <v>707</v>
      </c>
      <c r="C57" s="21" t="s">
        <v>211</v>
      </c>
      <c r="D57" s="22">
        <v>13250277</v>
      </c>
      <c r="E57" s="147"/>
    </row>
    <row r="58" spans="1:5" ht="29.25" customHeight="1">
      <c r="A58" s="92" t="s">
        <v>710</v>
      </c>
      <c r="B58" s="20" t="s">
        <v>708</v>
      </c>
      <c r="C58" s="21"/>
      <c r="D58" s="22">
        <v>66251</v>
      </c>
      <c r="E58" s="147"/>
    </row>
    <row r="59" spans="1:5" ht="32.25" customHeight="1">
      <c r="A59" s="29" t="s">
        <v>37</v>
      </c>
      <c r="B59" s="20" t="s">
        <v>708</v>
      </c>
      <c r="C59" s="21" t="s">
        <v>38</v>
      </c>
      <c r="D59" s="22">
        <v>66251</v>
      </c>
      <c r="E59" s="147"/>
    </row>
    <row r="60" spans="1:5" ht="26.25">
      <c r="A60" s="27" t="s">
        <v>513</v>
      </c>
      <c r="B60" s="20" t="s">
        <v>514</v>
      </c>
      <c r="C60" s="21"/>
      <c r="D60" s="22">
        <f>D62+D61</f>
        <v>43900</v>
      </c>
      <c r="E60" s="147"/>
    </row>
    <row r="61" spans="1:5" ht="30.75" customHeight="1">
      <c r="A61" s="29" t="s">
        <v>37</v>
      </c>
      <c r="B61" s="20" t="s">
        <v>514</v>
      </c>
      <c r="C61" s="21" t="s">
        <v>38</v>
      </c>
      <c r="D61" s="22">
        <v>770</v>
      </c>
      <c r="E61" s="147"/>
    </row>
    <row r="62" spans="1:5" ht="17.25" customHeight="1">
      <c r="A62" s="92" t="s">
        <v>210</v>
      </c>
      <c r="B62" s="20" t="s">
        <v>514</v>
      </c>
      <c r="C62" s="21" t="s">
        <v>211</v>
      </c>
      <c r="D62" s="22">
        <v>43130</v>
      </c>
      <c r="E62" s="147"/>
    </row>
    <row r="63" spans="1:5" ht="29.25" customHeight="1">
      <c r="A63" s="27" t="s">
        <v>515</v>
      </c>
      <c r="B63" s="20" t="s">
        <v>516</v>
      </c>
      <c r="C63" s="21"/>
      <c r="D63" s="22">
        <f>D65+D64</f>
        <v>431394</v>
      </c>
      <c r="E63" s="147"/>
    </row>
    <row r="64" spans="1:5" ht="31.5" customHeight="1">
      <c r="A64" s="29" t="s">
        <v>37</v>
      </c>
      <c r="B64" s="20" t="s">
        <v>516</v>
      </c>
      <c r="C64" s="21" t="s">
        <v>38</v>
      </c>
      <c r="D64" s="22">
        <v>4700</v>
      </c>
      <c r="E64" s="147"/>
    </row>
    <row r="65" spans="1:5" ht="13.5">
      <c r="A65" s="92" t="s">
        <v>210</v>
      </c>
      <c r="B65" s="20" t="s">
        <v>516</v>
      </c>
      <c r="C65" s="21" t="s">
        <v>211</v>
      </c>
      <c r="D65" s="22">
        <v>426694</v>
      </c>
      <c r="E65" s="147"/>
    </row>
    <row r="66" spans="1:5" ht="13.5">
      <c r="A66" s="26" t="s">
        <v>517</v>
      </c>
      <c r="B66" s="20" t="s">
        <v>518</v>
      </c>
      <c r="C66" s="21"/>
      <c r="D66" s="22">
        <f>D68+D67</f>
        <v>9049237</v>
      </c>
      <c r="E66" s="147"/>
    </row>
    <row r="67" spans="1:5" ht="32.25" customHeight="1">
      <c r="A67" s="29" t="s">
        <v>37</v>
      </c>
      <c r="B67" s="20" t="s">
        <v>518</v>
      </c>
      <c r="C67" s="21" t="s">
        <v>38</v>
      </c>
      <c r="D67" s="22">
        <f>90000+62000</f>
        <v>152000</v>
      </c>
      <c r="E67" s="147"/>
    </row>
    <row r="68" spans="1:5" ht="19.5" customHeight="1">
      <c r="A68" s="92" t="s">
        <v>210</v>
      </c>
      <c r="B68" s="20" t="s">
        <v>518</v>
      </c>
      <c r="C68" s="21" t="s">
        <v>211</v>
      </c>
      <c r="D68" s="22">
        <f>8897237</f>
        <v>8897237</v>
      </c>
      <c r="E68" s="147"/>
    </row>
    <row r="69" spans="1:5" ht="13.5">
      <c r="A69" s="26" t="s">
        <v>519</v>
      </c>
      <c r="B69" s="20" t="s">
        <v>520</v>
      </c>
      <c r="C69" s="21"/>
      <c r="D69" s="22">
        <f>D71+D70</f>
        <v>985000</v>
      </c>
      <c r="E69" s="147"/>
    </row>
    <row r="70" spans="1:5" ht="28.5" customHeight="1">
      <c r="A70" s="29" t="s">
        <v>37</v>
      </c>
      <c r="B70" s="20" t="s">
        <v>520</v>
      </c>
      <c r="C70" s="21" t="s">
        <v>38</v>
      </c>
      <c r="D70" s="22">
        <f>16000+3400</f>
        <v>19400</v>
      </c>
      <c r="E70" s="147"/>
    </row>
    <row r="71" spans="1:5" ht="21.75" customHeight="1">
      <c r="A71" s="92" t="s">
        <v>210</v>
      </c>
      <c r="B71" s="20" t="s">
        <v>520</v>
      </c>
      <c r="C71" s="21" t="s">
        <v>211</v>
      </c>
      <c r="D71" s="22">
        <f>965600</f>
        <v>965600</v>
      </c>
      <c r="E71" s="147"/>
    </row>
    <row r="72" spans="1:5" ht="33" customHeight="1">
      <c r="A72" s="47" t="s">
        <v>122</v>
      </c>
      <c r="B72" s="20" t="s">
        <v>123</v>
      </c>
      <c r="C72" s="21"/>
      <c r="D72" s="22">
        <f>D73</f>
        <v>14000</v>
      </c>
      <c r="E72" s="147"/>
    </row>
    <row r="73" spans="1:5" ht="15" customHeight="1">
      <c r="A73" s="29" t="s">
        <v>124</v>
      </c>
      <c r="B73" s="48" t="s">
        <v>125</v>
      </c>
      <c r="C73" s="21"/>
      <c r="D73" s="22">
        <f>D74</f>
        <v>14000</v>
      </c>
      <c r="E73" s="147"/>
    </row>
    <row r="74" spans="1:5" ht="27.75" customHeight="1">
      <c r="A74" s="29" t="s">
        <v>37</v>
      </c>
      <c r="B74" s="48" t="s">
        <v>125</v>
      </c>
      <c r="C74" s="21" t="s">
        <v>38</v>
      </c>
      <c r="D74" s="22">
        <v>14000</v>
      </c>
      <c r="E74" s="147"/>
    </row>
    <row r="75" spans="1:5" ht="27.75" customHeight="1">
      <c r="A75" s="54" t="s">
        <v>499</v>
      </c>
      <c r="B75" s="20" t="s">
        <v>500</v>
      </c>
      <c r="C75" s="21"/>
      <c r="D75" s="148">
        <f>D76</f>
        <v>268100</v>
      </c>
      <c r="E75" s="147"/>
    </row>
    <row r="76" spans="1:5" ht="18.75" customHeight="1">
      <c r="A76" s="129" t="s">
        <v>501</v>
      </c>
      <c r="B76" s="20" t="s">
        <v>638</v>
      </c>
      <c r="C76" s="21"/>
      <c r="D76" s="148">
        <f>D77</f>
        <v>268100</v>
      </c>
      <c r="E76" s="147"/>
    </row>
    <row r="77" spans="1:5" ht="18.75" customHeight="1">
      <c r="A77" s="61" t="s">
        <v>210</v>
      </c>
      <c r="B77" s="20" t="s">
        <v>638</v>
      </c>
      <c r="C77" s="21" t="s">
        <v>211</v>
      </c>
      <c r="D77" s="22">
        <v>268100</v>
      </c>
      <c r="E77" s="147"/>
    </row>
    <row r="78" spans="1:5" ht="53.25" customHeight="1">
      <c r="A78" s="65" t="s">
        <v>531</v>
      </c>
      <c r="B78" s="30" t="s">
        <v>45</v>
      </c>
      <c r="C78" s="31"/>
      <c r="D78" s="148">
        <f>D79+D82+D88</f>
        <v>10538669</v>
      </c>
      <c r="E78" s="147"/>
    </row>
    <row r="79" spans="1:5" ht="42" customHeight="1">
      <c r="A79" s="41" t="s">
        <v>532</v>
      </c>
      <c r="B79" s="20" t="s">
        <v>533</v>
      </c>
      <c r="C79" s="21"/>
      <c r="D79" s="148">
        <f>D80</f>
        <v>9594269</v>
      </c>
      <c r="E79" s="147"/>
    </row>
    <row r="80" spans="1:5" ht="25.5" customHeight="1">
      <c r="A80" s="27" t="s">
        <v>534</v>
      </c>
      <c r="B80" s="20" t="s">
        <v>535</v>
      </c>
      <c r="C80" s="21"/>
      <c r="D80" s="148">
        <f>D81</f>
        <v>9594269</v>
      </c>
      <c r="E80" s="147"/>
    </row>
    <row r="81" spans="1:5" ht="13.5">
      <c r="A81" s="92" t="s">
        <v>210</v>
      </c>
      <c r="B81" s="20" t="s">
        <v>535</v>
      </c>
      <c r="C81" s="21" t="s">
        <v>211</v>
      </c>
      <c r="D81" s="22">
        <v>9594269</v>
      </c>
      <c r="E81" s="147"/>
    </row>
    <row r="82" spans="1:5" ht="42.75" customHeight="1">
      <c r="A82" s="37" t="s">
        <v>46</v>
      </c>
      <c r="B82" s="30" t="s">
        <v>47</v>
      </c>
      <c r="C82" s="31"/>
      <c r="D82" s="148">
        <f>D83+D86</f>
        <v>917400</v>
      </c>
      <c r="E82" s="147"/>
    </row>
    <row r="83" spans="1:5" ht="41.25" customHeight="1">
      <c r="A83" s="118" t="s">
        <v>48</v>
      </c>
      <c r="B83" s="30" t="s">
        <v>49</v>
      </c>
      <c r="C83" s="31"/>
      <c r="D83" s="148">
        <f>D84+D85</f>
        <v>917400</v>
      </c>
      <c r="E83" s="147"/>
    </row>
    <row r="84" spans="1:5" ht="39">
      <c r="A84" s="29" t="s">
        <v>25</v>
      </c>
      <c r="B84" s="30" t="s">
        <v>49</v>
      </c>
      <c r="C84" s="31" t="s">
        <v>26</v>
      </c>
      <c r="D84" s="22">
        <v>880400</v>
      </c>
      <c r="E84" s="147"/>
    </row>
    <row r="85" spans="1:5" ht="26.25">
      <c r="A85" s="29" t="s">
        <v>37</v>
      </c>
      <c r="B85" s="30" t="s">
        <v>49</v>
      </c>
      <c r="C85" s="31" t="s">
        <v>38</v>
      </c>
      <c r="D85" s="22">
        <v>37000</v>
      </c>
      <c r="E85" s="147"/>
    </row>
    <row r="86" spans="1:5" ht="66" hidden="1">
      <c r="A86" s="29" t="s">
        <v>639</v>
      </c>
      <c r="B86" s="30" t="s">
        <v>640</v>
      </c>
      <c r="C86" s="31"/>
      <c r="D86" s="148">
        <f>D87</f>
        <v>0</v>
      </c>
      <c r="E86" s="147"/>
    </row>
    <row r="87" spans="1:5" ht="26.25" hidden="1">
      <c r="A87" s="29" t="s">
        <v>37</v>
      </c>
      <c r="B87" s="30" t="s">
        <v>640</v>
      </c>
      <c r="C87" s="31" t="s">
        <v>38</v>
      </c>
      <c r="D87" s="148"/>
      <c r="E87" s="147"/>
    </row>
    <row r="88" spans="1:5" ht="31.5" customHeight="1">
      <c r="A88" s="71" t="s">
        <v>126</v>
      </c>
      <c r="B88" s="20" t="s">
        <v>127</v>
      </c>
      <c r="C88" s="21"/>
      <c r="D88" s="22">
        <f>D89</f>
        <v>27000</v>
      </c>
      <c r="E88" s="147"/>
    </row>
    <row r="89" spans="1:5" ht="38.25" customHeight="1">
      <c r="A89" s="47" t="s">
        <v>128</v>
      </c>
      <c r="B89" s="48" t="s">
        <v>129</v>
      </c>
      <c r="C89" s="21"/>
      <c r="D89" s="22">
        <f>D90</f>
        <v>27000</v>
      </c>
      <c r="E89" s="147"/>
    </row>
    <row r="90" spans="1:5" ht="26.25" customHeight="1">
      <c r="A90" s="29" t="s">
        <v>37</v>
      </c>
      <c r="B90" s="48" t="s">
        <v>129</v>
      </c>
      <c r="C90" s="21" t="s">
        <v>38</v>
      </c>
      <c r="D90" s="22">
        <v>27000</v>
      </c>
      <c r="E90" s="147"/>
    </row>
    <row r="91" spans="1:5" ht="44.25" customHeight="1">
      <c r="A91" s="27" t="s">
        <v>130</v>
      </c>
      <c r="B91" s="20" t="s">
        <v>51</v>
      </c>
      <c r="C91" s="21"/>
      <c r="D91" s="148">
        <f>D92+D97</f>
        <v>2676400</v>
      </c>
      <c r="E91" s="147"/>
    </row>
    <row r="92" spans="1:5" ht="30.75" customHeight="1">
      <c r="A92" s="27" t="s">
        <v>131</v>
      </c>
      <c r="B92" s="20" t="s">
        <v>132</v>
      </c>
      <c r="C92" s="21"/>
      <c r="D92" s="148">
        <f>D93+D95</f>
        <v>129300</v>
      </c>
      <c r="E92" s="147"/>
    </row>
    <row r="93" spans="1:5" ht="30" customHeight="1">
      <c r="A93" s="27" t="s">
        <v>133</v>
      </c>
      <c r="B93" s="20" t="s">
        <v>134</v>
      </c>
      <c r="C93" s="21"/>
      <c r="D93" s="148">
        <f>D94</f>
        <v>124300</v>
      </c>
      <c r="E93" s="147"/>
    </row>
    <row r="94" spans="1:5" ht="32.25" customHeight="1">
      <c r="A94" s="29" t="s">
        <v>135</v>
      </c>
      <c r="B94" s="20" t="s">
        <v>134</v>
      </c>
      <c r="C94" s="31" t="s">
        <v>136</v>
      </c>
      <c r="D94" s="148">
        <v>124300</v>
      </c>
      <c r="E94" s="147"/>
    </row>
    <row r="95" spans="1:5" ht="20.25" customHeight="1">
      <c r="A95" s="27" t="s">
        <v>137</v>
      </c>
      <c r="B95" s="20" t="s">
        <v>138</v>
      </c>
      <c r="C95" s="31"/>
      <c r="D95" s="148">
        <f>D96</f>
        <v>5000</v>
      </c>
      <c r="E95" s="147"/>
    </row>
    <row r="96" spans="1:5" ht="32.25" customHeight="1">
      <c r="A96" s="29" t="s">
        <v>135</v>
      </c>
      <c r="B96" s="20" t="s">
        <v>138</v>
      </c>
      <c r="C96" s="31" t="s">
        <v>136</v>
      </c>
      <c r="D96" s="148">
        <v>5000</v>
      </c>
      <c r="E96" s="147"/>
    </row>
    <row r="97" spans="1:5" ht="28.5" customHeight="1">
      <c r="A97" s="40" t="s">
        <v>52</v>
      </c>
      <c r="B97" s="30" t="s">
        <v>53</v>
      </c>
      <c r="C97" s="21"/>
      <c r="D97" s="148">
        <f>D98+D103+D101</f>
        <v>2547100</v>
      </c>
      <c r="E97" s="147"/>
    </row>
    <row r="98" spans="1:5" ht="30.75" customHeight="1">
      <c r="A98" s="27" t="s">
        <v>54</v>
      </c>
      <c r="B98" s="30" t="s">
        <v>55</v>
      </c>
      <c r="C98" s="21"/>
      <c r="D98" s="148">
        <f>D99+D100</f>
        <v>2140600</v>
      </c>
      <c r="E98" s="147"/>
    </row>
    <row r="99" spans="1:5" ht="43.5" customHeight="1">
      <c r="A99" s="29" t="s">
        <v>25</v>
      </c>
      <c r="B99" s="30" t="s">
        <v>55</v>
      </c>
      <c r="C99" s="31" t="s">
        <v>26</v>
      </c>
      <c r="D99" s="22">
        <v>2140600</v>
      </c>
      <c r="E99" s="147"/>
    </row>
    <row r="100" spans="1:5" ht="26.25">
      <c r="A100" s="29" t="s">
        <v>37</v>
      </c>
      <c r="B100" s="30" t="s">
        <v>55</v>
      </c>
      <c r="C100" s="31" t="s">
        <v>38</v>
      </c>
      <c r="D100" s="22">
        <f>60633-60633</f>
        <v>0</v>
      </c>
      <c r="E100" s="147"/>
    </row>
    <row r="101" spans="1:5" ht="17.25" customHeight="1">
      <c r="A101" s="71" t="s">
        <v>139</v>
      </c>
      <c r="B101" s="20" t="s">
        <v>140</v>
      </c>
      <c r="C101" s="31"/>
      <c r="D101" s="22">
        <f>D102</f>
        <v>10000</v>
      </c>
      <c r="E101" s="147"/>
    </row>
    <row r="102" spans="1:5" ht="26.25">
      <c r="A102" s="29" t="s">
        <v>37</v>
      </c>
      <c r="B102" s="20" t="s">
        <v>140</v>
      </c>
      <c r="C102" s="31" t="s">
        <v>38</v>
      </c>
      <c r="D102" s="22">
        <v>10000</v>
      </c>
      <c r="E102" s="147"/>
    </row>
    <row r="103" spans="1:5" ht="41.25" customHeight="1">
      <c r="A103" s="47" t="s">
        <v>713</v>
      </c>
      <c r="B103" s="30" t="s">
        <v>703</v>
      </c>
      <c r="C103" s="31"/>
      <c r="D103" s="22">
        <f>D104+D105</f>
        <v>396500</v>
      </c>
      <c r="E103" s="147"/>
    </row>
    <row r="104" spans="1:5" ht="39">
      <c r="A104" s="29" t="s">
        <v>25</v>
      </c>
      <c r="B104" s="30" t="s">
        <v>703</v>
      </c>
      <c r="C104" s="31" t="s">
        <v>26</v>
      </c>
      <c r="D104" s="22">
        <v>264255</v>
      </c>
      <c r="E104" s="147"/>
    </row>
    <row r="105" spans="1:5" ht="26.25">
      <c r="A105" s="29" t="s">
        <v>37</v>
      </c>
      <c r="B105" s="30" t="s">
        <v>703</v>
      </c>
      <c r="C105" s="31" t="s">
        <v>38</v>
      </c>
      <c r="D105" s="22">
        <v>132245</v>
      </c>
      <c r="E105" s="147"/>
    </row>
    <row r="106" spans="1:5" ht="13.5">
      <c r="A106" s="29"/>
      <c r="B106" s="30"/>
      <c r="C106" s="31"/>
      <c r="D106" s="22"/>
      <c r="E106" s="147"/>
    </row>
    <row r="107" spans="1:8" ht="32.25" customHeight="1">
      <c r="A107" s="26" t="s">
        <v>364</v>
      </c>
      <c r="B107" s="20" t="s">
        <v>365</v>
      </c>
      <c r="C107" s="21"/>
      <c r="D107" s="148">
        <f>D108+D178+D194</f>
        <v>437865480.41999996</v>
      </c>
      <c r="E107" s="28"/>
      <c r="F107" s="28"/>
      <c r="H107" s="28"/>
    </row>
    <row r="108" spans="1:5" s="36" customFormat="1" ht="41.25" customHeight="1">
      <c r="A108" s="83" t="s">
        <v>366</v>
      </c>
      <c r="B108" s="20" t="s">
        <v>367</v>
      </c>
      <c r="C108" s="21"/>
      <c r="D108" s="148">
        <f>D117+D141+D170+D112+D109</f>
        <v>399662140.41999996</v>
      </c>
      <c r="E108" s="149"/>
    </row>
    <row r="109" spans="1:5" s="36" customFormat="1" ht="21" customHeight="1">
      <c r="A109" s="184" t="s">
        <v>572</v>
      </c>
      <c r="B109" s="20" t="s">
        <v>573</v>
      </c>
      <c r="C109" s="21"/>
      <c r="D109" s="148">
        <f>D110</f>
        <v>3419565</v>
      </c>
      <c r="E109" s="149"/>
    </row>
    <row r="110" spans="1:5" s="36" customFormat="1" ht="58.5" customHeight="1">
      <c r="A110" s="41" t="s">
        <v>714</v>
      </c>
      <c r="B110" s="20" t="s">
        <v>574</v>
      </c>
      <c r="C110" s="21"/>
      <c r="D110" s="148">
        <f>D111</f>
        <v>3419565</v>
      </c>
      <c r="E110" s="149"/>
    </row>
    <row r="111" spans="1:5" s="36" customFormat="1" ht="28.5" customHeight="1">
      <c r="A111" s="29" t="s">
        <v>37</v>
      </c>
      <c r="B111" s="20" t="s">
        <v>574</v>
      </c>
      <c r="C111" s="39" t="s">
        <v>38</v>
      </c>
      <c r="D111" s="148">
        <v>3419565</v>
      </c>
      <c r="E111" s="149"/>
    </row>
    <row r="112" spans="1:5" s="36" customFormat="1" ht="19.5" customHeight="1">
      <c r="A112" s="83" t="s">
        <v>380</v>
      </c>
      <c r="B112" s="20" t="s">
        <v>381</v>
      </c>
      <c r="C112" s="39"/>
      <c r="D112" s="22">
        <f>D113+D115</f>
        <v>818667</v>
      </c>
      <c r="E112" s="149"/>
    </row>
    <row r="113" spans="1:5" s="36" customFormat="1" ht="31.5" customHeight="1" hidden="1">
      <c r="A113" s="83" t="s">
        <v>382</v>
      </c>
      <c r="B113" s="20" t="s">
        <v>383</v>
      </c>
      <c r="C113" s="39"/>
      <c r="D113" s="22">
        <f>D114</f>
        <v>0</v>
      </c>
      <c r="E113" s="149"/>
    </row>
    <row r="114" spans="1:5" s="36" customFormat="1" ht="33" customHeight="1" hidden="1">
      <c r="A114" s="29" t="s">
        <v>37</v>
      </c>
      <c r="B114" s="20" t="s">
        <v>383</v>
      </c>
      <c r="C114" s="21" t="s">
        <v>38</v>
      </c>
      <c r="D114" s="22"/>
      <c r="E114" s="149"/>
    </row>
    <row r="115" spans="1:5" s="36" customFormat="1" ht="35.25" customHeight="1">
      <c r="A115" s="71" t="s">
        <v>715</v>
      </c>
      <c r="B115" s="20" t="s">
        <v>575</v>
      </c>
      <c r="C115" s="39"/>
      <c r="D115" s="22">
        <f>D116</f>
        <v>818667</v>
      </c>
      <c r="E115" s="149"/>
    </row>
    <row r="116" spans="1:5" s="36" customFormat="1" ht="33" customHeight="1">
      <c r="A116" s="29" t="s">
        <v>37</v>
      </c>
      <c r="B116" s="20" t="s">
        <v>575</v>
      </c>
      <c r="C116" s="21" t="s">
        <v>38</v>
      </c>
      <c r="D116" s="22">
        <f>818667.6-0.6</f>
        <v>818667</v>
      </c>
      <c r="E116" s="149"/>
    </row>
    <row r="117" spans="1:5" ht="27.75" customHeight="1">
      <c r="A117" s="41" t="s">
        <v>368</v>
      </c>
      <c r="B117" s="94" t="s">
        <v>369</v>
      </c>
      <c r="C117" s="21"/>
      <c r="D117" s="148">
        <f>D118+D125+D132+D134+D130+D129+D139</f>
        <v>97964764.65</v>
      </c>
      <c r="E117" s="147"/>
    </row>
    <row r="118" spans="1:5" ht="18.75" customHeight="1">
      <c r="A118" s="96" t="s">
        <v>537</v>
      </c>
      <c r="B118" s="94" t="s">
        <v>538</v>
      </c>
      <c r="C118" s="21"/>
      <c r="D118" s="148">
        <f>D120+D119</f>
        <v>2107714</v>
      </c>
      <c r="E118" s="147"/>
    </row>
    <row r="119" spans="1:5" ht="31.5" customHeight="1" hidden="1">
      <c r="A119" s="29" t="s">
        <v>37</v>
      </c>
      <c r="B119" s="94" t="s">
        <v>538</v>
      </c>
      <c r="C119" s="21" t="s">
        <v>38</v>
      </c>
      <c r="D119" s="22"/>
      <c r="E119" s="147"/>
    </row>
    <row r="120" spans="1:5" ht="17.25" customHeight="1">
      <c r="A120" s="92" t="s">
        <v>210</v>
      </c>
      <c r="B120" s="94" t="s">
        <v>538</v>
      </c>
      <c r="C120" s="21" t="s">
        <v>211</v>
      </c>
      <c r="D120" s="22">
        <v>2107714</v>
      </c>
      <c r="E120" s="147"/>
    </row>
    <row r="121" spans="1:5" ht="27" customHeight="1" hidden="1">
      <c r="A121" s="77" t="s">
        <v>641</v>
      </c>
      <c r="B121" s="20" t="s">
        <v>642</v>
      </c>
      <c r="C121" s="21"/>
      <c r="D121" s="148">
        <f>D122</f>
        <v>0</v>
      </c>
      <c r="E121" s="147"/>
    </row>
    <row r="122" spans="1:5" ht="16.5" customHeight="1" hidden="1">
      <c r="A122" s="29" t="s">
        <v>87</v>
      </c>
      <c r="B122" s="20" t="s">
        <v>642</v>
      </c>
      <c r="C122" s="21" t="s">
        <v>38</v>
      </c>
      <c r="D122" s="148"/>
      <c r="E122" s="147"/>
    </row>
    <row r="123" spans="1:5" ht="38.25" customHeight="1" hidden="1">
      <c r="A123" s="50" t="s">
        <v>643</v>
      </c>
      <c r="B123" s="20" t="s">
        <v>644</v>
      </c>
      <c r="C123" s="21"/>
      <c r="D123" s="148">
        <f>D124</f>
        <v>0</v>
      </c>
      <c r="E123" s="147"/>
    </row>
    <row r="124" spans="1:5" ht="15.75" customHeight="1" hidden="1">
      <c r="A124" s="29" t="s">
        <v>87</v>
      </c>
      <c r="B124" s="20" t="s">
        <v>644</v>
      </c>
      <c r="C124" s="21" t="s">
        <v>38</v>
      </c>
      <c r="D124" s="148"/>
      <c r="E124" s="147"/>
    </row>
    <row r="125" spans="1:5" ht="66" customHeight="1">
      <c r="A125" s="118" t="s">
        <v>370</v>
      </c>
      <c r="B125" s="20" t="s">
        <v>371</v>
      </c>
      <c r="C125" s="21"/>
      <c r="D125" s="148">
        <f>D126+D127</f>
        <v>50718054</v>
      </c>
      <c r="E125" s="147"/>
    </row>
    <row r="126" spans="1:5" ht="42" customHeight="1">
      <c r="A126" s="81" t="s">
        <v>25</v>
      </c>
      <c r="B126" s="20" t="s">
        <v>371</v>
      </c>
      <c r="C126" s="21" t="s">
        <v>26</v>
      </c>
      <c r="D126" s="22">
        <v>50174926</v>
      </c>
      <c r="E126" s="147"/>
    </row>
    <row r="127" spans="1:5" ht="25.5" customHeight="1">
      <c r="A127" s="29" t="s">
        <v>37</v>
      </c>
      <c r="B127" s="20" t="s">
        <v>371</v>
      </c>
      <c r="C127" s="21" t="s">
        <v>38</v>
      </c>
      <c r="D127" s="22">
        <v>543128</v>
      </c>
      <c r="E127" s="147"/>
    </row>
    <row r="128" spans="1:5" ht="13.5" hidden="1">
      <c r="A128" s="118" t="s">
        <v>388</v>
      </c>
      <c r="B128" s="20" t="s">
        <v>602</v>
      </c>
      <c r="C128" s="21"/>
      <c r="D128" s="148">
        <f>D129</f>
        <v>0</v>
      </c>
      <c r="E128" s="147"/>
    </row>
    <row r="129" spans="1:5" ht="13.5" hidden="1">
      <c r="A129" s="88" t="s">
        <v>37</v>
      </c>
      <c r="B129" s="20" t="s">
        <v>602</v>
      </c>
      <c r="C129" s="21" t="s">
        <v>38</v>
      </c>
      <c r="D129" s="148"/>
      <c r="E129" s="147"/>
    </row>
    <row r="130" spans="1:5" ht="26.25" hidden="1">
      <c r="A130" s="118" t="s">
        <v>390</v>
      </c>
      <c r="B130" s="20" t="s">
        <v>603</v>
      </c>
      <c r="C130" s="21"/>
      <c r="D130" s="148">
        <f>D131</f>
        <v>0</v>
      </c>
      <c r="E130" s="147"/>
    </row>
    <row r="131" spans="1:5" ht="13.5" hidden="1">
      <c r="A131" s="88" t="s">
        <v>37</v>
      </c>
      <c r="B131" s="20" t="s">
        <v>603</v>
      </c>
      <c r="C131" s="21" t="s">
        <v>38</v>
      </c>
      <c r="D131" s="148">
        <f>175343-175343</f>
        <v>0</v>
      </c>
      <c r="E131" s="147"/>
    </row>
    <row r="132" spans="1:5" ht="26.25" hidden="1">
      <c r="A132" s="118" t="s">
        <v>645</v>
      </c>
      <c r="B132" s="20" t="s">
        <v>605</v>
      </c>
      <c r="C132" s="21"/>
      <c r="D132" s="22">
        <f>D133</f>
        <v>0</v>
      </c>
      <c r="E132" s="147"/>
    </row>
    <row r="133" spans="1:5" ht="26.25" hidden="1">
      <c r="A133" s="29" t="s">
        <v>37</v>
      </c>
      <c r="B133" s="20" t="s">
        <v>605</v>
      </c>
      <c r="C133" s="21" t="s">
        <v>38</v>
      </c>
      <c r="D133" s="22"/>
      <c r="E133" s="147"/>
    </row>
    <row r="134" spans="1:5" ht="17.25" customHeight="1">
      <c r="A134" s="41" t="s">
        <v>199</v>
      </c>
      <c r="B134" s="20" t="s">
        <v>372</v>
      </c>
      <c r="C134" s="21"/>
      <c r="D134" s="148">
        <f>D135+D136+D138+D137</f>
        <v>44078918.65</v>
      </c>
      <c r="E134" s="147"/>
    </row>
    <row r="135" spans="1:5" ht="44.25" customHeight="1">
      <c r="A135" s="29" t="s">
        <v>25</v>
      </c>
      <c r="B135" s="20" t="s">
        <v>372</v>
      </c>
      <c r="C135" s="21" t="s">
        <v>26</v>
      </c>
      <c r="D135" s="22">
        <f>24158000+1600</f>
        <v>24159600</v>
      </c>
      <c r="E135" s="147"/>
    </row>
    <row r="136" spans="1:5" ht="27" customHeight="1">
      <c r="A136" s="29" t="s">
        <v>37</v>
      </c>
      <c r="B136" s="20" t="s">
        <v>372</v>
      </c>
      <c r="C136" s="21" t="s">
        <v>38</v>
      </c>
      <c r="D136" s="22">
        <f>16245083.65+209575+1466150+130000</f>
        <v>18050808.65</v>
      </c>
      <c r="E136" s="147"/>
    </row>
    <row r="137" spans="1:5" ht="23.25" customHeight="1" hidden="1">
      <c r="A137" s="66" t="s">
        <v>253</v>
      </c>
      <c r="B137" s="20" t="s">
        <v>372</v>
      </c>
      <c r="C137" s="21" t="s">
        <v>254</v>
      </c>
      <c r="D137" s="22"/>
      <c r="E137" s="147"/>
    </row>
    <row r="138" spans="1:5" ht="18" customHeight="1">
      <c r="A138" s="41" t="s">
        <v>79</v>
      </c>
      <c r="B138" s="20" t="s">
        <v>372</v>
      </c>
      <c r="C138" s="21" t="s">
        <v>80</v>
      </c>
      <c r="D138" s="22">
        <v>1868510</v>
      </c>
      <c r="E138" s="147"/>
    </row>
    <row r="139" spans="1:5" ht="35.25" customHeight="1">
      <c r="A139" s="41" t="s">
        <v>725</v>
      </c>
      <c r="B139" s="20" t="s">
        <v>716</v>
      </c>
      <c r="C139" s="21"/>
      <c r="D139" s="22">
        <f>D140</f>
        <v>1060078</v>
      </c>
      <c r="E139" s="147"/>
    </row>
    <row r="140" spans="1:5" ht="33.75" customHeight="1">
      <c r="A140" s="29" t="s">
        <v>37</v>
      </c>
      <c r="B140" s="20" t="s">
        <v>716</v>
      </c>
      <c r="C140" s="21" t="s">
        <v>38</v>
      </c>
      <c r="D140" s="22">
        <f>1060078</f>
        <v>1060078</v>
      </c>
      <c r="E140" s="147"/>
    </row>
    <row r="141" spans="1:5" ht="34.5" customHeight="1">
      <c r="A141" s="41" t="s">
        <v>384</v>
      </c>
      <c r="B141" s="94" t="s">
        <v>385</v>
      </c>
      <c r="C141" s="21"/>
      <c r="D141" s="148">
        <f>D146+D153+D155+D157+D159+D162+D168+D142+D144+D149+D151+D166</f>
        <v>276148473.77</v>
      </c>
      <c r="E141" s="147"/>
    </row>
    <row r="142" spans="1:5" ht="26.25" hidden="1">
      <c r="A142" s="41" t="s">
        <v>606</v>
      </c>
      <c r="B142" s="20" t="s">
        <v>607</v>
      </c>
      <c r="C142" s="21"/>
      <c r="D142" s="22">
        <f>D143</f>
        <v>0</v>
      </c>
      <c r="E142" s="147"/>
    </row>
    <row r="143" spans="1:5" ht="26.25" hidden="1">
      <c r="A143" s="29" t="s">
        <v>37</v>
      </c>
      <c r="B143" s="20" t="s">
        <v>607</v>
      </c>
      <c r="C143" s="21" t="s">
        <v>38</v>
      </c>
      <c r="D143" s="22"/>
      <c r="E143" s="147"/>
    </row>
    <row r="144" spans="1:5" ht="33.75" customHeight="1" hidden="1">
      <c r="A144" s="71" t="s">
        <v>382</v>
      </c>
      <c r="B144" s="20" t="s">
        <v>608</v>
      </c>
      <c r="C144" s="21"/>
      <c r="D144" s="22">
        <f>D145</f>
        <v>0</v>
      </c>
      <c r="E144" s="147"/>
    </row>
    <row r="145" spans="1:5" ht="26.25" hidden="1">
      <c r="A145" s="29" t="s">
        <v>37</v>
      </c>
      <c r="B145" s="20" t="s">
        <v>608</v>
      </c>
      <c r="C145" s="21" t="s">
        <v>38</v>
      </c>
      <c r="D145" s="22"/>
      <c r="E145" s="147"/>
    </row>
    <row r="146" spans="1:5" ht="66.75" customHeight="1">
      <c r="A146" s="118" t="s">
        <v>386</v>
      </c>
      <c r="B146" s="20" t="s">
        <v>387</v>
      </c>
      <c r="C146" s="21"/>
      <c r="D146" s="148">
        <f>D147+D148</f>
        <v>216866314</v>
      </c>
      <c r="E146" s="147"/>
    </row>
    <row r="147" spans="1:5" ht="45" customHeight="1">
      <c r="A147" s="29" t="s">
        <v>25</v>
      </c>
      <c r="B147" s="20" t="s">
        <v>387</v>
      </c>
      <c r="C147" s="21" t="s">
        <v>26</v>
      </c>
      <c r="D147" s="22">
        <f>208722402+9000</f>
        <v>208731402</v>
      </c>
      <c r="E147" s="147"/>
    </row>
    <row r="148" spans="1:5" ht="24.75" customHeight="1">
      <c r="A148" s="29" t="s">
        <v>37</v>
      </c>
      <c r="B148" s="20" t="s">
        <v>387</v>
      </c>
      <c r="C148" s="21" t="s">
        <v>38</v>
      </c>
      <c r="D148" s="22">
        <v>8134912</v>
      </c>
      <c r="E148" s="147"/>
    </row>
    <row r="149" spans="1:5" ht="13.5">
      <c r="A149" s="38" t="s">
        <v>388</v>
      </c>
      <c r="B149" s="20" t="s">
        <v>389</v>
      </c>
      <c r="C149" s="21"/>
      <c r="D149" s="22">
        <f>D150</f>
        <v>1513610</v>
      </c>
      <c r="E149" s="147"/>
    </row>
    <row r="150" spans="1:5" ht="26.25">
      <c r="A150" s="29" t="s">
        <v>37</v>
      </c>
      <c r="B150" s="20" t="s">
        <v>389</v>
      </c>
      <c r="C150" s="21" t="s">
        <v>38</v>
      </c>
      <c r="D150" s="22">
        <v>1513610</v>
      </c>
      <c r="E150" s="147"/>
    </row>
    <row r="151" spans="1:5" ht="26.25">
      <c r="A151" s="38" t="s">
        <v>390</v>
      </c>
      <c r="B151" s="20" t="s">
        <v>391</v>
      </c>
      <c r="C151" s="21"/>
      <c r="D151" s="22">
        <f>D152</f>
        <v>815021</v>
      </c>
      <c r="E151" s="147"/>
    </row>
    <row r="152" spans="1:5" ht="26.25">
      <c r="A152" s="29" t="s">
        <v>37</v>
      </c>
      <c r="B152" s="20" t="s">
        <v>391</v>
      </c>
      <c r="C152" s="21" t="s">
        <v>38</v>
      </c>
      <c r="D152" s="22">
        <f>5108548-4293527</f>
        <v>815021</v>
      </c>
      <c r="E152" s="147"/>
    </row>
    <row r="153" spans="1:4" ht="39">
      <c r="A153" s="71" t="s">
        <v>610</v>
      </c>
      <c r="B153" s="20" t="s">
        <v>392</v>
      </c>
      <c r="C153" s="21"/>
      <c r="D153" s="148">
        <f>D154</f>
        <v>1025590</v>
      </c>
    </row>
    <row r="154" spans="1:4" ht="26.25">
      <c r="A154" s="29" t="s">
        <v>37</v>
      </c>
      <c r="B154" s="20" t="s">
        <v>392</v>
      </c>
      <c r="C154" s="21" t="s">
        <v>38</v>
      </c>
      <c r="D154" s="22">
        <v>1025590</v>
      </c>
    </row>
    <row r="155" spans="1:5" ht="39">
      <c r="A155" s="71" t="s">
        <v>393</v>
      </c>
      <c r="B155" s="20" t="s">
        <v>394</v>
      </c>
      <c r="C155" s="21"/>
      <c r="D155" s="148">
        <f>D156</f>
        <v>1578555</v>
      </c>
      <c r="E155" s="147"/>
    </row>
    <row r="156" spans="1:5" ht="25.5" customHeight="1">
      <c r="A156" s="29" t="s">
        <v>37</v>
      </c>
      <c r="B156" s="20" t="s">
        <v>394</v>
      </c>
      <c r="C156" s="21" t="s">
        <v>38</v>
      </c>
      <c r="D156" s="22">
        <v>1578555</v>
      </c>
      <c r="E156" s="147"/>
    </row>
    <row r="157" spans="1:4" ht="52.5">
      <c r="A157" s="118" t="s">
        <v>395</v>
      </c>
      <c r="B157" s="20" t="s">
        <v>396</v>
      </c>
      <c r="C157" s="21"/>
      <c r="D157" s="148">
        <f>D158</f>
        <v>433348</v>
      </c>
    </row>
    <row r="158" spans="1:4" ht="26.25">
      <c r="A158" s="29" t="s">
        <v>37</v>
      </c>
      <c r="B158" s="20" t="s">
        <v>396</v>
      </c>
      <c r="C158" s="21" t="s">
        <v>38</v>
      </c>
      <c r="D158" s="22">
        <v>433348</v>
      </c>
    </row>
    <row r="159" spans="1:4" ht="39">
      <c r="A159" s="118" t="s">
        <v>646</v>
      </c>
      <c r="B159" s="20" t="s">
        <v>398</v>
      </c>
      <c r="C159" s="21"/>
      <c r="D159" s="148">
        <f>D160+D161</f>
        <v>4038392</v>
      </c>
    </row>
    <row r="160" spans="1:4" ht="26.25">
      <c r="A160" s="29" t="s">
        <v>37</v>
      </c>
      <c r="B160" s="20" t="s">
        <v>398</v>
      </c>
      <c r="C160" s="21" t="s">
        <v>38</v>
      </c>
      <c r="D160" s="22">
        <f>4038392-893343</f>
        <v>3145049</v>
      </c>
    </row>
    <row r="161" spans="1:4" ht="13.5">
      <c r="A161" s="92" t="s">
        <v>210</v>
      </c>
      <c r="B161" s="20" t="s">
        <v>398</v>
      </c>
      <c r="C161" s="21" t="s">
        <v>211</v>
      </c>
      <c r="D161" s="22">
        <f>893343</f>
        <v>893343</v>
      </c>
    </row>
    <row r="162" spans="1:4" ht="17.25" customHeight="1">
      <c r="A162" s="41" t="s">
        <v>199</v>
      </c>
      <c r="B162" s="20" t="s">
        <v>399</v>
      </c>
      <c r="C162" s="21"/>
      <c r="D162" s="148">
        <f>D163+D165+D164</f>
        <v>47839632.77</v>
      </c>
    </row>
    <row r="163" spans="1:4" ht="27.75" customHeight="1">
      <c r="A163" s="29" t="s">
        <v>37</v>
      </c>
      <c r="B163" s="20" t="s">
        <v>399</v>
      </c>
      <c r="C163" s="21" t="s">
        <v>38</v>
      </c>
      <c r="D163" s="22">
        <f>36331193.77+262425+3100737+145200+376527+1027065-130000</f>
        <v>41113147.77</v>
      </c>
    </row>
    <row r="164" spans="1:4" ht="26.25">
      <c r="A164" s="66" t="s">
        <v>253</v>
      </c>
      <c r="B164" s="20" t="s">
        <v>399</v>
      </c>
      <c r="C164" s="21" t="s">
        <v>254</v>
      </c>
      <c r="D164" s="22">
        <f>928610+3667375</f>
        <v>4595985</v>
      </c>
    </row>
    <row r="165" spans="1:5" ht="16.5" customHeight="1">
      <c r="A165" s="41" t="s">
        <v>79</v>
      </c>
      <c r="B165" s="20" t="s">
        <v>399</v>
      </c>
      <c r="C165" s="21" t="s">
        <v>80</v>
      </c>
      <c r="D165" s="22">
        <v>2130500</v>
      </c>
      <c r="E165" s="147"/>
    </row>
    <row r="166" spans="1:5" ht="30.75" customHeight="1">
      <c r="A166" s="41" t="s">
        <v>725</v>
      </c>
      <c r="B166" s="20" t="s">
        <v>717</v>
      </c>
      <c r="C166" s="21"/>
      <c r="D166" s="22">
        <f>D167</f>
        <v>1838011</v>
      </c>
      <c r="E166" s="147"/>
    </row>
    <row r="167" spans="1:5" ht="31.5" customHeight="1">
      <c r="A167" s="29" t="s">
        <v>37</v>
      </c>
      <c r="B167" s="20" t="s">
        <v>717</v>
      </c>
      <c r="C167" s="21" t="s">
        <v>38</v>
      </c>
      <c r="D167" s="22">
        <v>1838011</v>
      </c>
      <c r="E167" s="147"/>
    </row>
    <row r="168" spans="1:5" ht="13.5">
      <c r="A168" s="29" t="s">
        <v>400</v>
      </c>
      <c r="B168" s="20" t="s">
        <v>401</v>
      </c>
      <c r="C168" s="21"/>
      <c r="D168" s="22">
        <f>D169</f>
        <v>200000</v>
      </c>
      <c r="E168" s="147"/>
    </row>
    <row r="169" spans="1:5" ht="13.5">
      <c r="A169" s="92" t="s">
        <v>210</v>
      </c>
      <c r="B169" s="20" t="s">
        <v>401</v>
      </c>
      <c r="C169" s="21" t="s">
        <v>211</v>
      </c>
      <c r="D169" s="22">
        <v>200000</v>
      </c>
      <c r="E169" s="147"/>
    </row>
    <row r="170" spans="1:5" ht="33" customHeight="1">
      <c r="A170" s="41" t="s">
        <v>521</v>
      </c>
      <c r="B170" s="20" t="s">
        <v>522</v>
      </c>
      <c r="C170" s="21"/>
      <c r="D170" s="148">
        <f>D175+D171+D173</f>
        <v>21310670</v>
      </c>
      <c r="E170" s="147"/>
    </row>
    <row r="171" spans="1:5" ht="33" customHeight="1" hidden="1">
      <c r="A171" s="118" t="s">
        <v>611</v>
      </c>
      <c r="B171" s="20" t="s">
        <v>612</v>
      </c>
      <c r="C171" s="21"/>
      <c r="D171" s="148">
        <f>D172</f>
        <v>0</v>
      </c>
      <c r="E171" s="147"/>
    </row>
    <row r="172" spans="1:5" ht="45" customHeight="1" hidden="1">
      <c r="A172" s="29" t="s">
        <v>25</v>
      </c>
      <c r="B172" s="20" t="s">
        <v>612</v>
      </c>
      <c r="C172" s="21" t="s">
        <v>26</v>
      </c>
      <c r="D172" s="148"/>
      <c r="E172" s="147"/>
    </row>
    <row r="173" spans="1:4" ht="26.25" customHeight="1" hidden="1">
      <c r="A173" s="118" t="s">
        <v>613</v>
      </c>
      <c r="B173" s="20" t="s">
        <v>614</v>
      </c>
      <c r="C173" s="21"/>
      <c r="D173" s="148">
        <f>D174</f>
        <v>0</v>
      </c>
    </row>
    <row r="174" spans="1:4" ht="44.25" customHeight="1" hidden="1">
      <c r="A174" s="29" t="s">
        <v>25</v>
      </c>
      <c r="B174" s="20" t="s">
        <v>614</v>
      </c>
      <c r="C174" s="21" t="s">
        <v>26</v>
      </c>
      <c r="D174" s="148">
        <f>100000-100000</f>
        <v>0</v>
      </c>
    </row>
    <row r="175" spans="1:5" ht="58.5" customHeight="1">
      <c r="A175" s="118" t="s">
        <v>523</v>
      </c>
      <c r="B175" s="20" t="s">
        <v>524</v>
      </c>
      <c r="C175" s="21"/>
      <c r="D175" s="148">
        <f>D176+D177</f>
        <v>21310670</v>
      </c>
      <c r="E175" s="147"/>
    </row>
    <row r="176" spans="1:5" ht="33" customHeight="1" hidden="1">
      <c r="A176" s="29" t="s">
        <v>37</v>
      </c>
      <c r="B176" s="20" t="s">
        <v>524</v>
      </c>
      <c r="C176" s="21" t="s">
        <v>38</v>
      </c>
      <c r="D176" s="148"/>
      <c r="E176" s="147"/>
    </row>
    <row r="177" spans="1:5" ht="15.75" customHeight="1">
      <c r="A177" s="92" t="s">
        <v>210</v>
      </c>
      <c r="B177" s="20" t="s">
        <v>524</v>
      </c>
      <c r="C177" s="21" t="s">
        <v>211</v>
      </c>
      <c r="D177" s="22">
        <v>21310670</v>
      </c>
      <c r="E177" s="147"/>
    </row>
    <row r="178" spans="1:5" s="36" customFormat="1" ht="48" customHeight="1">
      <c r="A178" s="29" t="s">
        <v>414</v>
      </c>
      <c r="B178" s="20" t="s">
        <v>415</v>
      </c>
      <c r="C178" s="21"/>
      <c r="D178" s="148">
        <f>D182+D190+D179</f>
        <v>28538233</v>
      </c>
      <c r="E178" s="149"/>
    </row>
    <row r="179" spans="1:5" s="36" customFormat="1" ht="15" customHeight="1">
      <c r="A179" s="83" t="s">
        <v>380</v>
      </c>
      <c r="B179" s="20" t="s">
        <v>578</v>
      </c>
      <c r="C179" s="21"/>
      <c r="D179" s="148">
        <f>D180</f>
        <v>4093334</v>
      </c>
      <c r="E179" s="149"/>
    </row>
    <row r="180" spans="1:5" s="36" customFormat="1" ht="30" customHeight="1">
      <c r="A180" s="83" t="s">
        <v>576</v>
      </c>
      <c r="B180" s="20" t="s">
        <v>579</v>
      </c>
      <c r="C180" s="21"/>
      <c r="D180" s="148">
        <f>D181</f>
        <v>4093334</v>
      </c>
      <c r="E180" s="149"/>
    </row>
    <row r="181" spans="1:5" s="36" customFormat="1" ht="30" customHeight="1">
      <c r="A181" s="29" t="s">
        <v>37</v>
      </c>
      <c r="B181" s="20" t="s">
        <v>579</v>
      </c>
      <c r="C181" s="21" t="s">
        <v>38</v>
      </c>
      <c r="D181" s="148">
        <f>4093333.4+0.6</f>
        <v>4093334</v>
      </c>
      <c r="E181" s="149"/>
    </row>
    <row r="182" spans="1:5" ht="36.75" customHeight="1">
      <c r="A182" s="41" t="s">
        <v>416</v>
      </c>
      <c r="B182" s="20" t="s">
        <v>417</v>
      </c>
      <c r="C182" s="21"/>
      <c r="D182" s="148">
        <f>D183+D188</f>
        <v>24019899</v>
      </c>
      <c r="E182" s="147"/>
    </row>
    <row r="183" spans="1:5" ht="24" customHeight="1">
      <c r="A183" s="41" t="s">
        <v>199</v>
      </c>
      <c r="B183" s="20" t="s">
        <v>418</v>
      </c>
      <c r="C183" s="21"/>
      <c r="D183" s="148">
        <f>D184+D185+D187+D186</f>
        <v>23953179</v>
      </c>
      <c r="E183" s="147"/>
    </row>
    <row r="184" spans="1:5" ht="47.25" customHeight="1">
      <c r="A184" s="29" t="s">
        <v>25</v>
      </c>
      <c r="B184" s="20" t="s">
        <v>418</v>
      </c>
      <c r="C184" s="21" t="s">
        <v>26</v>
      </c>
      <c r="D184" s="22">
        <v>16358400</v>
      </c>
      <c r="E184" s="147"/>
    </row>
    <row r="185" spans="1:5" ht="32.25" customHeight="1">
      <c r="A185" s="29" t="s">
        <v>37</v>
      </c>
      <c r="B185" s="20" t="s">
        <v>418</v>
      </c>
      <c r="C185" s="21" t="s">
        <v>38</v>
      </c>
      <c r="D185" s="22">
        <f>1464634+33275+4639375+15000+4291197-3009814</f>
        <v>7433667</v>
      </c>
      <c r="E185" s="147"/>
    </row>
    <row r="186" spans="1:5" ht="26.25">
      <c r="A186" s="66" t="s">
        <v>253</v>
      </c>
      <c r="B186" s="20" t="s">
        <v>418</v>
      </c>
      <c r="C186" s="21" t="s">
        <v>254</v>
      </c>
      <c r="D186" s="22">
        <v>92032</v>
      </c>
      <c r="E186" s="147"/>
    </row>
    <row r="187" spans="1:5" ht="20.25" customHeight="1">
      <c r="A187" s="41" t="s">
        <v>79</v>
      </c>
      <c r="B187" s="20" t="s">
        <v>418</v>
      </c>
      <c r="C187" s="21" t="s">
        <v>80</v>
      </c>
      <c r="D187" s="22">
        <v>69080</v>
      </c>
      <c r="E187" s="147"/>
    </row>
    <row r="188" spans="1:5" ht="30.75" customHeight="1">
      <c r="A188" s="41" t="s">
        <v>725</v>
      </c>
      <c r="B188" s="20" t="s">
        <v>723</v>
      </c>
      <c r="C188" s="21"/>
      <c r="D188" s="22">
        <f>D189</f>
        <v>66720</v>
      </c>
      <c r="E188" s="147"/>
    </row>
    <row r="189" spans="1:5" ht="30.75" customHeight="1">
      <c r="A189" s="29" t="s">
        <v>37</v>
      </c>
      <c r="B189" s="20" t="s">
        <v>723</v>
      </c>
      <c r="C189" s="21" t="s">
        <v>38</v>
      </c>
      <c r="D189" s="22">
        <f>66720</f>
        <v>66720</v>
      </c>
      <c r="E189" s="147"/>
    </row>
    <row r="190" spans="1:5" ht="29.25" customHeight="1">
      <c r="A190" s="93" t="s">
        <v>525</v>
      </c>
      <c r="B190" s="20" t="s">
        <v>674</v>
      </c>
      <c r="C190" s="21"/>
      <c r="D190" s="148">
        <f>D191</f>
        <v>425000</v>
      </c>
      <c r="E190" s="147"/>
    </row>
    <row r="191" spans="1:5" ht="57" customHeight="1">
      <c r="A191" s="77" t="s">
        <v>526</v>
      </c>
      <c r="B191" s="20" t="s">
        <v>675</v>
      </c>
      <c r="C191" s="21"/>
      <c r="D191" s="148">
        <f>D192+D193</f>
        <v>425000</v>
      </c>
      <c r="E191" s="147"/>
    </row>
    <row r="192" spans="1:5" ht="26.25" hidden="1">
      <c r="A192" s="29" t="s">
        <v>37</v>
      </c>
      <c r="B192" s="20" t="s">
        <v>527</v>
      </c>
      <c r="C192" s="21" t="s">
        <v>38</v>
      </c>
      <c r="D192" s="148"/>
      <c r="E192" s="147"/>
    </row>
    <row r="193" spans="1:5" ht="19.5" customHeight="1">
      <c r="A193" s="92" t="s">
        <v>210</v>
      </c>
      <c r="B193" s="20" t="s">
        <v>675</v>
      </c>
      <c r="C193" s="21" t="s">
        <v>211</v>
      </c>
      <c r="D193" s="22">
        <v>425000</v>
      </c>
      <c r="E193" s="147"/>
    </row>
    <row r="194" spans="1:5" s="36" customFormat="1" ht="43.5" customHeight="1">
      <c r="A194" s="82" t="s">
        <v>446</v>
      </c>
      <c r="B194" s="20" t="s">
        <v>447</v>
      </c>
      <c r="C194" s="21"/>
      <c r="D194" s="148">
        <f>D195+D200</f>
        <v>9665107</v>
      </c>
      <c r="E194" s="149"/>
    </row>
    <row r="195" spans="1:5" ht="32.25" customHeight="1">
      <c r="A195" s="41" t="s">
        <v>448</v>
      </c>
      <c r="B195" s="20" t="s">
        <v>449</v>
      </c>
      <c r="C195" s="21"/>
      <c r="D195" s="148">
        <f>D196</f>
        <v>9437523</v>
      </c>
      <c r="E195" s="147"/>
    </row>
    <row r="196" spans="1:5" ht="18.75" customHeight="1">
      <c r="A196" s="41" t="s">
        <v>199</v>
      </c>
      <c r="B196" s="20" t="s">
        <v>450</v>
      </c>
      <c r="C196" s="21"/>
      <c r="D196" s="148">
        <f>D197+D198+D199</f>
        <v>9437523</v>
      </c>
      <c r="E196" s="147"/>
    </row>
    <row r="197" spans="1:5" ht="42" customHeight="1">
      <c r="A197" s="29" t="s">
        <v>25</v>
      </c>
      <c r="B197" s="20" t="s">
        <v>450</v>
      </c>
      <c r="C197" s="21" t="s">
        <v>26</v>
      </c>
      <c r="D197" s="22">
        <v>8000000</v>
      </c>
      <c r="E197" s="147"/>
    </row>
    <row r="198" spans="1:5" ht="27.75" customHeight="1">
      <c r="A198" s="29" t="s">
        <v>37</v>
      </c>
      <c r="B198" s="20" t="s">
        <v>450</v>
      </c>
      <c r="C198" s="21" t="s">
        <v>38</v>
      </c>
      <c r="D198" s="22">
        <f>1281848+27875+100000</f>
        <v>1409723</v>
      </c>
      <c r="E198" s="147"/>
    </row>
    <row r="199" spans="1:5" ht="16.5" customHeight="1">
      <c r="A199" s="41" t="s">
        <v>79</v>
      </c>
      <c r="B199" s="20" t="s">
        <v>450</v>
      </c>
      <c r="C199" s="21" t="s">
        <v>80</v>
      </c>
      <c r="D199" s="22">
        <v>27800</v>
      </c>
      <c r="E199" s="147"/>
    </row>
    <row r="200" spans="1:5" ht="27.75" customHeight="1">
      <c r="A200" s="41" t="s">
        <v>451</v>
      </c>
      <c r="B200" s="20" t="s">
        <v>452</v>
      </c>
      <c r="C200" s="21"/>
      <c r="D200" s="148">
        <f>D201+D203</f>
        <v>227584</v>
      </c>
      <c r="E200" s="147"/>
    </row>
    <row r="201" spans="1:5" ht="28.5" customHeight="1">
      <c r="A201" s="85" t="s">
        <v>453</v>
      </c>
      <c r="B201" s="20" t="s">
        <v>454</v>
      </c>
      <c r="C201" s="21"/>
      <c r="D201" s="148">
        <f>D202</f>
        <v>227584</v>
      </c>
      <c r="E201" s="147"/>
    </row>
    <row r="202" spans="1:5" ht="39" customHeight="1">
      <c r="A202" s="29" t="s">
        <v>25</v>
      </c>
      <c r="B202" s="20" t="s">
        <v>454</v>
      </c>
      <c r="C202" s="21" t="s">
        <v>26</v>
      </c>
      <c r="D202" s="22">
        <v>227584</v>
      </c>
      <c r="E202" s="147"/>
    </row>
    <row r="203" spans="1:5" ht="16.5" customHeight="1" hidden="1">
      <c r="A203" s="29" t="s">
        <v>400</v>
      </c>
      <c r="B203" s="20" t="s">
        <v>455</v>
      </c>
      <c r="C203" s="21"/>
      <c r="D203" s="148">
        <f>D204</f>
        <v>0</v>
      </c>
      <c r="E203" s="147"/>
    </row>
    <row r="204" spans="1:5" ht="27" customHeight="1" hidden="1">
      <c r="A204" s="29" t="s">
        <v>37</v>
      </c>
      <c r="B204" s="20" t="s">
        <v>455</v>
      </c>
      <c r="C204" s="21" t="s">
        <v>38</v>
      </c>
      <c r="D204" s="148"/>
      <c r="E204" s="147"/>
    </row>
    <row r="205" spans="1:5" ht="43.5" customHeight="1">
      <c r="A205" s="82" t="s">
        <v>276</v>
      </c>
      <c r="B205" s="20" t="s">
        <v>277</v>
      </c>
      <c r="C205" s="21"/>
      <c r="D205" s="148">
        <f>D206</f>
        <v>615000</v>
      </c>
      <c r="E205" s="147"/>
    </row>
    <row r="206" spans="1:5" s="36" customFormat="1" ht="54" customHeight="1">
      <c r="A206" s="124" t="s">
        <v>278</v>
      </c>
      <c r="B206" s="20" t="s">
        <v>279</v>
      </c>
      <c r="C206" s="21"/>
      <c r="D206" s="148">
        <f>D207</f>
        <v>615000</v>
      </c>
      <c r="E206" s="149"/>
    </row>
    <row r="207" spans="1:5" s="36" customFormat="1" ht="44.25" customHeight="1">
      <c r="A207" s="41" t="s">
        <v>676</v>
      </c>
      <c r="B207" s="20" t="s">
        <v>280</v>
      </c>
      <c r="C207" s="21"/>
      <c r="D207" s="22">
        <f>D208+D210</f>
        <v>615000</v>
      </c>
      <c r="E207" s="149"/>
    </row>
    <row r="208" spans="1:5" ht="18" customHeight="1" hidden="1">
      <c r="A208" s="27" t="s">
        <v>281</v>
      </c>
      <c r="B208" s="20" t="s">
        <v>282</v>
      </c>
      <c r="C208" s="21"/>
      <c r="D208" s="22">
        <f>D209</f>
        <v>0</v>
      </c>
      <c r="E208" s="147"/>
    </row>
    <row r="209" spans="1:5" ht="27" customHeight="1" hidden="1">
      <c r="A209" s="29" t="s">
        <v>37</v>
      </c>
      <c r="B209" s="20" t="s">
        <v>282</v>
      </c>
      <c r="C209" s="21" t="s">
        <v>38</v>
      </c>
      <c r="D209" s="22"/>
      <c r="E209" s="147"/>
    </row>
    <row r="210" spans="1:5" ht="18.75" customHeight="1">
      <c r="A210" s="27" t="s">
        <v>283</v>
      </c>
      <c r="B210" s="20" t="s">
        <v>284</v>
      </c>
      <c r="C210" s="21"/>
      <c r="D210" s="22">
        <f>D211</f>
        <v>615000</v>
      </c>
      <c r="E210" s="147"/>
    </row>
    <row r="211" spans="1:5" ht="27.75" customHeight="1">
      <c r="A211" s="29" t="s">
        <v>37</v>
      </c>
      <c r="B211" s="20" t="s">
        <v>284</v>
      </c>
      <c r="C211" s="21" t="s">
        <v>38</v>
      </c>
      <c r="D211" s="22">
        <f>700000-85000</f>
        <v>615000</v>
      </c>
      <c r="E211" s="147"/>
    </row>
    <row r="212" spans="1:5" ht="39" hidden="1">
      <c r="A212" s="125" t="s">
        <v>285</v>
      </c>
      <c r="B212" s="45" t="s">
        <v>286</v>
      </c>
      <c r="C212" s="21"/>
      <c r="D212" s="148">
        <f>D213</f>
        <v>0</v>
      </c>
      <c r="E212" s="147"/>
    </row>
    <row r="213" spans="1:5" s="36" customFormat="1" ht="66" hidden="1">
      <c r="A213" s="65" t="s">
        <v>593</v>
      </c>
      <c r="B213" s="45" t="s">
        <v>288</v>
      </c>
      <c r="C213" s="21"/>
      <c r="D213" s="148">
        <f>D215</f>
        <v>0</v>
      </c>
      <c r="E213" s="149"/>
    </row>
    <row r="214" spans="1:5" s="36" customFormat="1" ht="26.25" hidden="1">
      <c r="A214" s="41" t="s">
        <v>289</v>
      </c>
      <c r="B214" s="45" t="s">
        <v>290</v>
      </c>
      <c r="C214" s="21"/>
      <c r="D214" s="148">
        <f>D215</f>
        <v>0</v>
      </c>
      <c r="E214" s="149"/>
    </row>
    <row r="215" spans="1:5" ht="13.5" hidden="1">
      <c r="A215" s="19" t="s">
        <v>291</v>
      </c>
      <c r="B215" s="45" t="s">
        <v>292</v>
      </c>
      <c r="C215" s="21"/>
      <c r="D215" s="148">
        <f>D216</f>
        <v>0</v>
      </c>
      <c r="E215" s="147"/>
    </row>
    <row r="216" spans="1:5" ht="26.25" hidden="1">
      <c r="A216" s="29" t="s">
        <v>37</v>
      </c>
      <c r="B216" s="45" t="s">
        <v>292</v>
      </c>
      <c r="C216" s="21" t="s">
        <v>38</v>
      </c>
      <c r="D216" s="148"/>
      <c r="E216" s="147"/>
    </row>
    <row r="217" spans="1:5" ht="39">
      <c r="A217" s="19" t="s">
        <v>328</v>
      </c>
      <c r="B217" s="45" t="s">
        <v>329</v>
      </c>
      <c r="C217" s="31"/>
      <c r="D217" s="148">
        <f>D218</f>
        <v>40081116</v>
      </c>
      <c r="E217" s="147"/>
    </row>
    <row r="218" spans="1:5" s="36" customFormat="1" ht="51" customHeight="1">
      <c r="A218" s="19" t="s">
        <v>330</v>
      </c>
      <c r="B218" s="48" t="s">
        <v>331</v>
      </c>
      <c r="C218" s="31"/>
      <c r="D218" s="148">
        <f>D219+D229</f>
        <v>40081116</v>
      </c>
      <c r="E218" s="149"/>
    </row>
    <row r="219" spans="1:5" ht="26.25">
      <c r="A219" s="41" t="s">
        <v>332</v>
      </c>
      <c r="B219" s="48" t="s">
        <v>595</v>
      </c>
      <c r="C219" s="31"/>
      <c r="D219" s="148">
        <f>D220+D223+D226</f>
        <v>13081116</v>
      </c>
      <c r="E219" s="147"/>
    </row>
    <row r="220" spans="1:5" ht="39">
      <c r="A220" s="49" t="s">
        <v>333</v>
      </c>
      <c r="B220" s="48" t="s">
        <v>334</v>
      </c>
      <c r="C220" s="31"/>
      <c r="D220" s="148">
        <f>D221+D222</f>
        <v>10144848</v>
      </c>
      <c r="E220" s="147"/>
    </row>
    <row r="221" spans="1:5" ht="26.25">
      <c r="A221" s="77" t="s">
        <v>253</v>
      </c>
      <c r="B221" s="48" t="s">
        <v>334</v>
      </c>
      <c r="C221" s="31" t="s">
        <v>254</v>
      </c>
      <c r="D221" s="148">
        <f>10144848-10144848</f>
        <v>0</v>
      </c>
      <c r="E221" s="147"/>
    </row>
    <row r="222" spans="1:5" ht="13.5">
      <c r="A222" s="77" t="s">
        <v>712</v>
      </c>
      <c r="B222" s="48" t="s">
        <v>334</v>
      </c>
      <c r="C222" s="31" t="s">
        <v>198</v>
      </c>
      <c r="D222" s="148">
        <f>10144848</f>
        <v>10144848</v>
      </c>
      <c r="E222" s="147"/>
    </row>
    <row r="223" spans="1:5" ht="39">
      <c r="A223" s="49" t="s">
        <v>335</v>
      </c>
      <c r="B223" s="48" t="s">
        <v>336</v>
      </c>
      <c r="C223" s="31"/>
      <c r="D223" s="148">
        <f>D224+D225</f>
        <v>1225122</v>
      </c>
      <c r="E223" s="147"/>
    </row>
    <row r="224" spans="1:5" ht="26.25">
      <c r="A224" s="77" t="s">
        <v>253</v>
      </c>
      <c r="B224" s="48" t="s">
        <v>336</v>
      </c>
      <c r="C224" s="31" t="s">
        <v>254</v>
      </c>
      <c r="D224" s="22">
        <f>1225122-1225122</f>
        <v>0</v>
      </c>
      <c r="E224" s="147"/>
    </row>
    <row r="225" spans="1:5" ht="13.5">
      <c r="A225" s="77" t="s">
        <v>712</v>
      </c>
      <c r="B225" s="48" t="s">
        <v>336</v>
      </c>
      <c r="C225" s="31" t="s">
        <v>198</v>
      </c>
      <c r="D225" s="22">
        <f>1225122</f>
        <v>1225122</v>
      </c>
      <c r="E225" s="147"/>
    </row>
    <row r="226" spans="1:5" ht="26.25">
      <c r="A226" s="49" t="s">
        <v>337</v>
      </c>
      <c r="B226" s="48" t="s">
        <v>338</v>
      </c>
      <c r="C226" s="31"/>
      <c r="D226" s="22">
        <f>D227+D228</f>
        <v>1711146</v>
      </c>
      <c r="E226" s="147"/>
    </row>
    <row r="227" spans="1:5" ht="26.25">
      <c r="A227" s="77" t="s">
        <v>253</v>
      </c>
      <c r="B227" s="48" t="s">
        <v>338</v>
      </c>
      <c r="C227" s="31" t="s">
        <v>254</v>
      </c>
      <c r="D227" s="22">
        <f>811146-811146</f>
        <v>0</v>
      </c>
      <c r="E227" s="147"/>
    </row>
    <row r="228" spans="1:5" ht="13.5">
      <c r="A228" s="77" t="s">
        <v>712</v>
      </c>
      <c r="B228" s="48" t="s">
        <v>338</v>
      </c>
      <c r="C228" s="31" t="s">
        <v>198</v>
      </c>
      <c r="D228" s="22">
        <f>811146+900000</f>
        <v>1711146</v>
      </c>
      <c r="E228" s="147"/>
    </row>
    <row r="229" spans="1:5" ht="13.5">
      <c r="A229" s="41" t="s">
        <v>671</v>
      </c>
      <c r="B229" s="48" t="s">
        <v>672</v>
      </c>
      <c r="C229" s="31"/>
      <c r="D229" s="148">
        <f>D230</f>
        <v>27000000</v>
      </c>
      <c r="E229" s="147"/>
    </row>
    <row r="230" spans="1:5" ht="13.5">
      <c r="A230" s="26" t="s">
        <v>360</v>
      </c>
      <c r="B230" s="48" t="s">
        <v>673</v>
      </c>
      <c r="C230" s="31"/>
      <c r="D230" s="22">
        <f>D231</f>
        <v>27000000</v>
      </c>
      <c r="E230" s="147"/>
    </row>
    <row r="231" spans="1:5" ht="26.25">
      <c r="A231" s="29" t="s">
        <v>37</v>
      </c>
      <c r="B231" s="48" t="s">
        <v>673</v>
      </c>
      <c r="C231" s="31" t="s">
        <v>38</v>
      </c>
      <c r="D231" s="22">
        <f>29000000-2000000</f>
        <v>27000000</v>
      </c>
      <c r="E231" s="147"/>
    </row>
    <row r="232" spans="1:5" ht="42" customHeight="1">
      <c r="A232" s="126" t="s">
        <v>339</v>
      </c>
      <c r="B232" s="59" t="s">
        <v>294</v>
      </c>
      <c r="C232" s="21"/>
      <c r="D232" s="148">
        <f>D244+D233</f>
        <v>5789251</v>
      </c>
      <c r="E232" s="147"/>
    </row>
    <row r="233" spans="1:5" s="36" customFormat="1" ht="66" hidden="1">
      <c r="A233" s="150" t="s">
        <v>647</v>
      </c>
      <c r="B233" s="48" t="s">
        <v>648</v>
      </c>
      <c r="C233" s="31"/>
      <c r="D233" s="148">
        <f>D234+D237</f>
        <v>0</v>
      </c>
      <c r="E233" s="149"/>
    </row>
    <row r="234" spans="1:5" ht="26.25" hidden="1">
      <c r="A234" s="41" t="s">
        <v>649</v>
      </c>
      <c r="B234" s="45" t="s">
        <v>650</v>
      </c>
      <c r="C234" s="31"/>
      <c r="D234" s="148">
        <f>D236</f>
        <v>0</v>
      </c>
      <c r="E234" s="147"/>
    </row>
    <row r="235" spans="1:5" ht="13.5" hidden="1">
      <c r="A235" s="77" t="s">
        <v>651</v>
      </c>
      <c r="B235" s="48" t="s">
        <v>652</v>
      </c>
      <c r="C235" s="31"/>
      <c r="D235" s="148">
        <f>D236</f>
        <v>0</v>
      </c>
      <c r="E235" s="147"/>
    </row>
    <row r="236" spans="1:5" ht="13.5" hidden="1">
      <c r="A236" s="77" t="s">
        <v>197</v>
      </c>
      <c r="B236" s="48" t="s">
        <v>652</v>
      </c>
      <c r="C236" s="31" t="s">
        <v>198</v>
      </c>
      <c r="D236" s="148"/>
      <c r="E236" s="147"/>
    </row>
    <row r="237" spans="1:5" ht="26.25" hidden="1">
      <c r="A237" s="26" t="s">
        <v>653</v>
      </c>
      <c r="B237" s="45" t="s">
        <v>654</v>
      </c>
      <c r="C237" s="31"/>
      <c r="D237" s="148">
        <f>D238</f>
        <v>0</v>
      </c>
      <c r="E237" s="147"/>
    </row>
    <row r="238" spans="1:5" ht="13.5" hidden="1">
      <c r="A238" s="27" t="s">
        <v>655</v>
      </c>
      <c r="B238" s="48" t="s">
        <v>656</v>
      </c>
      <c r="C238" s="31"/>
      <c r="D238" s="148">
        <f>D239</f>
        <v>0</v>
      </c>
      <c r="E238" s="147"/>
    </row>
    <row r="239" spans="1:5" ht="13.5" hidden="1">
      <c r="A239" s="77" t="s">
        <v>197</v>
      </c>
      <c r="B239" s="48" t="s">
        <v>656</v>
      </c>
      <c r="C239" s="31" t="s">
        <v>198</v>
      </c>
      <c r="D239" s="148"/>
      <c r="E239" s="147"/>
    </row>
    <row r="240" spans="1:5" ht="13.5" hidden="1">
      <c r="A240" s="77" t="s">
        <v>651</v>
      </c>
      <c r="B240" s="48" t="s">
        <v>657</v>
      </c>
      <c r="C240" s="31"/>
      <c r="D240" s="148">
        <f>D241</f>
        <v>0</v>
      </c>
      <c r="E240" s="147"/>
    </row>
    <row r="241" spans="1:5" ht="13.5" hidden="1">
      <c r="A241" s="77" t="s">
        <v>197</v>
      </c>
      <c r="B241" s="48" t="s">
        <v>657</v>
      </c>
      <c r="C241" s="31" t="s">
        <v>198</v>
      </c>
      <c r="D241" s="148"/>
      <c r="E241" s="147"/>
    </row>
    <row r="242" spans="1:5" ht="13.5" hidden="1">
      <c r="A242" s="77" t="s">
        <v>658</v>
      </c>
      <c r="B242" s="48" t="s">
        <v>659</v>
      </c>
      <c r="C242" s="31"/>
      <c r="D242" s="148">
        <f>D243</f>
        <v>0</v>
      </c>
      <c r="E242" s="147"/>
    </row>
    <row r="243" spans="1:5" ht="13.5" hidden="1">
      <c r="A243" s="77" t="s">
        <v>197</v>
      </c>
      <c r="B243" s="48" t="s">
        <v>659</v>
      </c>
      <c r="C243" s="31" t="s">
        <v>198</v>
      </c>
      <c r="D243" s="148"/>
      <c r="E243" s="147"/>
    </row>
    <row r="244" spans="1:5" s="36" customFormat="1" ht="52.5">
      <c r="A244" s="65" t="s">
        <v>660</v>
      </c>
      <c r="B244" s="59" t="s">
        <v>296</v>
      </c>
      <c r="C244" s="21"/>
      <c r="D244" s="148">
        <f>D245+D252+D261+D255</f>
        <v>5789251</v>
      </c>
      <c r="E244" s="149"/>
    </row>
    <row r="245" spans="1:5" s="36" customFormat="1" ht="32.25" customHeight="1">
      <c r="A245" s="41" t="s">
        <v>373</v>
      </c>
      <c r="B245" s="45" t="s">
        <v>374</v>
      </c>
      <c r="C245" s="31"/>
      <c r="D245" s="148">
        <f>D246+D248+D251</f>
        <v>1106068</v>
      </c>
      <c r="E245" s="149"/>
    </row>
    <row r="246" spans="1:5" s="36" customFormat="1" ht="24" hidden="1">
      <c r="A246" s="80" t="s">
        <v>375</v>
      </c>
      <c r="B246" s="45" t="s">
        <v>376</v>
      </c>
      <c r="C246" s="31"/>
      <c r="D246" s="148">
        <f>D247</f>
        <v>0</v>
      </c>
      <c r="E246" s="149"/>
    </row>
    <row r="247" spans="1:5" s="36" customFormat="1" ht="26.25" hidden="1">
      <c r="A247" s="66" t="s">
        <v>253</v>
      </c>
      <c r="B247" s="45" t="s">
        <v>376</v>
      </c>
      <c r="C247" s="31" t="s">
        <v>254</v>
      </c>
      <c r="D247" s="148"/>
      <c r="E247" s="149"/>
    </row>
    <row r="248" spans="1:5" s="36" customFormat="1" ht="24">
      <c r="A248" s="80" t="s">
        <v>377</v>
      </c>
      <c r="B248" s="45" t="s">
        <v>378</v>
      </c>
      <c r="C248" s="31"/>
      <c r="D248" s="148">
        <f>D249</f>
        <v>832708</v>
      </c>
      <c r="E248" s="149"/>
    </row>
    <row r="249" spans="1:5" s="36" customFormat="1" ht="26.25">
      <c r="A249" s="29" t="s">
        <v>253</v>
      </c>
      <c r="B249" s="45" t="s">
        <v>378</v>
      </c>
      <c r="C249" s="31" t="s">
        <v>254</v>
      </c>
      <c r="D249" s="148">
        <f>600000+232708</f>
        <v>832708</v>
      </c>
      <c r="E249" s="149"/>
    </row>
    <row r="250" spans="1:5" s="36" customFormat="1" ht="39">
      <c r="A250" s="29" t="s">
        <v>702</v>
      </c>
      <c r="B250" s="45" t="s">
        <v>701</v>
      </c>
      <c r="C250" s="31"/>
      <c r="D250" s="148">
        <v>273360</v>
      </c>
      <c r="E250" s="149"/>
    </row>
    <row r="251" spans="1:5" s="36" customFormat="1" ht="26.25">
      <c r="A251" s="29" t="s">
        <v>253</v>
      </c>
      <c r="B251" s="45" t="s">
        <v>701</v>
      </c>
      <c r="C251" s="31" t="s">
        <v>254</v>
      </c>
      <c r="D251" s="148">
        <v>273360</v>
      </c>
      <c r="E251" s="149"/>
    </row>
    <row r="252" spans="1:5" s="36" customFormat="1" ht="30.75" customHeight="1">
      <c r="A252" s="41" t="s">
        <v>342</v>
      </c>
      <c r="B252" s="45" t="s">
        <v>343</v>
      </c>
      <c r="C252" s="31"/>
      <c r="D252" s="148">
        <f>D253</f>
        <v>1300000</v>
      </c>
      <c r="E252" s="149"/>
    </row>
    <row r="253" spans="1:5" s="36" customFormat="1" ht="39">
      <c r="A253" s="27" t="s">
        <v>344</v>
      </c>
      <c r="B253" s="45" t="s">
        <v>345</v>
      </c>
      <c r="C253" s="31"/>
      <c r="D253" s="148">
        <f>D254</f>
        <v>1300000</v>
      </c>
      <c r="E253" s="149"/>
    </row>
    <row r="254" spans="1:5" s="36" customFormat="1" ht="14.25" customHeight="1">
      <c r="A254" s="77" t="s">
        <v>197</v>
      </c>
      <c r="B254" s="45" t="s">
        <v>345</v>
      </c>
      <c r="C254" s="31" t="s">
        <v>198</v>
      </c>
      <c r="D254" s="148">
        <f>500000+500000+300000</f>
        <v>1300000</v>
      </c>
      <c r="E254" s="149"/>
    </row>
    <row r="255" spans="1:5" s="36" customFormat="1" ht="52.5" hidden="1">
      <c r="A255" s="29" t="s">
        <v>321</v>
      </c>
      <c r="B255" s="20" t="s">
        <v>322</v>
      </c>
      <c r="C255" s="31"/>
      <c r="D255" s="22">
        <f>D256+D258</f>
        <v>0</v>
      </c>
      <c r="E255" s="149"/>
    </row>
    <row r="256" spans="1:5" s="36" customFormat="1" ht="26.25" hidden="1">
      <c r="A256" s="29" t="s">
        <v>323</v>
      </c>
      <c r="B256" s="20" t="s">
        <v>324</v>
      </c>
      <c r="C256" s="31"/>
      <c r="D256" s="22">
        <f>D257</f>
        <v>0</v>
      </c>
      <c r="E256" s="149"/>
    </row>
    <row r="257" spans="1:5" s="36" customFormat="1" ht="13.5" hidden="1">
      <c r="A257" s="77" t="s">
        <v>197</v>
      </c>
      <c r="B257" s="20" t="s">
        <v>324</v>
      </c>
      <c r="C257" s="31" t="s">
        <v>198</v>
      </c>
      <c r="D257" s="22"/>
      <c r="E257" s="149"/>
    </row>
    <row r="258" spans="1:5" s="36" customFormat="1" ht="26.25" hidden="1">
      <c r="A258" s="77" t="s">
        <v>325</v>
      </c>
      <c r="B258" s="20" t="s">
        <v>326</v>
      </c>
      <c r="C258" s="31"/>
      <c r="D258" s="22">
        <f>D260+D259</f>
        <v>0</v>
      </c>
      <c r="E258" s="149"/>
    </row>
    <row r="259" spans="1:5" s="36" customFormat="1" ht="26.25" hidden="1">
      <c r="A259" s="29" t="s">
        <v>37</v>
      </c>
      <c r="B259" s="20" t="s">
        <v>326</v>
      </c>
      <c r="C259" s="31" t="s">
        <v>38</v>
      </c>
      <c r="D259" s="22"/>
      <c r="E259" s="149"/>
    </row>
    <row r="260" spans="1:5" s="36" customFormat="1" ht="26.25" hidden="1">
      <c r="A260" s="77" t="s">
        <v>253</v>
      </c>
      <c r="B260" s="20" t="s">
        <v>326</v>
      </c>
      <c r="C260" s="31" t="s">
        <v>254</v>
      </c>
      <c r="D260" s="22"/>
      <c r="E260" s="149"/>
    </row>
    <row r="261" spans="1:5" s="36" customFormat="1" ht="29.25" customHeight="1">
      <c r="A261" s="41" t="s">
        <v>297</v>
      </c>
      <c r="B261" s="45" t="s">
        <v>298</v>
      </c>
      <c r="C261" s="31"/>
      <c r="D261" s="148">
        <f>D270+D262+D267+D265</f>
        <v>3383183</v>
      </c>
      <c r="E261" s="149"/>
    </row>
    <row r="262" spans="1:5" s="36" customFormat="1" ht="36.75" customHeight="1">
      <c r="A262" s="41" t="s">
        <v>682</v>
      </c>
      <c r="B262" s="45" t="s">
        <v>299</v>
      </c>
      <c r="C262" s="31"/>
      <c r="D262" s="148">
        <f>D264+D263</f>
        <v>723228</v>
      </c>
      <c r="E262" s="149"/>
    </row>
    <row r="263" spans="1:5" s="36" customFormat="1" ht="26.25">
      <c r="A263" s="29" t="s">
        <v>37</v>
      </c>
      <c r="B263" s="45" t="s">
        <v>299</v>
      </c>
      <c r="C263" s="31" t="s">
        <v>38</v>
      </c>
      <c r="D263" s="22"/>
      <c r="E263" s="149"/>
    </row>
    <row r="264" spans="1:5" s="36" customFormat="1" ht="13.5">
      <c r="A264" s="77" t="s">
        <v>197</v>
      </c>
      <c r="B264" s="45" t="s">
        <v>299</v>
      </c>
      <c r="C264" s="31" t="s">
        <v>198</v>
      </c>
      <c r="D264" s="22">
        <v>723228</v>
      </c>
      <c r="E264" s="149"/>
    </row>
    <row r="265" spans="1:5" s="36" customFormat="1" ht="26.25">
      <c r="A265" s="29" t="s">
        <v>685</v>
      </c>
      <c r="B265" s="45" t="s">
        <v>684</v>
      </c>
      <c r="C265" s="31"/>
      <c r="D265" s="22">
        <f>D266</f>
        <v>700000</v>
      </c>
      <c r="E265" s="149"/>
    </row>
    <row r="266" spans="1:5" s="36" customFormat="1" ht="26.25">
      <c r="A266" s="29" t="s">
        <v>37</v>
      </c>
      <c r="B266" s="45" t="s">
        <v>684</v>
      </c>
      <c r="C266" s="31" t="s">
        <v>38</v>
      </c>
      <c r="D266" s="22">
        <v>700000</v>
      </c>
      <c r="E266" s="149"/>
    </row>
    <row r="267" spans="1:5" s="36" customFormat="1" ht="30" customHeight="1">
      <c r="A267" s="41" t="s">
        <v>683</v>
      </c>
      <c r="B267" s="45" t="s">
        <v>300</v>
      </c>
      <c r="C267" s="31"/>
      <c r="D267" s="148">
        <f>D269+D268</f>
        <v>309955</v>
      </c>
      <c r="E267" s="149"/>
    </row>
    <row r="268" spans="1:5" s="36" customFormat="1" ht="25.5" customHeight="1">
      <c r="A268" s="29" t="s">
        <v>37</v>
      </c>
      <c r="B268" s="45" t="s">
        <v>300</v>
      </c>
      <c r="C268" s="31" t="s">
        <v>38</v>
      </c>
      <c r="D268" s="22"/>
      <c r="E268" s="149"/>
    </row>
    <row r="269" spans="1:5" s="36" customFormat="1" ht="13.5">
      <c r="A269" s="77" t="s">
        <v>197</v>
      </c>
      <c r="B269" s="45" t="s">
        <v>300</v>
      </c>
      <c r="C269" s="31" t="s">
        <v>198</v>
      </c>
      <c r="D269" s="22">
        <f>309954+1</f>
        <v>309955</v>
      </c>
      <c r="E269" s="149"/>
    </row>
    <row r="270" spans="1:5" s="36" customFormat="1" ht="26.25">
      <c r="A270" s="77" t="s">
        <v>301</v>
      </c>
      <c r="B270" s="45" t="s">
        <v>302</v>
      </c>
      <c r="C270" s="31"/>
      <c r="D270" s="148">
        <f>D271</f>
        <v>1650000</v>
      </c>
      <c r="E270" s="149"/>
    </row>
    <row r="271" spans="1:5" s="36" customFormat="1" ht="13.5">
      <c r="A271" s="77" t="s">
        <v>197</v>
      </c>
      <c r="B271" s="45" t="s">
        <v>302</v>
      </c>
      <c r="C271" s="31" t="s">
        <v>198</v>
      </c>
      <c r="D271" s="148">
        <v>1650000</v>
      </c>
      <c r="E271" s="149"/>
    </row>
    <row r="272" spans="1:5" ht="45" customHeight="1">
      <c r="A272" s="41" t="s">
        <v>420</v>
      </c>
      <c r="B272" s="48" t="s">
        <v>421</v>
      </c>
      <c r="C272" s="21"/>
      <c r="D272" s="148">
        <f>D273+D278+D290</f>
        <v>28290452.060000002</v>
      </c>
      <c r="E272" s="147"/>
    </row>
    <row r="273" spans="1:5" s="36" customFormat="1" ht="63" customHeight="1">
      <c r="A273" s="41" t="s">
        <v>422</v>
      </c>
      <c r="B273" s="48" t="s">
        <v>423</v>
      </c>
      <c r="C273" s="55"/>
      <c r="D273" s="148">
        <f>D274</f>
        <v>150000</v>
      </c>
      <c r="E273" s="149"/>
    </row>
    <row r="274" spans="1:5" ht="45" customHeight="1">
      <c r="A274" s="41" t="s">
        <v>424</v>
      </c>
      <c r="B274" s="48" t="s">
        <v>425</v>
      </c>
      <c r="C274" s="55"/>
      <c r="D274" s="148">
        <f>D275</f>
        <v>150000</v>
      </c>
      <c r="E274" s="147"/>
    </row>
    <row r="275" spans="1:5" ht="15.75" customHeight="1">
      <c r="A275" s="41" t="s">
        <v>426</v>
      </c>
      <c r="B275" s="48" t="s">
        <v>427</v>
      </c>
      <c r="C275" s="55"/>
      <c r="D275" s="148">
        <f>D276+D277</f>
        <v>150000</v>
      </c>
      <c r="E275" s="147"/>
    </row>
    <row r="276" spans="1:5" s="36" customFormat="1" ht="26.25">
      <c r="A276" s="29" t="s">
        <v>37</v>
      </c>
      <c r="B276" s="48" t="s">
        <v>427</v>
      </c>
      <c r="C276" s="55" t="s">
        <v>38</v>
      </c>
      <c r="D276" s="22">
        <v>100000</v>
      </c>
      <c r="E276" s="149"/>
    </row>
    <row r="277" spans="1:5" s="36" customFormat="1" ht="13.5">
      <c r="A277" s="26" t="s">
        <v>210</v>
      </c>
      <c r="B277" s="48" t="s">
        <v>427</v>
      </c>
      <c r="C277" s="55" t="s">
        <v>211</v>
      </c>
      <c r="D277" s="22">
        <v>50000</v>
      </c>
      <c r="E277" s="149"/>
    </row>
    <row r="278" spans="1:5" s="36" customFormat="1" ht="68.25" customHeight="1">
      <c r="A278" s="65" t="s">
        <v>541</v>
      </c>
      <c r="B278" s="48" t="s">
        <v>542</v>
      </c>
      <c r="C278" s="21"/>
      <c r="D278" s="148">
        <f>D279+D283</f>
        <v>10580310</v>
      </c>
      <c r="E278" s="149"/>
    </row>
    <row r="279" spans="1:5" s="36" customFormat="1" ht="44.25" customHeight="1">
      <c r="A279" s="65" t="s">
        <v>543</v>
      </c>
      <c r="B279" s="48" t="s">
        <v>544</v>
      </c>
      <c r="C279" s="21"/>
      <c r="D279" s="148">
        <f>D280</f>
        <v>200000</v>
      </c>
      <c r="E279" s="149"/>
    </row>
    <row r="280" spans="1:5" ht="39">
      <c r="A280" s="26" t="s">
        <v>545</v>
      </c>
      <c r="B280" s="48" t="s">
        <v>546</v>
      </c>
      <c r="C280" s="21"/>
      <c r="D280" s="148">
        <f>D282+D281</f>
        <v>200000</v>
      </c>
      <c r="E280" s="147"/>
    </row>
    <row r="281" spans="1:5" ht="0.75" customHeight="1" hidden="1">
      <c r="A281" s="29" t="s">
        <v>25</v>
      </c>
      <c r="B281" s="48" t="s">
        <v>546</v>
      </c>
      <c r="C281" s="21" t="s">
        <v>26</v>
      </c>
      <c r="D281" s="148">
        <f>3195-3195</f>
        <v>0</v>
      </c>
      <c r="E281" s="147"/>
    </row>
    <row r="282" spans="1:5" s="36" customFormat="1" ht="25.5" customHeight="1">
      <c r="A282" s="29" t="s">
        <v>37</v>
      </c>
      <c r="B282" s="48" t="s">
        <v>546</v>
      </c>
      <c r="C282" s="21" t="s">
        <v>38</v>
      </c>
      <c r="D282" s="148">
        <v>200000</v>
      </c>
      <c r="E282" s="149"/>
    </row>
    <row r="283" spans="1:5" s="36" customFormat="1" ht="26.25">
      <c r="A283" s="51" t="s">
        <v>547</v>
      </c>
      <c r="B283" s="48" t="s">
        <v>548</v>
      </c>
      <c r="C283" s="21"/>
      <c r="D283" s="148">
        <f>D284+D288</f>
        <v>10380310</v>
      </c>
      <c r="E283" s="149"/>
    </row>
    <row r="284" spans="1:5" s="36" customFormat="1" ht="26.25">
      <c r="A284" s="41" t="s">
        <v>199</v>
      </c>
      <c r="B284" s="48" t="s">
        <v>549</v>
      </c>
      <c r="C284" s="21"/>
      <c r="D284" s="148">
        <f>D285+D286+D287</f>
        <v>10327100</v>
      </c>
      <c r="E284" s="149"/>
    </row>
    <row r="285" spans="1:5" ht="39">
      <c r="A285" s="29" t="s">
        <v>25</v>
      </c>
      <c r="B285" s="48" t="s">
        <v>549</v>
      </c>
      <c r="C285" s="21" t="s">
        <v>26</v>
      </c>
      <c r="D285" s="22">
        <v>6725100</v>
      </c>
      <c r="E285" s="147"/>
    </row>
    <row r="286" spans="1:5" ht="26.25">
      <c r="A286" s="29" t="s">
        <v>37</v>
      </c>
      <c r="B286" s="48" t="s">
        <v>549</v>
      </c>
      <c r="C286" s="21" t="s">
        <v>38</v>
      </c>
      <c r="D286" s="22">
        <f>1387000+2035000+170000</f>
        <v>3592000</v>
      </c>
      <c r="E286" s="147"/>
    </row>
    <row r="287" spans="1:5" ht="13.5">
      <c r="A287" s="41" t="s">
        <v>79</v>
      </c>
      <c r="B287" s="48" t="s">
        <v>549</v>
      </c>
      <c r="C287" s="21" t="s">
        <v>80</v>
      </c>
      <c r="D287" s="22">
        <f>2375000-2365000</f>
        <v>10000</v>
      </c>
      <c r="E287" s="147"/>
    </row>
    <row r="288" spans="1:5" ht="33" customHeight="1">
      <c r="A288" s="41" t="s">
        <v>725</v>
      </c>
      <c r="B288" s="48" t="s">
        <v>719</v>
      </c>
      <c r="C288" s="21"/>
      <c r="D288" s="22">
        <f>D289</f>
        <v>53210</v>
      </c>
      <c r="E288" s="147"/>
    </row>
    <row r="289" spans="1:5" ht="26.25">
      <c r="A289" s="29" t="s">
        <v>37</v>
      </c>
      <c r="B289" s="48" t="s">
        <v>719</v>
      </c>
      <c r="C289" s="21" t="s">
        <v>38</v>
      </c>
      <c r="D289" s="22">
        <f>53210</f>
        <v>53210</v>
      </c>
      <c r="E289" s="147"/>
    </row>
    <row r="290" spans="1:5" s="36" customFormat="1" ht="58.5" customHeight="1">
      <c r="A290" s="65" t="s">
        <v>428</v>
      </c>
      <c r="B290" s="48" t="s">
        <v>429</v>
      </c>
      <c r="C290" s="55"/>
      <c r="D290" s="148">
        <f>D291+D303+D300</f>
        <v>17560142.060000002</v>
      </c>
      <c r="E290" s="149"/>
    </row>
    <row r="291" spans="1:5" ht="26.25">
      <c r="A291" s="41" t="s">
        <v>430</v>
      </c>
      <c r="B291" s="48" t="s">
        <v>431</v>
      </c>
      <c r="C291" s="55"/>
      <c r="D291" s="148">
        <f>D292+D295+D298</f>
        <v>1814670</v>
      </c>
      <c r="E291" s="147"/>
    </row>
    <row r="292" spans="1:5" ht="13.5">
      <c r="A292" s="26" t="s">
        <v>432</v>
      </c>
      <c r="B292" s="48" t="s">
        <v>433</v>
      </c>
      <c r="C292" s="21"/>
      <c r="D292" s="148">
        <f>D293+D294</f>
        <v>706632</v>
      </c>
      <c r="E292" s="147"/>
    </row>
    <row r="293" spans="1:5" ht="26.25">
      <c r="A293" s="29" t="s">
        <v>37</v>
      </c>
      <c r="B293" s="48" t="s">
        <v>433</v>
      </c>
      <c r="C293" s="55" t="s">
        <v>38</v>
      </c>
      <c r="D293" s="22">
        <v>297132</v>
      </c>
      <c r="E293" s="147"/>
    </row>
    <row r="294" spans="1:5" ht="13.5">
      <c r="A294" s="26" t="s">
        <v>210</v>
      </c>
      <c r="B294" s="48" t="s">
        <v>433</v>
      </c>
      <c r="C294" s="55" t="s">
        <v>211</v>
      </c>
      <c r="D294" s="22">
        <v>409500</v>
      </c>
      <c r="E294" s="147"/>
    </row>
    <row r="295" spans="1:5" ht="18.75" customHeight="1">
      <c r="A295" s="118" t="s">
        <v>434</v>
      </c>
      <c r="B295" s="48" t="s">
        <v>435</v>
      </c>
      <c r="C295" s="21"/>
      <c r="D295" s="148">
        <f>D297+D296</f>
        <v>1108038</v>
      </c>
      <c r="E295" s="147"/>
    </row>
    <row r="296" spans="1:5" ht="29.25" customHeight="1">
      <c r="A296" s="29" t="s">
        <v>37</v>
      </c>
      <c r="B296" s="48" t="s">
        <v>435</v>
      </c>
      <c r="C296" s="55" t="s">
        <v>38</v>
      </c>
      <c r="D296" s="22">
        <v>478038</v>
      </c>
      <c r="E296" s="147"/>
    </row>
    <row r="297" spans="1:5" ht="20.25" customHeight="1">
      <c r="A297" s="26" t="s">
        <v>210</v>
      </c>
      <c r="B297" s="48" t="s">
        <v>435</v>
      </c>
      <c r="C297" s="55" t="s">
        <v>211</v>
      </c>
      <c r="D297" s="22">
        <v>630000</v>
      </c>
      <c r="E297" s="147"/>
    </row>
    <row r="298" spans="1:5" ht="21" customHeight="1" hidden="1">
      <c r="A298" s="118" t="s">
        <v>436</v>
      </c>
      <c r="B298" s="48" t="s">
        <v>437</v>
      </c>
      <c r="C298" s="21"/>
      <c r="D298" s="22">
        <f>D299</f>
        <v>0</v>
      </c>
      <c r="E298" s="147"/>
    </row>
    <row r="299" spans="1:5" ht="21" customHeight="1" hidden="1">
      <c r="A299" s="26" t="s">
        <v>210</v>
      </c>
      <c r="B299" s="48" t="s">
        <v>437</v>
      </c>
      <c r="C299" s="55" t="s">
        <v>211</v>
      </c>
      <c r="D299" s="22"/>
      <c r="E299" s="147"/>
    </row>
    <row r="300" spans="1:5" ht="15.75" customHeight="1">
      <c r="A300" s="41" t="s">
        <v>438</v>
      </c>
      <c r="B300" s="48" t="s">
        <v>439</v>
      </c>
      <c r="C300" s="55"/>
      <c r="D300" s="148">
        <f>D301</f>
        <v>40000</v>
      </c>
      <c r="E300" s="147"/>
    </row>
    <row r="301" spans="1:5" ht="15" customHeight="1">
      <c r="A301" s="29" t="s">
        <v>436</v>
      </c>
      <c r="B301" s="48" t="s">
        <v>440</v>
      </c>
      <c r="C301" s="55"/>
      <c r="D301" s="148">
        <f>D302</f>
        <v>40000</v>
      </c>
      <c r="E301" s="147"/>
    </row>
    <row r="302" spans="1:5" ht="22.5" customHeight="1">
      <c r="A302" s="88" t="s">
        <v>37</v>
      </c>
      <c r="B302" s="48" t="s">
        <v>440</v>
      </c>
      <c r="C302" s="55" t="s">
        <v>38</v>
      </c>
      <c r="D302" s="148">
        <v>40000</v>
      </c>
      <c r="E302" s="147"/>
    </row>
    <row r="303" spans="1:5" ht="39.75" customHeight="1">
      <c r="A303" s="41" t="s">
        <v>441</v>
      </c>
      <c r="B303" s="48" t="s">
        <v>442</v>
      </c>
      <c r="C303" s="55"/>
      <c r="D303" s="148">
        <f>D308+D304+D306</f>
        <v>15705472.06</v>
      </c>
      <c r="E303" s="147"/>
    </row>
    <row r="304" spans="1:5" ht="27.75" customHeight="1">
      <c r="A304" s="41" t="s">
        <v>699</v>
      </c>
      <c r="B304" s="48" t="s">
        <v>698</v>
      </c>
      <c r="C304" s="55"/>
      <c r="D304" s="148">
        <v>9186415</v>
      </c>
      <c r="E304" s="147"/>
    </row>
    <row r="305" spans="1:5" ht="39.75" customHeight="1">
      <c r="A305" s="29" t="s">
        <v>37</v>
      </c>
      <c r="B305" s="48" t="s">
        <v>698</v>
      </c>
      <c r="C305" s="55" t="s">
        <v>38</v>
      </c>
      <c r="D305" s="148">
        <v>9186415</v>
      </c>
      <c r="E305" s="147"/>
    </row>
    <row r="306" spans="1:5" ht="33" customHeight="1">
      <c r="A306" s="41" t="s">
        <v>700</v>
      </c>
      <c r="B306" s="48" t="s">
        <v>697</v>
      </c>
      <c r="C306" s="55"/>
      <c r="D306" s="148">
        <v>3937035</v>
      </c>
      <c r="E306" s="147"/>
    </row>
    <row r="307" spans="1:5" ht="39.75" customHeight="1">
      <c r="A307" s="29" t="s">
        <v>37</v>
      </c>
      <c r="B307" s="48" t="s">
        <v>697</v>
      </c>
      <c r="C307" s="55" t="s">
        <v>38</v>
      </c>
      <c r="D307" s="148">
        <v>3937035</v>
      </c>
      <c r="E307" s="147"/>
    </row>
    <row r="308" spans="1:5" ht="24" customHeight="1">
      <c r="A308" s="27" t="s">
        <v>199</v>
      </c>
      <c r="B308" s="48" t="s">
        <v>443</v>
      </c>
      <c r="C308" s="55"/>
      <c r="D308" s="148">
        <f>D309+D310+D311</f>
        <v>2582022.06</v>
      </c>
      <c r="E308" s="147"/>
    </row>
    <row r="309" spans="1:5" ht="30.75" customHeight="1">
      <c r="A309" s="26" t="s">
        <v>444</v>
      </c>
      <c r="B309" s="48" t="s">
        <v>443</v>
      </c>
      <c r="C309" s="21" t="s">
        <v>26</v>
      </c>
      <c r="D309" s="22">
        <v>657700</v>
      </c>
      <c r="E309" s="147"/>
    </row>
    <row r="310" spans="1:5" ht="27" customHeight="1">
      <c r="A310" s="29" t="s">
        <v>37</v>
      </c>
      <c r="B310" s="48" t="s">
        <v>443</v>
      </c>
      <c r="C310" s="55" t="s">
        <v>38</v>
      </c>
      <c r="D310" s="22">
        <f>1390477.06+391000+131235-40000</f>
        <v>1872712.06</v>
      </c>
      <c r="E310" s="147"/>
    </row>
    <row r="311" spans="1:5" ht="18.75" customHeight="1">
      <c r="A311" s="41" t="s">
        <v>79</v>
      </c>
      <c r="B311" s="48" t="s">
        <v>443</v>
      </c>
      <c r="C311" s="55" t="s">
        <v>80</v>
      </c>
      <c r="D311" s="22">
        <v>51610</v>
      </c>
      <c r="E311" s="147"/>
    </row>
    <row r="312" spans="1:5" ht="43.5" customHeight="1">
      <c r="A312" s="82" t="s">
        <v>661</v>
      </c>
      <c r="B312" s="20" t="s">
        <v>142</v>
      </c>
      <c r="C312" s="31"/>
      <c r="D312" s="22">
        <f>D313</f>
        <v>1335000</v>
      </c>
      <c r="E312" s="147"/>
    </row>
    <row r="313" spans="1:5" s="36" customFormat="1" ht="57.75" customHeight="1">
      <c r="A313" s="65" t="s">
        <v>143</v>
      </c>
      <c r="B313" s="20" t="s">
        <v>144</v>
      </c>
      <c r="C313" s="31"/>
      <c r="D313" s="22">
        <f>D314</f>
        <v>1335000</v>
      </c>
      <c r="E313" s="149"/>
    </row>
    <row r="314" spans="1:5" s="36" customFormat="1" ht="27" customHeight="1">
      <c r="A314" s="65" t="s">
        <v>145</v>
      </c>
      <c r="B314" s="20" t="s">
        <v>146</v>
      </c>
      <c r="C314" s="31"/>
      <c r="D314" s="22">
        <f>D315</f>
        <v>1335000</v>
      </c>
      <c r="E314" s="149"/>
    </row>
    <row r="315" spans="1:5" ht="17.25" customHeight="1">
      <c r="A315" s="65" t="s">
        <v>147</v>
      </c>
      <c r="B315" s="20" t="s">
        <v>148</v>
      </c>
      <c r="C315" s="31"/>
      <c r="D315" s="22">
        <f>D317+D316</f>
        <v>1335000</v>
      </c>
      <c r="E315" s="147"/>
    </row>
    <row r="316" spans="1:5" ht="30.75" customHeight="1" hidden="1">
      <c r="A316" s="26" t="s">
        <v>444</v>
      </c>
      <c r="B316" s="20" t="s">
        <v>148</v>
      </c>
      <c r="C316" s="31" t="s">
        <v>26</v>
      </c>
      <c r="D316" s="22"/>
      <c r="E316" s="147"/>
    </row>
    <row r="317" spans="1:5" ht="27" customHeight="1">
      <c r="A317" s="29" t="s">
        <v>37</v>
      </c>
      <c r="B317" s="20" t="s">
        <v>148</v>
      </c>
      <c r="C317" s="21" t="s">
        <v>38</v>
      </c>
      <c r="D317" s="22">
        <f>1250000+85000</f>
        <v>1335000</v>
      </c>
      <c r="E317" s="147"/>
    </row>
    <row r="318" spans="1:5" ht="33" customHeight="1">
      <c r="A318" s="19" t="s">
        <v>56</v>
      </c>
      <c r="B318" s="30" t="s">
        <v>57</v>
      </c>
      <c r="C318" s="21"/>
      <c r="D318" s="148">
        <f>D319</f>
        <v>556209</v>
      </c>
      <c r="E318" s="147"/>
    </row>
    <row r="319" spans="1:5" s="36" customFormat="1" ht="60" customHeight="1">
      <c r="A319" s="40" t="s">
        <v>58</v>
      </c>
      <c r="B319" s="30" t="s">
        <v>59</v>
      </c>
      <c r="C319" s="21"/>
      <c r="D319" s="148">
        <f>D320</f>
        <v>556209</v>
      </c>
      <c r="E319" s="149"/>
    </row>
    <row r="320" spans="1:5" s="36" customFormat="1" ht="29.25" customHeight="1">
      <c r="A320" s="41" t="s">
        <v>60</v>
      </c>
      <c r="B320" s="30" t="s">
        <v>61</v>
      </c>
      <c r="C320" s="21"/>
      <c r="D320" s="148">
        <f>D321+D324</f>
        <v>556209</v>
      </c>
      <c r="E320" s="149"/>
    </row>
    <row r="321" spans="1:5" ht="21" customHeight="1">
      <c r="A321" s="118" t="s">
        <v>62</v>
      </c>
      <c r="B321" s="30" t="s">
        <v>63</v>
      </c>
      <c r="C321" s="21"/>
      <c r="D321" s="148">
        <f>D322+D323</f>
        <v>326209</v>
      </c>
      <c r="E321" s="147"/>
    </row>
    <row r="322" spans="1:5" ht="42.75" customHeight="1">
      <c r="A322" s="29" t="s">
        <v>25</v>
      </c>
      <c r="B322" s="30" t="s">
        <v>63</v>
      </c>
      <c r="C322" s="31" t="s">
        <v>26</v>
      </c>
      <c r="D322" s="22">
        <v>316209</v>
      </c>
      <c r="E322" s="147"/>
    </row>
    <row r="323" spans="1:5" ht="26.25">
      <c r="A323" s="29" t="s">
        <v>37</v>
      </c>
      <c r="B323" s="30" t="s">
        <v>63</v>
      </c>
      <c r="C323" s="31" t="s">
        <v>38</v>
      </c>
      <c r="D323" s="22">
        <v>10000</v>
      </c>
      <c r="E323" s="147"/>
    </row>
    <row r="324" spans="1:5" ht="13.5">
      <c r="A324" s="29" t="s">
        <v>151</v>
      </c>
      <c r="B324" s="30" t="s">
        <v>152</v>
      </c>
      <c r="C324" s="21"/>
      <c r="D324" s="22">
        <f>D325</f>
        <v>230000</v>
      </c>
      <c r="E324" s="147"/>
    </row>
    <row r="325" spans="1:5" ht="26.25">
      <c r="A325" s="29" t="s">
        <v>37</v>
      </c>
      <c r="B325" s="30" t="s">
        <v>152</v>
      </c>
      <c r="C325" s="31" t="s">
        <v>38</v>
      </c>
      <c r="D325" s="22">
        <v>230000</v>
      </c>
      <c r="E325" s="147"/>
    </row>
    <row r="326" spans="1:5" ht="44.25" customHeight="1">
      <c r="A326" s="64" t="s">
        <v>153</v>
      </c>
      <c r="B326" s="48" t="s">
        <v>154</v>
      </c>
      <c r="C326" s="21"/>
      <c r="D326" s="22">
        <f>D327+D346+D351</f>
        <v>19840999.5</v>
      </c>
      <c r="E326" s="147"/>
    </row>
    <row r="327" spans="1:5" s="36" customFormat="1" ht="52.5">
      <c r="A327" s="65" t="s">
        <v>243</v>
      </c>
      <c r="B327" s="48" t="s">
        <v>244</v>
      </c>
      <c r="C327" s="21"/>
      <c r="D327" s="22">
        <f>D328+D335</f>
        <v>17966743.5</v>
      </c>
      <c r="E327" s="149"/>
    </row>
    <row r="328" spans="1:4" s="36" customFormat="1" ht="26.25">
      <c r="A328" s="41" t="s">
        <v>245</v>
      </c>
      <c r="B328" s="48" t="s">
        <v>246</v>
      </c>
      <c r="C328" s="21"/>
      <c r="D328" s="22">
        <f>D329+D331+D333</f>
        <v>13272743.5</v>
      </c>
    </row>
    <row r="329" spans="1:4" s="36" customFormat="1" ht="13.5">
      <c r="A329" s="29" t="s">
        <v>251</v>
      </c>
      <c r="B329" s="48" t="s">
        <v>677</v>
      </c>
      <c r="C329" s="21"/>
      <c r="D329" s="22">
        <f>D330</f>
        <v>5533573</v>
      </c>
    </row>
    <row r="330" spans="1:4" s="36" customFormat="1" ht="13.5">
      <c r="A330" s="29" t="s">
        <v>87</v>
      </c>
      <c r="B330" s="48" t="s">
        <v>677</v>
      </c>
      <c r="C330" s="21" t="s">
        <v>38</v>
      </c>
      <c r="D330" s="22">
        <v>5533573</v>
      </c>
    </row>
    <row r="331" spans="1:4" ht="13.5">
      <c r="A331" s="29" t="s">
        <v>255</v>
      </c>
      <c r="B331" s="48" t="s">
        <v>678</v>
      </c>
      <c r="C331" s="21"/>
      <c r="D331" s="22">
        <f>D332</f>
        <v>5375550</v>
      </c>
    </row>
    <row r="332" spans="1:4" ht="13.5">
      <c r="A332" s="29" t="s">
        <v>87</v>
      </c>
      <c r="B332" s="48" t="s">
        <v>678</v>
      </c>
      <c r="C332" s="21" t="s">
        <v>38</v>
      </c>
      <c r="D332" s="22">
        <v>5375550</v>
      </c>
    </row>
    <row r="333" spans="1:4" ht="26.25">
      <c r="A333" s="29" t="s">
        <v>247</v>
      </c>
      <c r="B333" s="48" t="s">
        <v>248</v>
      </c>
      <c r="C333" s="21"/>
      <c r="D333" s="22">
        <f>D334</f>
        <v>2363620.5</v>
      </c>
    </row>
    <row r="334" spans="1:4" ht="13.5">
      <c r="A334" s="29" t="s">
        <v>87</v>
      </c>
      <c r="B334" s="48" t="s">
        <v>248</v>
      </c>
      <c r="C334" s="21" t="s">
        <v>38</v>
      </c>
      <c r="D334" s="22">
        <v>2363620.5</v>
      </c>
    </row>
    <row r="335" spans="1:4" ht="26.25">
      <c r="A335" s="41" t="s">
        <v>249</v>
      </c>
      <c r="B335" s="48" t="s">
        <v>250</v>
      </c>
      <c r="C335" s="21"/>
      <c r="D335" s="22">
        <f>D336+D344+D342</f>
        <v>4694000</v>
      </c>
    </row>
    <row r="336" spans="1:4" s="36" customFormat="1" ht="13.5">
      <c r="A336" s="29" t="s">
        <v>251</v>
      </c>
      <c r="B336" s="48" t="s">
        <v>252</v>
      </c>
      <c r="C336" s="21"/>
      <c r="D336" s="22">
        <f>D337</f>
        <v>1800000</v>
      </c>
    </row>
    <row r="337" spans="1:4" ht="21.75" customHeight="1">
      <c r="A337" s="66" t="s">
        <v>253</v>
      </c>
      <c r="B337" s="48" t="s">
        <v>252</v>
      </c>
      <c r="C337" s="21" t="s">
        <v>254</v>
      </c>
      <c r="D337" s="22">
        <v>1800000</v>
      </c>
    </row>
    <row r="338" spans="1:4" ht="33" customHeight="1" hidden="1">
      <c r="A338" s="41" t="s">
        <v>257</v>
      </c>
      <c r="B338" s="48" t="s">
        <v>258</v>
      </c>
      <c r="C338" s="21"/>
      <c r="D338" s="22">
        <f>D339</f>
        <v>0</v>
      </c>
    </row>
    <row r="339" spans="1:4" ht="37.5" customHeight="1" hidden="1">
      <c r="A339" s="67" t="s">
        <v>253</v>
      </c>
      <c r="B339" s="48" t="s">
        <v>258</v>
      </c>
      <c r="C339" s="21" t="s">
        <v>254</v>
      </c>
      <c r="D339" s="22"/>
    </row>
    <row r="340" spans="1:4" ht="45.75" customHeight="1" hidden="1">
      <c r="A340" s="68" t="s">
        <v>259</v>
      </c>
      <c r="B340" s="48" t="s">
        <v>260</v>
      </c>
      <c r="C340" s="21"/>
      <c r="D340" s="22">
        <f>D341</f>
        <v>0</v>
      </c>
    </row>
    <row r="341" spans="1:4" ht="36" customHeight="1" hidden="1">
      <c r="A341" s="67" t="s">
        <v>253</v>
      </c>
      <c r="B341" s="48" t="s">
        <v>260</v>
      </c>
      <c r="C341" s="21" t="s">
        <v>254</v>
      </c>
      <c r="D341" s="22"/>
    </row>
    <row r="342" spans="1:4" ht="26.25">
      <c r="A342" s="29" t="s">
        <v>261</v>
      </c>
      <c r="B342" s="48" t="s">
        <v>262</v>
      </c>
      <c r="C342" s="21"/>
      <c r="D342" s="22">
        <f>D343</f>
        <v>1250000</v>
      </c>
    </row>
    <row r="343" spans="1:4" ht="27">
      <c r="A343" s="67" t="s">
        <v>253</v>
      </c>
      <c r="B343" s="48" t="s">
        <v>262</v>
      </c>
      <c r="C343" s="21" t="s">
        <v>254</v>
      </c>
      <c r="D343" s="22">
        <f>650000+600000</f>
        <v>1250000</v>
      </c>
    </row>
    <row r="344" spans="1:4" ht="13.5">
      <c r="A344" s="29" t="s">
        <v>255</v>
      </c>
      <c r="B344" s="48" t="s">
        <v>256</v>
      </c>
      <c r="C344" s="21"/>
      <c r="D344" s="22">
        <f>D345</f>
        <v>1644000</v>
      </c>
    </row>
    <row r="345" spans="1:4" ht="26.25">
      <c r="A345" s="66" t="s">
        <v>253</v>
      </c>
      <c r="B345" s="48" t="s">
        <v>256</v>
      </c>
      <c r="C345" s="21" t="s">
        <v>254</v>
      </c>
      <c r="D345" s="22">
        <f>1494000+150000</f>
        <v>1644000</v>
      </c>
    </row>
    <row r="346" spans="1:4" s="36" customFormat="1" ht="54.75" customHeight="1">
      <c r="A346" s="69" t="s">
        <v>236</v>
      </c>
      <c r="B346" s="48" t="s">
        <v>237</v>
      </c>
      <c r="C346" s="21"/>
      <c r="D346" s="148">
        <f>D347</f>
        <v>1599256</v>
      </c>
    </row>
    <row r="347" spans="1:4" s="36" customFormat="1" ht="30" customHeight="1">
      <c r="A347" s="41" t="s">
        <v>238</v>
      </c>
      <c r="B347" s="48" t="s">
        <v>239</v>
      </c>
      <c r="C347" s="21"/>
      <c r="D347" s="148">
        <f>D348</f>
        <v>1599256</v>
      </c>
    </row>
    <row r="348" spans="1:5" ht="13.5">
      <c r="A348" s="26" t="s">
        <v>240</v>
      </c>
      <c r="B348" s="48" t="s">
        <v>241</v>
      </c>
      <c r="C348" s="21"/>
      <c r="D348" s="148">
        <f>D350+D349</f>
        <v>1599256</v>
      </c>
      <c r="E348" s="147"/>
    </row>
    <row r="349" spans="1:5" ht="13.5">
      <c r="A349" s="29" t="s">
        <v>87</v>
      </c>
      <c r="B349" s="48" t="s">
        <v>241</v>
      </c>
      <c r="C349" s="21" t="s">
        <v>38</v>
      </c>
      <c r="D349" s="22">
        <v>10000</v>
      </c>
      <c r="E349" s="147"/>
    </row>
    <row r="350" spans="1:5" ht="13.5">
      <c r="A350" s="29" t="s">
        <v>79</v>
      </c>
      <c r="B350" s="48" t="s">
        <v>241</v>
      </c>
      <c r="C350" s="21" t="s">
        <v>80</v>
      </c>
      <c r="D350" s="22">
        <f>901000+688256</f>
        <v>1589256</v>
      </c>
      <c r="E350" s="147"/>
    </row>
    <row r="351" spans="1:5" s="36" customFormat="1" ht="66">
      <c r="A351" s="69" t="s">
        <v>155</v>
      </c>
      <c r="B351" s="48" t="s">
        <v>156</v>
      </c>
      <c r="C351" s="21"/>
      <c r="D351" s="148">
        <f>D352+D355</f>
        <v>275000</v>
      </c>
      <c r="E351" s="149"/>
    </row>
    <row r="352" spans="1:4" ht="26.25" hidden="1">
      <c r="A352" s="53" t="s">
        <v>263</v>
      </c>
      <c r="B352" s="48" t="s">
        <v>264</v>
      </c>
      <c r="C352" s="21"/>
      <c r="D352" s="148">
        <f>D353</f>
        <v>243000</v>
      </c>
    </row>
    <row r="353" spans="1:4" ht="13.5">
      <c r="A353" s="41" t="s">
        <v>265</v>
      </c>
      <c r="B353" s="48" t="s">
        <v>266</v>
      </c>
      <c r="C353" s="21"/>
      <c r="D353" s="148">
        <f>D354</f>
        <v>243000</v>
      </c>
    </row>
    <row r="354" spans="1:4" ht="26.25">
      <c r="A354" s="29" t="s">
        <v>37</v>
      </c>
      <c r="B354" s="48" t="s">
        <v>266</v>
      </c>
      <c r="C354" s="21" t="s">
        <v>38</v>
      </c>
      <c r="D354" s="148">
        <f>600000-357000</f>
        <v>243000</v>
      </c>
    </row>
    <row r="355" spans="1:4" ht="57.75" customHeight="1">
      <c r="A355" s="124" t="s">
        <v>402</v>
      </c>
      <c r="B355" s="48" t="s">
        <v>403</v>
      </c>
      <c r="C355" s="21"/>
      <c r="D355" s="148">
        <f>D356</f>
        <v>32000</v>
      </c>
    </row>
    <row r="356" spans="1:4" ht="31.5" customHeight="1">
      <c r="A356" s="41" t="s">
        <v>159</v>
      </c>
      <c r="B356" s="48" t="s">
        <v>404</v>
      </c>
      <c r="C356" s="21"/>
      <c r="D356" s="148">
        <f>D357</f>
        <v>32000</v>
      </c>
    </row>
    <row r="357" spans="1:4" ht="27.75" customHeight="1">
      <c r="A357" s="29" t="s">
        <v>37</v>
      </c>
      <c r="B357" s="48" t="s">
        <v>404</v>
      </c>
      <c r="C357" s="21" t="s">
        <v>38</v>
      </c>
      <c r="D357" s="22">
        <v>32000</v>
      </c>
    </row>
    <row r="358" spans="1:5" ht="43.5" customHeight="1">
      <c r="A358" s="26" t="s">
        <v>64</v>
      </c>
      <c r="B358" s="30" t="s">
        <v>65</v>
      </c>
      <c r="C358" s="31"/>
      <c r="D358" s="148">
        <f>D365+D359</f>
        <v>1411115</v>
      </c>
      <c r="E358" s="28"/>
    </row>
    <row r="359" spans="1:5" ht="68.25" customHeight="1">
      <c r="A359" s="53" t="s">
        <v>161</v>
      </c>
      <c r="B359" s="30" t="s">
        <v>162</v>
      </c>
      <c r="C359" s="21"/>
      <c r="D359" s="22">
        <f>D360</f>
        <v>799515</v>
      </c>
      <c r="E359" s="28"/>
    </row>
    <row r="360" spans="1:5" ht="31.5" customHeight="1">
      <c r="A360" s="40" t="s">
        <v>163</v>
      </c>
      <c r="B360" s="45" t="s">
        <v>164</v>
      </c>
      <c r="C360" s="21"/>
      <c r="D360" s="22">
        <f>D361+D363</f>
        <v>799515</v>
      </c>
      <c r="E360" s="28"/>
    </row>
    <row r="361" spans="1:5" ht="32.25" customHeight="1">
      <c r="A361" s="29" t="s">
        <v>165</v>
      </c>
      <c r="B361" s="45" t="s">
        <v>166</v>
      </c>
      <c r="C361" s="21"/>
      <c r="D361" s="22">
        <f>D362</f>
        <v>738515</v>
      </c>
      <c r="E361" s="28"/>
    </row>
    <row r="362" spans="1:5" ht="28.5" customHeight="1">
      <c r="A362" s="29" t="s">
        <v>37</v>
      </c>
      <c r="B362" s="45" t="s">
        <v>166</v>
      </c>
      <c r="C362" s="21" t="s">
        <v>38</v>
      </c>
      <c r="D362" s="22">
        <f>1159600-421085</f>
        <v>738515</v>
      </c>
      <c r="E362" s="28"/>
    </row>
    <row r="363" spans="1:5" ht="23.25" customHeight="1">
      <c r="A363" s="29" t="s">
        <v>167</v>
      </c>
      <c r="B363" s="45" t="s">
        <v>168</v>
      </c>
      <c r="C363" s="21"/>
      <c r="D363" s="22">
        <f>D364</f>
        <v>61000</v>
      </c>
      <c r="E363" s="28"/>
    </row>
    <row r="364" spans="1:5" ht="28.5" customHeight="1">
      <c r="A364" s="29" t="s">
        <v>37</v>
      </c>
      <c r="B364" s="45" t="s">
        <v>168</v>
      </c>
      <c r="C364" s="21" t="s">
        <v>38</v>
      </c>
      <c r="D364" s="22">
        <f>61000+20000-20000</f>
        <v>61000</v>
      </c>
      <c r="E364" s="28"/>
    </row>
    <row r="365" spans="1:4" s="36" customFormat="1" ht="59.25" customHeight="1">
      <c r="A365" s="26" t="s">
        <v>66</v>
      </c>
      <c r="B365" s="30" t="s">
        <v>67</v>
      </c>
      <c r="C365" s="31"/>
      <c r="D365" s="148">
        <f>D367+D370</f>
        <v>611600</v>
      </c>
    </row>
    <row r="366" spans="1:4" ht="45.75" customHeight="1">
      <c r="A366" s="40" t="s">
        <v>68</v>
      </c>
      <c r="B366" s="30" t="s">
        <v>69</v>
      </c>
      <c r="C366" s="31"/>
      <c r="D366" s="148">
        <f>D367+D370</f>
        <v>611600</v>
      </c>
    </row>
    <row r="367" spans="1:4" ht="40.5" customHeight="1">
      <c r="A367" s="118" t="s">
        <v>70</v>
      </c>
      <c r="B367" s="20" t="s">
        <v>71</v>
      </c>
      <c r="C367" s="21"/>
      <c r="D367" s="148">
        <f>D368+D369</f>
        <v>305800</v>
      </c>
    </row>
    <row r="368" spans="1:4" ht="43.5" customHeight="1">
      <c r="A368" s="29" t="s">
        <v>25</v>
      </c>
      <c r="B368" s="20" t="s">
        <v>71</v>
      </c>
      <c r="C368" s="31" t="s">
        <v>26</v>
      </c>
      <c r="D368" s="22">
        <v>305800</v>
      </c>
    </row>
    <row r="369" spans="1:4" ht="26.25" hidden="1">
      <c r="A369" s="29" t="s">
        <v>37</v>
      </c>
      <c r="B369" s="20" t="s">
        <v>71</v>
      </c>
      <c r="C369" s="31" t="s">
        <v>38</v>
      </c>
      <c r="D369" s="22"/>
    </row>
    <row r="370" spans="1:4" ht="33.75" customHeight="1">
      <c r="A370" s="118" t="s">
        <v>72</v>
      </c>
      <c r="B370" s="20" t="s">
        <v>73</v>
      </c>
      <c r="C370" s="21"/>
      <c r="D370" s="148">
        <f>D371+D372</f>
        <v>305800</v>
      </c>
    </row>
    <row r="371" spans="1:4" ht="39">
      <c r="A371" s="29" t="s">
        <v>25</v>
      </c>
      <c r="B371" s="20" t="s">
        <v>73</v>
      </c>
      <c r="C371" s="31" t="s">
        <v>26</v>
      </c>
      <c r="D371" s="22">
        <f>305800-2000</f>
        <v>303800</v>
      </c>
    </row>
    <row r="372" spans="1:4" ht="26.25">
      <c r="A372" s="29" t="s">
        <v>37</v>
      </c>
      <c r="B372" s="20" t="s">
        <v>73</v>
      </c>
      <c r="C372" s="31" t="s">
        <v>38</v>
      </c>
      <c r="D372" s="22">
        <v>2000</v>
      </c>
    </row>
    <row r="373" spans="1:6" ht="59.25" customHeight="1">
      <c r="A373" s="40" t="s">
        <v>216</v>
      </c>
      <c r="B373" s="48" t="s">
        <v>217</v>
      </c>
      <c r="C373" s="31"/>
      <c r="D373" s="148">
        <f>D374</f>
        <v>151000</v>
      </c>
      <c r="E373" s="151"/>
      <c r="F373" s="152"/>
    </row>
    <row r="374" spans="1:6" ht="84.75" customHeight="1">
      <c r="A374" s="71" t="s">
        <v>218</v>
      </c>
      <c r="B374" s="48" t="s">
        <v>219</v>
      </c>
      <c r="C374" s="31"/>
      <c r="D374" s="148">
        <f>D378+D387</f>
        <v>151000</v>
      </c>
      <c r="E374" s="153"/>
      <c r="F374" s="152"/>
    </row>
    <row r="375" spans="1:6" ht="26.25" hidden="1">
      <c r="A375" s="71" t="s">
        <v>220</v>
      </c>
      <c r="B375" s="48" t="s">
        <v>221</v>
      </c>
      <c r="C375" s="31"/>
      <c r="D375" s="148">
        <f>D376</f>
        <v>0</v>
      </c>
      <c r="E375" s="151"/>
      <c r="F375" s="152"/>
    </row>
    <row r="376" spans="1:6" ht="26.25" hidden="1">
      <c r="A376" s="29" t="s">
        <v>222</v>
      </c>
      <c r="B376" s="48" t="s">
        <v>223</v>
      </c>
      <c r="C376" s="31"/>
      <c r="D376" s="148">
        <f>D377</f>
        <v>0</v>
      </c>
      <c r="E376" s="151"/>
      <c r="F376" s="152"/>
    </row>
    <row r="377" spans="1:6" ht="26.25" hidden="1">
      <c r="A377" s="29" t="s">
        <v>37</v>
      </c>
      <c r="B377" s="48" t="s">
        <v>223</v>
      </c>
      <c r="C377" s="31" t="s">
        <v>38</v>
      </c>
      <c r="D377" s="148"/>
      <c r="E377" s="151"/>
      <c r="F377" s="152"/>
    </row>
    <row r="378" spans="1:6" ht="57" customHeight="1">
      <c r="A378" s="71" t="s">
        <v>224</v>
      </c>
      <c r="B378" s="48" t="s">
        <v>225</v>
      </c>
      <c r="C378" s="31"/>
      <c r="D378" s="148">
        <f>D379</f>
        <v>51000</v>
      </c>
      <c r="E378" s="151"/>
      <c r="F378" s="152"/>
    </row>
    <row r="379" spans="1:6" ht="26.25">
      <c r="A379" s="29" t="s">
        <v>222</v>
      </c>
      <c r="B379" s="48" t="s">
        <v>226</v>
      </c>
      <c r="C379" s="31"/>
      <c r="D379" s="148">
        <f>D380</f>
        <v>51000</v>
      </c>
      <c r="E379" s="151"/>
      <c r="F379" s="152"/>
    </row>
    <row r="380" spans="1:5" ht="35.25" customHeight="1">
      <c r="A380" s="29" t="s">
        <v>37</v>
      </c>
      <c r="B380" s="48" t="s">
        <v>226</v>
      </c>
      <c r="C380" s="31" t="s">
        <v>38</v>
      </c>
      <c r="D380" s="22">
        <v>51000</v>
      </c>
      <c r="E380" s="151"/>
    </row>
    <row r="381" spans="1:5" ht="39" hidden="1">
      <c r="A381" s="71" t="s">
        <v>227</v>
      </c>
      <c r="B381" s="48" t="s">
        <v>228</v>
      </c>
      <c r="C381" s="31"/>
      <c r="D381" s="148">
        <f>D382</f>
        <v>0</v>
      </c>
      <c r="E381" s="151"/>
    </row>
    <row r="382" spans="1:5" ht="26.25" hidden="1">
      <c r="A382" s="29" t="s">
        <v>222</v>
      </c>
      <c r="B382" s="48" t="s">
        <v>229</v>
      </c>
      <c r="C382" s="31"/>
      <c r="D382" s="148">
        <f>D383</f>
        <v>0</v>
      </c>
      <c r="E382" s="151"/>
    </row>
    <row r="383" spans="1:5" ht="0.75" customHeight="1" hidden="1">
      <c r="A383" s="29" t="s">
        <v>37</v>
      </c>
      <c r="B383" s="48" t="s">
        <v>229</v>
      </c>
      <c r="C383" s="31" t="s">
        <v>38</v>
      </c>
      <c r="D383" s="148"/>
      <c r="E383" s="151"/>
    </row>
    <row r="384" spans="1:5" ht="26.25" hidden="1">
      <c r="A384" s="71" t="s">
        <v>230</v>
      </c>
      <c r="B384" s="48" t="s">
        <v>231</v>
      </c>
      <c r="C384" s="31"/>
      <c r="D384" s="148">
        <f>D385</f>
        <v>0</v>
      </c>
      <c r="E384" s="151"/>
    </row>
    <row r="385" spans="1:5" ht="26.25" hidden="1">
      <c r="A385" s="29" t="s">
        <v>222</v>
      </c>
      <c r="B385" s="48" t="s">
        <v>711</v>
      </c>
      <c r="C385" s="31"/>
      <c r="D385" s="148">
        <f>D386</f>
        <v>0</v>
      </c>
      <c r="E385" s="151"/>
    </row>
    <row r="386" spans="1:5" ht="26.25">
      <c r="A386" s="29" t="s">
        <v>37</v>
      </c>
      <c r="B386" s="48" t="s">
        <v>711</v>
      </c>
      <c r="C386" s="31" t="s">
        <v>38</v>
      </c>
      <c r="D386" s="148"/>
      <c r="E386" s="151"/>
    </row>
    <row r="387" spans="1:5" ht="26.25">
      <c r="A387" s="71" t="s">
        <v>726</v>
      </c>
      <c r="B387" s="48" t="s">
        <v>704</v>
      </c>
      <c r="C387" s="31"/>
      <c r="D387" s="148">
        <f>D388</f>
        <v>100000</v>
      </c>
      <c r="E387" s="151"/>
    </row>
    <row r="388" spans="1:5" ht="26.25">
      <c r="A388" s="29" t="s">
        <v>725</v>
      </c>
      <c r="B388" s="48" t="s">
        <v>705</v>
      </c>
      <c r="C388" s="31"/>
      <c r="D388" s="148">
        <f>D389</f>
        <v>100000</v>
      </c>
      <c r="E388" s="151"/>
    </row>
    <row r="389" spans="1:5" ht="26.25">
      <c r="A389" s="29" t="s">
        <v>37</v>
      </c>
      <c r="B389" s="48" t="s">
        <v>705</v>
      </c>
      <c r="C389" s="31" t="s">
        <v>38</v>
      </c>
      <c r="D389" s="148">
        <f>100000</f>
        <v>100000</v>
      </c>
      <c r="E389" s="151"/>
    </row>
    <row r="390" spans="1:5" ht="33.75" customHeight="1">
      <c r="A390" s="40" t="s">
        <v>565</v>
      </c>
      <c r="B390" s="45" t="s">
        <v>553</v>
      </c>
      <c r="C390" s="21"/>
      <c r="D390" s="148">
        <f>D391+D395</f>
        <v>11501809</v>
      </c>
      <c r="E390" s="28"/>
    </row>
    <row r="391" spans="1:5" s="36" customFormat="1" ht="57" customHeight="1" hidden="1">
      <c r="A391" s="19" t="s">
        <v>554</v>
      </c>
      <c r="B391" s="45" t="s">
        <v>555</v>
      </c>
      <c r="C391" s="21"/>
      <c r="D391" s="148">
        <f>D392</f>
        <v>0</v>
      </c>
      <c r="E391" s="73"/>
    </row>
    <row r="392" spans="1:4" ht="48" customHeight="1" hidden="1">
      <c r="A392" s="19" t="s">
        <v>556</v>
      </c>
      <c r="B392" s="45" t="s">
        <v>557</v>
      </c>
      <c r="C392" s="21"/>
      <c r="D392" s="148">
        <f>D393</f>
        <v>0</v>
      </c>
    </row>
    <row r="393" spans="1:4" ht="19.5" customHeight="1" hidden="1">
      <c r="A393" s="26" t="s">
        <v>558</v>
      </c>
      <c r="B393" s="45" t="s">
        <v>559</v>
      </c>
      <c r="C393" s="21"/>
      <c r="D393" s="148">
        <f>D394</f>
        <v>0</v>
      </c>
    </row>
    <row r="394" spans="1:4" ht="19.5" customHeight="1" hidden="1">
      <c r="A394" s="19" t="s">
        <v>560</v>
      </c>
      <c r="B394" s="45" t="s">
        <v>559</v>
      </c>
      <c r="C394" s="21" t="s">
        <v>561</v>
      </c>
      <c r="D394" s="148"/>
    </row>
    <row r="395" spans="1:4" s="36" customFormat="1" ht="60" customHeight="1">
      <c r="A395" s="19" t="s">
        <v>566</v>
      </c>
      <c r="B395" s="20" t="s">
        <v>567</v>
      </c>
      <c r="C395" s="21"/>
      <c r="D395" s="148">
        <f>D396</f>
        <v>11501809</v>
      </c>
    </row>
    <row r="396" spans="1:4" s="36" customFormat="1" ht="36" customHeight="1">
      <c r="A396" s="40" t="s">
        <v>568</v>
      </c>
      <c r="B396" s="20" t="s">
        <v>569</v>
      </c>
      <c r="C396" s="21"/>
      <c r="D396" s="148">
        <f>D397</f>
        <v>11501809</v>
      </c>
    </row>
    <row r="397" spans="1:4" ht="29.25" customHeight="1">
      <c r="A397" s="118" t="s">
        <v>570</v>
      </c>
      <c r="B397" s="20" t="s">
        <v>571</v>
      </c>
      <c r="C397" s="21"/>
      <c r="D397" s="148">
        <f>D398</f>
        <v>11501809</v>
      </c>
    </row>
    <row r="398" spans="1:4" s="36" customFormat="1" ht="13.5">
      <c r="A398" s="77" t="s">
        <v>197</v>
      </c>
      <c r="B398" s="20" t="s">
        <v>571</v>
      </c>
      <c r="C398" s="31" t="s">
        <v>198</v>
      </c>
      <c r="D398" s="22">
        <v>11501809</v>
      </c>
    </row>
    <row r="399" spans="1:5" ht="26.25">
      <c r="A399" s="65" t="s">
        <v>303</v>
      </c>
      <c r="B399" s="20" t="s">
        <v>304</v>
      </c>
      <c r="C399" s="31"/>
      <c r="D399" s="154">
        <f>D400+D404</f>
        <v>20000</v>
      </c>
      <c r="E399" s="114"/>
    </row>
    <row r="400" spans="1:5" s="36" customFormat="1" ht="54.75" customHeight="1">
      <c r="A400" s="124" t="s">
        <v>305</v>
      </c>
      <c r="B400" s="20" t="s">
        <v>306</v>
      </c>
      <c r="C400" s="31"/>
      <c r="D400" s="148">
        <f>D401</f>
        <v>20000</v>
      </c>
      <c r="E400" s="155"/>
    </row>
    <row r="401" spans="1:5" ht="30" customHeight="1">
      <c r="A401" s="124" t="s">
        <v>307</v>
      </c>
      <c r="B401" s="20" t="s">
        <v>308</v>
      </c>
      <c r="C401" s="31"/>
      <c r="D401" s="148">
        <f>D402</f>
        <v>20000</v>
      </c>
      <c r="E401" s="156"/>
    </row>
    <row r="402" spans="1:5" ht="30.75" customHeight="1">
      <c r="A402" s="27" t="s">
        <v>309</v>
      </c>
      <c r="B402" s="20" t="s">
        <v>310</v>
      </c>
      <c r="C402" s="31"/>
      <c r="D402" s="148">
        <f>D403</f>
        <v>20000</v>
      </c>
      <c r="E402" s="156"/>
    </row>
    <row r="403" spans="1:5" ht="30.75" customHeight="1">
      <c r="A403" s="29" t="s">
        <v>37</v>
      </c>
      <c r="B403" s="20" t="s">
        <v>310</v>
      </c>
      <c r="C403" s="31" t="s">
        <v>38</v>
      </c>
      <c r="D403" s="148">
        <v>20000</v>
      </c>
      <c r="E403" s="156"/>
    </row>
    <row r="404" spans="1:5" ht="54.75" customHeight="1" hidden="1">
      <c r="A404" s="40" t="s">
        <v>311</v>
      </c>
      <c r="B404" s="20" t="s">
        <v>312</v>
      </c>
      <c r="C404" s="31"/>
      <c r="D404" s="148">
        <f>D405</f>
        <v>0</v>
      </c>
      <c r="E404" s="156"/>
    </row>
    <row r="405" spans="1:5" ht="43.5" customHeight="1" hidden="1">
      <c r="A405" s="124" t="s">
        <v>313</v>
      </c>
      <c r="B405" s="20" t="s">
        <v>314</v>
      </c>
      <c r="C405" s="31"/>
      <c r="D405" s="148">
        <f>D406</f>
        <v>0</v>
      </c>
      <c r="E405" s="156"/>
    </row>
    <row r="406" spans="1:5" ht="31.5" customHeight="1" hidden="1">
      <c r="A406" s="29" t="s">
        <v>315</v>
      </c>
      <c r="B406" s="20" t="s">
        <v>316</v>
      </c>
      <c r="C406" s="31"/>
      <c r="D406" s="148">
        <f>D407</f>
        <v>0</v>
      </c>
      <c r="E406" s="156"/>
    </row>
    <row r="407" spans="1:5" ht="28.5" hidden="1">
      <c r="A407" s="29" t="s">
        <v>37</v>
      </c>
      <c r="B407" s="20" t="s">
        <v>316</v>
      </c>
      <c r="C407" s="31" t="s">
        <v>38</v>
      </c>
      <c r="D407" s="148"/>
      <c r="E407" s="156"/>
    </row>
    <row r="408" spans="1:5" ht="46.5" customHeight="1" hidden="1">
      <c r="A408" s="65" t="s">
        <v>267</v>
      </c>
      <c r="B408" s="48" t="s">
        <v>268</v>
      </c>
      <c r="C408" s="31"/>
      <c r="D408" s="148">
        <f>D409</f>
        <v>0</v>
      </c>
      <c r="E408" s="114"/>
    </row>
    <row r="409" spans="1:5" s="36" customFormat="1" ht="3" customHeight="1" hidden="1">
      <c r="A409" s="127" t="s">
        <v>346</v>
      </c>
      <c r="B409" s="48" t="s">
        <v>270</v>
      </c>
      <c r="C409" s="31"/>
      <c r="D409" s="148">
        <f>D410+D421</f>
        <v>0</v>
      </c>
      <c r="E409" s="155"/>
    </row>
    <row r="410" spans="1:5" ht="26.25" customHeight="1" hidden="1">
      <c r="A410" s="77" t="s">
        <v>347</v>
      </c>
      <c r="B410" s="48" t="s">
        <v>348</v>
      </c>
      <c r="C410" s="31"/>
      <c r="D410" s="148">
        <f>D411+D413+D415+D417+D419</f>
        <v>0</v>
      </c>
      <c r="E410" s="156"/>
    </row>
    <row r="411" spans="1:5" ht="24" customHeight="1" hidden="1">
      <c r="A411" s="49" t="s">
        <v>349</v>
      </c>
      <c r="B411" s="48" t="s">
        <v>350</v>
      </c>
      <c r="C411" s="31"/>
      <c r="D411" s="148">
        <f>D412</f>
        <v>0</v>
      </c>
      <c r="E411" s="156"/>
    </row>
    <row r="412" spans="1:5" ht="24.75" hidden="1">
      <c r="A412" s="77" t="s">
        <v>197</v>
      </c>
      <c r="B412" s="48" t="s">
        <v>350</v>
      </c>
      <c r="C412" s="31" t="s">
        <v>198</v>
      </c>
      <c r="D412" s="22"/>
      <c r="E412" s="156"/>
    </row>
    <row r="413" spans="1:5" ht="26.25" hidden="1">
      <c r="A413" s="71" t="s">
        <v>351</v>
      </c>
      <c r="B413" s="48" t="s">
        <v>352</v>
      </c>
      <c r="C413" s="31"/>
      <c r="D413" s="148">
        <f>D414</f>
        <v>0</v>
      </c>
      <c r="E413" s="156"/>
    </row>
    <row r="414" spans="1:5" ht="24.75" hidden="1">
      <c r="A414" s="77" t="s">
        <v>197</v>
      </c>
      <c r="B414" s="48" t="s">
        <v>352</v>
      </c>
      <c r="C414" s="31" t="s">
        <v>198</v>
      </c>
      <c r="D414" s="148">
        <f>15000-15000</f>
        <v>0</v>
      </c>
      <c r="E414" s="156"/>
    </row>
    <row r="415" spans="1:5" ht="44.25" customHeight="1" hidden="1">
      <c r="A415" s="27" t="s">
        <v>344</v>
      </c>
      <c r="B415" s="48" t="s">
        <v>357</v>
      </c>
      <c r="C415" s="31"/>
      <c r="D415" s="22">
        <f>D416</f>
        <v>0</v>
      </c>
      <c r="E415" s="156"/>
    </row>
    <row r="416" spans="1:5" ht="24.75" hidden="1">
      <c r="A416" s="77" t="s">
        <v>197</v>
      </c>
      <c r="B416" s="48" t="s">
        <v>357</v>
      </c>
      <c r="C416" s="31" t="s">
        <v>198</v>
      </c>
      <c r="D416" s="22"/>
      <c r="E416" s="156"/>
    </row>
    <row r="417" spans="1:5" ht="39" hidden="1">
      <c r="A417" s="71" t="s">
        <v>353</v>
      </c>
      <c r="B417" s="48" t="s">
        <v>354</v>
      </c>
      <c r="C417" s="31"/>
      <c r="D417" s="22">
        <f>D418</f>
        <v>0</v>
      </c>
      <c r="E417" s="156"/>
    </row>
    <row r="418" spans="1:5" ht="24.75" hidden="1">
      <c r="A418" s="77" t="s">
        <v>197</v>
      </c>
      <c r="B418" s="48" t="s">
        <v>354</v>
      </c>
      <c r="C418" s="31" t="s">
        <v>198</v>
      </c>
      <c r="D418" s="22"/>
      <c r="E418" s="156"/>
    </row>
    <row r="419" spans="1:5" ht="24.75" hidden="1">
      <c r="A419" s="80" t="s">
        <v>355</v>
      </c>
      <c r="B419" s="48" t="s">
        <v>356</v>
      </c>
      <c r="C419" s="31"/>
      <c r="D419" s="22">
        <f>D420</f>
        <v>0</v>
      </c>
      <c r="E419" s="156"/>
    </row>
    <row r="420" spans="1:5" ht="24.75" hidden="1">
      <c r="A420" s="77" t="s">
        <v>197</v>
      </c>
      <c r="B420" s="48" t="s">
        <v>356</v>
      </c>
      <c r="C420" s="31" t="s">
        <v>198</v>
      </c>
      <c r="D420" s="22"/>
      <c r="E420" s="156"/>
    </row>
    <row r="421" spans="1:5" ht="26.25" hidden="1">
      <c r="A421" s="41" t="s">
        <v>249</v>
      </c>
      <c r="B421" s="56" t="s">
        <v>271</v>
      </c>
      <c r="C421" s="21"/>
      <c r="D421" s="22">
        <f>D422</f>
        <v>0</v>
      </c>
      <c r="E421" s="156"/>
    </row>
    <row r="422" spans="1:5" ht="26.25" hidden="1">
      <c r="A422" s="71" t="s">
        <v>272</v>
      </c>
      <c r="B422" s="48" t="s">
        <v>273</v>
      </c>
      <c r="C422" s="21"/>
      <c r="D422" s="22">
        <f>D423</f>
        <v>0</v>
      </c>
      <c r="E422" s="156"/>
    </row>
    <row r="423" spans="1:5" ht="27.75" customHeight="1" hidden="1">
      <c r="A423" s="26" t="s">
        <v>253</v>
      </c>
      <c r="B423" s="48" t="s">
        <v>273</v>
      </c>
      <c r="C423" s="21" t="s">
        <v>254</v>
      </c>
      <c r="D423" s="22"/>
      <c r="E423" s="156"/>
    </row>
    <row r="424" spans="1:5" ht="29.25" customHeight="1">
      <c r="A424" s="82" t="s">
        <v>405</v>
      </c>
      <c r="B424" s="20" t="s">
        <v>406</v>
      </c>
      <c r="C424" s="31"/>
      <c r="D424" s="148">
        <f>D425</f>
        <v>30000</v>
      </c>
      <c r="E424" s="114"/>
    </row>
    <row r="425" spans="1:5" ht="45.75" customHeight="1">
      <c r="A425" s="40" t="s">
        <v>407</v>
      </c>
      <c r="B425" s="20" t="s">
        <v>408</v>
      </c>
      <c r="C425" s="31"/>
      <c r="D425" s="148">
        <f>D426</f>
        <v>30000</v>
      </c>
      <c r="E425" s="156"/>
    </row>
    <row r="426" spans="1:5" ht="28.5" customHeight="1">
      <c r="A426" s="71" t="s">
        <v>409</v>
      </c>
      <c r="B426" s="20" t="s">
        <v>410</v>
      </c>
      <c r="C426" s="31"/>
      <c r="D426" s="148">
        <f>D427</f>
        <v>30000</v>
      </c>
      <c r="E426" s="156"/>
    </row>
    <row r="427" spans="1:5" ht="20.25" customHeight="1">
      <c r="A427" s="71" t="s">
        <v>411</v>
      </c>
      <c r="B427" s="20" t="s">
        <v>412</v>
      </c>
      <c r="C427" s="31"/>
      <c r="D427" s="148">
        <f>D428</f>
        <v>30000</v>
      </c>
      <c r="E427" s="156"/>
    </row>
    <row r="428" spans="1:5" ht="29.25" customHeight="1">
      <c r="A428" s="88" t="s">
        <v>37</v>
      </c>
      <c r="B428" s="20" t="s">
        <v>412</v>
      </c>
      <c r="C428" s="21" t="s">
        <v>38</v>
      </c>
      <c r="D428" s="148">
        <v>30000</v>
      </c>
      <c r="E428" s="156"/>
    </row>
    <row r="429" spans="1:5" ht="39">
      <c r="A429" s="62" t="s">
        <v>692</v>
      </c>
      <c r="B429" s="20" t="s">
        <v>689</v>
      </c>
      <c r="C429" s="31"/>
      <c r="D429" s="148">
        <f>D430</f>
        <v>20000</v>
      </c>
      <c r="E429" s="114"/>
    </row>
    <row r="430" spans="1:5" ht="68.25">
      <c r="A430" s="29" t="s">
        <v>693</v>
      </c>
      <c r="B430" s="20" t="s">
        <v>690</v>
      </c>
      <c r="C430" s="31"/>
      <c r="D430" s="148">
        <f>D431</f>
        <v>20000</v>
      </c>
      <c r="E430" s="156"/>
    </row>
    <row r="431" spans="1:5" ht="28.5">
      <c r="A431" s="29" t="s">
        <v>694</v>
      </c>
      <c r="B431" s="20" t="s">
        <v>691</v>
      </c>
      <c r="C431" s="31"/>
      <c r="D431" s="148">
        <f>D432</f>
        <v>20000</v>
      </c>
      <c r="E431" s="156"/>
    </row>
    <row r="432" spans="1:5" ht="26.25">
      <c r="A432" s="41" t="s">
        <v>159</v>
      </c>
      <c r="B432" s="20" t="s">
        <v>695</v>
      </c>
      <c r="C432" s="31"/>
      <c r="D432" s="148">
        <f>D433</f>
        <v>20000</v>
      </c>
      <c r="E432" s="156"/>
    </row>
    <row r="433" spans="1:5" ht="28.5">
      <c r="A433" s="29" t="s">
        <v>37</v>
      </c>
      <c r="B433" s="20" t="s">
        <v>695</v>
      </c>
      <c r="C433" s="21" t="s">
        <v>38</v>
      </c>
      <c r="D433" s="148">
        <f>20000</f>
        <v>20000</v>
      </c>
      <c r="E433" s="156"/>
    </row>
    <row r="434" spans="1:5" ht="41.25" customHeight="1">
      <c r="A434" s="54" t="s">
        <v>169</v>
      </c>
      <c r="B434" s="48" t="s">
        <v>170</v>
      </c>
      <c r="C434" s="21"/>
      <c r="D434" s="22">
        <f>D435+D439</f>
        <v>440000</v>
      </c>
      <c r="E434" s="114"/>
    </row>
    <row r="435" spans="1:5" ht="39" hidden="1">
      <c r="A435" s="71" t="s">
        <v>171</v>
      </c>
      <c r="B435" s="48" t="s">
        <v>172</v>
      </c>
      <c r="C435" s="21"/>
      <c r="D435" s="22">
        <f>D436</f>
        <v>0</v>
      </c>
      <c r="E435" s="156"/>
    </row>
    <row r="436" spans="1:5" ht="24.75" hidden="1">
      <c r="A436" s="71" t="s">
        <v>173</v>
      </c>
      <c r="B436" s="48" t="s">
        <v>174</v>
      </c>
      <c r="C436" s="21"/>
      <c r="D436" s="22">
        <f>D437</f>
        <v>0</v>
      </c>
      <c r="E436" s="156"/>
    </row>
    <row r="437" spans="1:5" ht="28.5" hidden="1">
      <c r="A437" s="29" t="s">
        <v>175</v>
      </c>
      <c r="B437" s="48" t="s">
        <v>176</v>
      </c>
      <c r="C437" s="21"/>
      <c r="D437" s="22">
        <f>D438</f>
        <v>0</v>
      </c>
      <c r="E437" s="156"/>
    </row>
    <row r="438" spans="1:5" ht="26.25" hidden="1">
      <c r="A438" s="29" t="s">
        <v>37</v>
      </c>
      <c r="B438" s="48" t="s">
        <v>176</v>
      </c>
      <c r="C438" s="21" t="s">
        <v>38</v>
      </c>
      <c r="D438" s="22">
        <f>15000-15000</f>
        <v>0</v>
      </c>
      <c r="E438" s="157"/>
    </row>
    <row r="439" spans="1:5" ht="57.75" customHeight="1">
      <c r="A439" s="71" t="s">
        <v>177</v>
      </c>
      <c r="B439" s="48" t="s">
        <v>178</v>
      </c>
      <c r="C439" s="21"/>
      <c r="D439" s="22">
        <f>D440</f>
        <v>440000</v>
      </c>
      <c r="E439" s="156"/>
    </row>
    <row r="440" spans="1:5" ht="19.5" customHeight="1">
      <c r="A440" s="71" t="s">
        <v>179</v>
      </c>
      <c r="B440" s="48" t="s">
        <v>180</v>
      </c>
      <c r="C440" s="21"/>
      <c r="D440" s="22">
        <f>D441</f>
        <v>440000</v>
      </c>
      <c r="E440" s="156"/>
    </row>
    <row r="441" spans="1:5" ht="24.75">
      <c r="A441" s="71" t="s">
        <v>139</v>
      </c>
      <c r="B441" s="48" t="s">
        <v>181</v>
      </c>
      <c r="C441" s="21"/>
      <c r="D441" s="22">
        <f>D442</f>
        <v>440000</v>
      </c>
      <c r="E441" s="156"/>
    </row>
    <row r="442" spans="1:5" ht="26.25">
      <c r="A442" s="29" t="s">
        <v>37</v>
      </c>
      <c r="B442" s="48" t="s">
        <v>181</v>
      </c>
      <c r="C442" s="21" t="s">
        <v>38</v>
      </c>
      <c r="D442" s="22">
        <v>440000</v>
      </c>
      <c r="E442" s="157"/>
    </row>
    <row r="443" spans="1:5" ht="33" customHeight="1">
      <c r="A443" s="29" t="s">
        <v>592</v>
      </c>
      <c r="B443" s="48" t="s">
        <v>183</v>
      </c>
      <c r="C443" s="55"/>
      <c r="D443" s="148">
        <f>D444</f>
        <v>1381292</v>
      </c>
      <c r="E443" s="114"/>
    </row>
    <row r="444" spans="1:4" s="36" customFormat="1" ht="61.5" customHeight="1">
      <c r="A444" s="29" t="s">
        <v>184</v>
      </c>
      <c r="B444" s="48" t="s">
        <v>185</v>
      </c>
      <c r="C444" s="55"/>
      <c r="D444" s="148">
        <f>D446</f>
        <v>1381292</v>
      </c>
    </row>
    <row r="445" spans="1:4" s="36" customFormat="1" ht="60" customHeight="1">
      <c r="A445" s="58" t="s">
        <v>186</v>
      </c>
      <c r="B445" s="48" t="s">
        <v>187</v>
      </c>
      <c r="C445" s="55"/>
      <c r="D445" s="148">
        <f>D446</f>
        <v>1381292</v>
      </c>
    </row>
    <row r="446" spans="1:4" s="36" customFormat="1" ht="36.75" customHeight="1">
      <c r="A446" s="27" t="s">
        <v>188</v>
      </c>
      <c r="B446" s="48" t="s">
        <v>189</v>
      </c>
      <c r="C446" s="55"/>
      <c r="D446" s="148">
        <f>D447+D448</f>
        <v>1381292</v>
      </c>
    </row>
    <row r="447" spans="1:4" ht="39">
      <c r="A447" s="29" t="s">
        <v>25</v>
      </c>
      <c r="B447" s="48" t="s">
        <v>189</v>
      </c>
      <c r="C447" s="55" t="s">
        <v>26</v>
      </c>
      <c r="D447" s="22">
        <f>842580+46623+14080</f>
        <v>903283</v>
      </c>
    </row>
    <row r="448" spans="1:4" ht="26.25">
      <c r="A448" s="29" t="s">
        <v>37</v>
      </c>
      <c r="B448" s="48" t="s">
        <v>189</v>
      </c>
      <c r="C448" s="55" t="s">
        <v>38</v>
      </c>
      <c r="D448" s="22">
        <f>538712+15000-75703</f>
        <v>478009</v>
      </c>
    </row>
    <row r="449" spans="1:5" ht="13.5">
      <c r="A449" s="29" t="s">
        <v>19</v>
      </c>
      <c r="B449" s="30" t="s">
        <v>20</v>
      </c>
      <c r="C449" s="21"/>
      <c r="D449" s="148">
        <f>D450</f>
        <v>1561000</v>
      </c>
      <c r="E449" s="28"/>
    </row>
    <row r="450" spans="1:5" s="36" customFormat="1" ht="13.5">
      <c r="A450" s="26" t="s">
        <v>21</v>
      </c>
      <c r="B450" s="30" t="s">
        <v>22</v>
      </c>
      <c r="C450" s="21"/>
      <c r="D450" s="148">
        <f>D451</f>
        <v>1561000</v>
      </c>
      <c r="E450" s="149"/>
    </row>
    <row r="451" spans="1:5" ht="26.25">
      <c r="A451" s="27" t="s">
        <v>23</v>
      </c>
      <c r="B451" s="30" t="s">
        <v>24</v>
      </c>
      <c r="C451" s="21"/>
      <c r="D451" s="148">
        <f>D452</f>
        <v>1561000</v>
      </c>
      <c r="E451" s="147"/>
    </row>
    <row r="452" spans="1:5" ht="39">
      <c r="A452" s="29" t="s">
        <v>25</v>
      </c>
      <c r="B452" s="30" t="s">
        <v>24</v>
      </c>
      <c r="C452" s="31" t="s">
        <v>26</v>
      </c>
      <c r="D452" s="22">
        <v>1561000</v>
      </c>
      <c r="E452" s="147"/>
    </row>
    <row r="453" spans="1:5" ht="15" customHeight="1">
      <c r="A453" s="29" t="s">
        <v>74</v>
      </c>
      <c r="B453" s="20" t="s">
        <v>75</v>
      </c>
      <c r="C453" s="21"/>
      <c r="D453" s="148">
        <f>D454</f>
        <v>17721601</v>
      </c>
      <c r="E453" s="147"/>
    </row>
    <row r="454" spans="1:5" s="36" customFormat="1" ht="15.75" customHeight="1">
      <c r="A454" s="27" t="s">
        <v>76</v>
      </c>
      <c r="B454" s="20" t="s">
        <v>77</v>
      </c>
      <c r="C454" s="21"/>
      <c r="D454" s="148">
        <f>D458+D455</f>
        <v>17721601</v>
      </c>
      <c r="E454" s="149"/>
    </row>
    <row r="455" spans="1:5" ht="27.75" customHeight="1">
      <c r="A455" s="47" t="s">
        <v>190</v>
      </c>
      <c r="B455" s="20" t="s">
        <v>191</v>
      </c>
      <c r="C455" s="55"/>
      <c r="D455" s="22">
        <f>D456+D457</f>
        <v>332701</v>
      </c>
      <c r="E455" s="147"/>
    </row>
    <row r="456" spans="1:5" ht="37.5" customHeight="1">
      <c r="A456" s="29" t="s">
        <v>25</v>
      </c>
      <c r="B456" s="20" t="s">
        <v>191</v>
      </c>
      <c r="C456" s="55" t="s">
        <v>26</v>
      </c>
      <c r="D456" s="22">
        <v>332701</v>
      </c>
      <c r="E456" s="147"/>
    </row>
    <row r="457" spans="1:5" ht="26.25" hidden="1">
      <c r="A457" s="29" t="s">
        <v>37</v>
      </c>
      <c r="B457" s="20" t="s">
        <v>191</v>
      </c>
      <c r="C457" s="55" t="s">
        <v>38</v>
      </c>
      <c r="D457" s="22"/>
      <c r="E457" s="147"/>
    </row>
    <row r="458" spans="1:5" ht="27.75" customHeight="1">
      <c r="A458" s="27" t="s">
        <v>23</v>
      </c>
      <c r="B458" s="20" t="s">
        <v>78</v>
      </c>
      <c r="C458" s="21"/>
      <c r="D458" s="148">
        <f>D459+D460+D461</f>
        <v>17388900</v>
      </c>
      <c r="E458" s="147"/>
    </row>
    <row r="459" spans="1:5" ht="39">
      <c r="A459" s="29" t="s">
        <v>25</v>
      </c>
      <c r="B459" s="20" t="s">
        <v>78</v>
      </c>
      <c r="C459" s="31" t="s">
        <v>26</v>
      </c>
      <c r="D459" s="22">
        <v>17211400</v>
      </c>
      <c r="E459" s="147"/>
    </row>
    <row r="460" spans="1:5" ht="26.25">
      <c r="A460" s="29" t="s">
        <v>37</v>
      </c>
      <c r="B460" s="20" t="s">
        <v>78</v>
      </c>
      <c r="C460" s="31" t="s">
        <v>38</v>
      </c>
      <c r="D460" s="42">
        <v>90500</v>
      </c>
      <c r="E460" s="147"/>
    </row>
    <row r="461" spans="1:5" ht="13.5">
      <c r="A461" s="41" t="s">
        <v>79</v>
      </c>
      <c r="B461" s="20" t="s">
        <v>78</v>
      </c>
      <c r="C461" s="31" t="s">
        <v>80</v>
      </c>
      <c r="D461" s="22">
        <v>87000</v>
      </c>
      <c r="E461" s="147"/>
    </row>
    <row r="462" spans="1:5" ht="26.25">
      <c r="A462" s="44" t="s">
        <v>98</v>
      </c>
      <c r="B462" s="45" t="s">
        <v>99</v>
      </c>
      <c r="C462" s="31"/>
      <c r="D462" s="148">
        <f>D463</f>
        <v>486000</v>
      </c>
      <c r="E462" s="147"/>
    </row>
    <row r="463" spans="1:5" s="36" customFormat="1" ht="17.25" customHeight="1">
      <c r="A463" s="44" t="s">
        <v>100</v>
      </c>
      <c r="B463" s="45" t="s">
        <v>101</v>
      </c>
      <c r="C463" s="31"/>
      <c r="D463" s="148">
        <f>D464</f>
        <v>486000</v>
      </c>
      <c r="E463" s="149"/>
    </row>
    <row r="464" spans="1:5" ht="26.25">
      <c r="A464" s="27" t="s">
        <v>23</v>
      </c>
      <c r="B464" s="45" t="s">
        <v>102</v>
      </c>
      <c r="C464" s="21"/>
      <c r="D464" s="148">
        <f>D465+D466+D467</f>
        <v>486000</v>
      </c>
      <c r="E464" s="147"/>
    </row>
    <row r="465" spans="1:5" ht="37.5" customHeight="1">
      <c r="A465" s="29" t="s">
        <v>25</v>
      </c>
      <c r="B465" s="45" t="s">
        <v>102</v>
      </c>
      <c r="C465" s="31" t="s">
        <v>26</v>
      </c>
      <c r="D465" s="22">
        <v>486000</v>
      </c>
      <c r="E465" s="147"/>
    </row>
    <row r="466" spans="1:5" ht="13.5" hidden="1">
      <c r="A466" s="29" t="s">
        <v>87</v>
      </c>
      <c r="B466" s="45" t="s">
        <v>102</v>
      </c>
      <c r="C466" s="31" t="s">
        <v>38</v>
      </c>
      <c r="D466" s="22"/>
      <c r="E466" s="147"/>
    </row>
    <row r="467" spans="1:5" ht="13.5" hidden="1">
      <c r="A467" s="41" t="s">
        <v>79</v>
      </c>
      <c r="B467" s="45" t="s">
        <v>102</v>
      </c>
      <c r="C467" s="31" t="s">
        <v>80</v>
      </c>
      <c r="D467" s="148"/>
      <c r="E467" s="147"/>
    </row>
    <row r="468" spans="1:5" ht="28.5" customHeight="1">
      <c r="A468" s="29" t="s">
        <v>29</v>
      </c>
      <c r="B468" s="30" t="s">
        <v>30</v>
      </c>
      <c r="C468" s="21"/>
      <c r="D468" s="148">
        <f>D469+D472</f>
        <v>1694300</v>
      </c>
      <c r="E468" s="28"/>
    </row>
    <row r="469" spans="1:4" s="36" customFormat="1" ht="19.5" customHeight="1">
      <c r="A469" s="26" t="s">
        <v>31</v>
      </c>
      <c r="B469" s="30" t="s">
        <v>32</v>
      </c>
      <c r="C469" s="21"/>
      <c r="D469" s="148">
        <f>D470</f>
        <v>824000</v>
      </c>
    </row>
    <row r="470" spans="1:4" ht="30.75" customHeight="1">
      <c r="A470" s="27" t="s">
        <v>23</v>
      </c>
      <c r="B470" s="30" t="s">
        <v>33</v>
      </c>
      <c r="C470" s="31"/>
      <c r="D470" s="148">
        <f>D471</f>
        <v>824000</v>
      </c>
    </row>
    <row r="471" spans="1:4" ht="39.75" customHeight="1">
      <c r="A471" s="29" t="s">
        <v>25</v>
      </c>
      <c r="B471" s="30" t="s">
        <v>33</v>
      </c>
      <c r="C471" s="31" t="s">
        <v>26</v>
      </c>
      <c r="D471" s="22">
        <v>824000</v>
      </c>
    </row>
    <row r="472" spans="1:5" s="36" customFormat="1" ht="15.75" customHeight="1">
      <c r="A472" s="26" t="s">
        <v>34</v>
      </c>
      <c r="B472" s="30" t="s">
        <v>35</v>
      </c>
      <c r="C472" s="31"/>
      <c r="D472" s="148">
        <f>D473</f>
        <v>870300</v>
      </c>
      <c r="E472" s="149"/>
    </row>
    <row r="473" spans="1:5" ht="28.5" customHeight="1">
      <c r="A473" s="27" t="s">
        <v>23</v>
      </c>
      <c r="B473" s="30" t="s">
        <v>36</v>
      </c>
      <c r="C473" s="31"/>
      <c r="D473" s="148">
        <f>D474+D475+D476</f>
        <v>870300</v>
      </c>
      <c r="E473" s="147"/>
    </row>
    <row r="474" spans="1:5" ht="39">
      <c r="A474" s="29" t="s">
        <v>25</v>
      </c>
      <c r="B474" s="30" t="s">
        <v>36</v>
      </c>
      <c r="C474" s="31" t="s">
        <v>26</v>
      </c>
      <c r="D474" s="22">
        <v>870300</v>
      </c>
      <c r="E474" s="147"/>
    </row>
    <row r="475" spans="1:5" ht="13.5" hidden="1">
      <c r="A475" s="29" t="s">
        <v>87</v>
      </c>
      <c r="B475" s="30" t="s">
        <v>36</v>
      </c>
      <c r="C475" s="31" t="s">
        <v>38</v>
      </c>
      <c r="D475" s="22"/>
      <c r="E475" s="147"/>
    </row>
    <row r="476" spans="1:5" ht="13.5" hidden="1">
      <c r="A476" s="41" t="s">
        <v>79</v>
      </c>
      <c r="B476" s="30" t="s">
        <v>36</v>
      </c>
      <c r="C476" s="31" t="s">
        <v>80</v>
      </c>
      <c r="D476" s="148"/>
      <c r="E476" s="147"/>
    </row>
    <row r="477" spans="1:5" ht="26.25" customHeight="1">
      <c r="A477" s="29" t="s">
        <v>192</v>
      </c>
      <c r="B477" s="30" t="s">
        <v>193</v>
      </c>
      <c r="C477" s="55"/>
      <c r="D477" s="148">
        <f>D478</f>
        <v>8437511.810000002</v>
      </c>
      <c r="E477" s="147"/>
    </row>
    <row r="478" spans="1:5" s="36" customFormat="1" ht="17.25" customHeight="1">
      <c r="A478" s="29" t="s">
        <v>194</v>
      </c>
      <c r="B478" s="30" t="s">
        <v>195</v>
      </c>
      <c r="C478" s="55"/>
      <c r="D478" s="148">
        <f>D479</f>
        <v>8437511.810000002</v>
      </c>
      <c r="E478" s="149"/>
    </row>
    <row r="479" spans="1:5" ht="17.25" customHeight="1">
      <c r="A479" s="26" t="s">
        <v>139</v>
      </c>
      <c r="B479" s="30" t="s">
        <v>196</v>
      </c>
      <c r="C479" s="55"/>
      <c r="D479" s="148">
        <f>D480+D482+D481</f>
        <v>8437511.810000002</v>
      </c>
      <c r="E479" s="147"/>
    </row>
    <row r="480" spans="1:4" ht="16.5" customHeight="1">
      <c r="A480" s="29" t="s">
        <v>87</v>
      </c>
      <c r="B480" s="30" t="s">
        <v>196</v>
      </c>
      <c r="C480" s="55" t="s">
        <v>38</v>
      </c>
      <c r="D480" s="22">
        <v>129815</v>
      </c>
    </row>
    <row r="481" spans="1:4" ht="16.5" customHeight="1" hidden="1">
      <c r="A481" s="77" t="s">
        <v>197</v>
      </c>
      <c r="B481" s="30" t="s">
        <v>196</v>
      </c>
      <c r="C481" s="55" t="s">
        <v>198</v>
      </c>
      <c r="D481" s="22"/>
    </row>
    <row r="482" spans="1:4" ht="17.25" customHeight="1">
      <c r="A482" s="41" t="s">
        <v>79</v>
      </c>
      <c r="B482" s="30" t="s">
        <v>196</v>
      </c>
      <c r="C482" s="55" t="s">
        <v>80</v>
      </c>
      <c r="D482" s="22">
        <f>34002145.81+100000-20368566-5172411-253472</f>
        <v>8307696.810000002</v>
      </c>
    </row>
    <row r="483" spans="1:7" ht="18.75" customHeight="1">
      <c r="A483" s="26" t="s">
        <v>81</v>
      </c>
      <c r="B483" s="45" t="s">
        <v>82</v>
      </c>
      <c r="C483" s="31"/>
      <c r="D483" s="148">
        <f>D484+D488+D509</f>
        <v>14913886</v>
      </c>
      <c r="E483" s="28"/>
      <c r="F483" s="147"/>
      <c r="G483" s="147"/>
    </row>
    <row r="484" spans="1:6" s="36" customFormat="1" ht="30" customHeight="1">
      <c r="A484" s="40" t="s">
        <v>83</v>
      </c>
      <c r="B484" s="20" t="s">
        <v>84</v>
      </c>
      <c r="C484" s="21"/>
      <c r="D484" s="148">
        <f>D485</f>
        <v>305800</v>
      </c>
      <c r="F484" s="149"/>
    </row>
    <row r="485" spans="1:6" ht="26.25">
      <c r="A485" s="27" t="s">
        <v>85</v>
      </c>
      <c r="B485" s="20" t="s">
        <v>86</v>
      </c>
      <c r="C485" s="21"/>
      <c r="D485" s="148">
        <f>D486+D487</f>
        <v>305800</v>
      </c>
      <c r="F485" s="147"/>
    </row>
    <row r="486" spans="1:6" ht="38.25" customHeight="1">
      <c r="A486" s="29" t="s">
        <v>25</v>
      </c>
      <c r="B486" s="20" t="s">
        <v>86</v>
      </c>
      <c r="C486" s="31" t="s">
        <v>26</v>
      </c>
      <c r="D486" s="22">
        <v>305800</v>
      </c>
      <c r="F486" s="147"/>
    </row>
    <row r="487" spans="1:6" ht="13.5" hidden="1">
      <c r="A487" s="29" t="s">
        <v>87</v>
      </c>
      <c r="B487" s="20" t="s">
        <v>86</v>
      </c>
      <c r="C487" s="31" t="s">
        <v>38</v>
      </c>
      <c r="D487" s="22">
        <f>20967-20967</f>
        <v>0</v>
      </c>
      <c r="F487" s="147"/>
    </row>
    <row r="488" spans="1:6" ht="18" customHeight="1">
      <c r="A488" s="29" t="s">
        <v>88</v>
      </c>
      <c r="B488" s="20" t="s">
        <v>89</v>
      </c>
      <c r="C488" s="31"/>
      <c r="D488" s="148">
        <f>D489+D491+D493+D495+D499+D505+D497+D507+D503</f>
        <v>14608086</v>
      </c>
      <c r="F488" s="147"/>
    </row>
    <row r="489" spans="1:6" ht="36.75" customHeight="1">
      <c r="A489" s="43" t="s">
        <v>492</v>
      </c>
      <c r="B489" s="20" t="s">
        <v>493</v>
      </c>
      <c r="C489" s="21"/>
      <c r="D489" s="148">
        <f>D490</f>
        <v>385299</v>
      </c>
      <c r="F489" s="147"/>
    </row>
    <row r="490" spans="1:6" ht="26.25" customHeight="1">
      <c r="A490" s="29" t="s">
        <v>37</v>
      </c>
      <c r="B490" s="20" t="s">
        <v>493</v>
      </c>
      <c r="C490" s="31" t="s">
        <v>38</v>
      </c>
      <c r="D490" s="22">
        <v>385299</v>
      </c>
      <c r="F490" s="147"/>
    </row>
    <row r="491" spans="1:6" ht="44.25" customHeight="1">
      <c r="A491" s="43" t="s">
        <v>90</v>
      </c>
      <c r="B491" s="20" t="s">
        <v>91</v>
      </c>
      <c r="C491" s="21"/>
      <c r="D491" s="148">
        <f>D492</f>
        <v>30580</v>
      </c>
      <c r="F491" s="147"/>
    </row>
    <row r="492" spans="1:6" ht="26.25">
      <c r="A492" s="29" t="s">
        <v>37</v>
      </c>
      <c r="B492" s="20" t="s">
        <v>91</v>
      </c>
      <c r="C492" s="31" t="s">
        <v>26</v>
      </c>
      <c r="D492" s="22">
        <v>30580</v>
      </c>
      <c r="F492" s="147"/>
    </row>
    <row r="493" spans="1:6" ht="39">
      <c r="A493" s="118" t="s">
        <v>94</v>
      </c>
      <c r="B493" s="20" t="s">
        <v>95</v>
      </c>
      <c r="C493" s="31"/>
      <c r="D493" s="148">
        <f>D494</f>
        <v>500</v>
      </c>
      <c r="F493" s="147"/>
    </row>
    <row r="494" spans="1:6" ht="13.5" customHeight="1">
      <c r="A494" s="29" t="s">
        <v>87</v>
      </c>
      <c r="B494" s="20" t="s">
        <v>95</v>
      </c>
      <c r="C494" s="31" t="s">
        <v>38</v>
      </c>
      <c r="D494" s="148">
        <f>500</f>
        <v>500</v>
      </c>
      <c r="F494" s="147"/>
    </row>
    <row r="495" spans="1:6" ht="13.5" hidden="1">
      <c r="A495" s="41" t="s">
        <v>662</v>
      </c>
      <c r="B495" s="20" t="s">
        <v>663</v>
      </c>
      <c r="C495" s="21"/>
      <c r="D495" s="148"/>
      <c r="F495" s="147"/>
    </row>
    <row r="496" spans="1:6" ht="26.25" hidden="1">
      <c r="A496" s="29" t="s">
        <v>37</v>
      </c>
      <c r="B496" s="20" t="s">
        <v>663</v>
      </c>
      <c r="C496" s="31" t="s">
        <v>38</v>
      </c>
      <c r="D496" s="148"/>
      <c r="F496" s="147"/>
    </row>
    <row r="497" spans="1:5" ht="26.25">
      <c r="A497" s="29" t="s">
        <v>203</v>
      </c>
      <c r="B497" s="20" t="s">
        <v>204</v>
      </c>
      <c r="C497" s="31"/>
      <c r="D497" s="148">
        <f>D498</f>
        <v>152900</v>
      </c>
      <c r="E497" s="147"/>
    </row>
    <row r="498" spans="1:5" ht="13.5">
      <c r="A498" s="29" t="s">
        <v>197</v>
      </c>
      <c r="B498" s="20" t="s">
        <v>204</v>
      </c>
      <c r="C498" s="31" t="s">
        <v>198</v>
      </c>
      <c r="D498" s="22">
        <v>152900</v>
      </c>
      <c r="E498" s="147"/>
    </row>
    <row r="499" spans="1:5" ht="26.25">
      <c r="A499" s="41" t="s">
        <v>199</v>
      </c>
      <c r="B499" s="20" t="s">
        <v>200</v>
      </c>
      <c r="C499" s="21"/>
      <c r="D499" s="148">
        <f>D500+D501+D502</f>
        <v>13819280</v>
      </c>
      <c r="E499" s="147"/>
    </row>
    <row r="500" spans="1:5" ht="39">
      <c r="A500" s="29" t="s">
        <v>25</v>
      </c>
      <c r="B500" s="20" t="s">
        <v>200</v>
      </c>
      <c r="C500" s="31" t="s">
        <v>26</v>
      </c>
      <c r="D500" s="22">
        <v>6428500</v>
      </c>
      <c r="E500" s="147"/>
    </row>
    <row r="501" spans="1:5" ht="26.25">
      <c r="A501" s="29" t="s">
        <v>37</v>
      </c>
      <c r="B501" s="20" t="s">
        <v>200</v>
      </c>
      <c r="C501" s="31" t="s">
        <v>38</v>
      </c>
      <c r="D501" s="22">
        <f>8039700+103600-778520</f>
        <v>7364780</v>
      </c>
      <c r="E501" s="147"/>
    </row>
    <row r="502" spans="1:5" ht="13.5">
      <c r="A502" s="41" t="s">
        <v>79</v>
      </c>
      <c r="B502" s="20" t="s">
        <v>200</v>
      </c>
      <c r="C502" s="31" t="s">
        <v>80</v>
      </c>
      <c r="D502" s="22">
        <v>26000</v>
      </c>
      <c r="E502" s="147"/>
    </row>
    <row r="503" spans="1:5" ht="13.5">
      <c r="A503" s="26" t="s">
        <v>139</v>
      </c>
      <c r="B503" s="20" t="s">
        <v>696</v>
      </c>
      <c r="C503" s="31"/>
      <c r="D503" s="22">
        <f>D504</f>
        <v>119527</v>
      </c>
      <c r="E503" s="147"/>
    </row>
    <row r="504" spans="1:5" ht="26.25">
      <c r="A504" s="29" t="s">
        <v>37</v>
      </c>
      <c r="B504" s="20" t="s">
        <v>696</v>
      </c>
      <c r="C504" s="31" t="s">
        <v>38</v>
      </c>
      <c r="D504" s="22">
        <v>119527</v>
      </c>
      <c r="E504" s="147"/>
    </row>
    <row r="505" spans="1:5" ht="13.5">
      <c r="A505" s="65" t="s">
        <v>201</v>
      </c>
      <c r="B505" s="20" t="s">
        <v>202</v>
      </c>
      <c r="C505" s="31"/>
      <c r="D505" s="148">
        <f>D506</f>
        <v>100000</v>
      </c>
      <c r="E505" s="147"/>
    </row>
    <row r="506" spans="1:5" ht="26.25">
      <c r="A506" s="29" t="s">
        <v>37</v>
      </c>
      <c r="B506" s="20" t="s">
        <v>202</v>
      </c>
      <c r="C506" s="31" t="s">
        <v>38</v>
      </c>
      <c r="D506" s="148">
        <v>100000</v>
      </c>
      <c r="E506" s="147"/>
    </row>
    <row r="507" spans="1:5" ht="24.75" customHeight="1" hidden="1">
      <c r="A507" s="26" t="s">
        <v>360</v>
      </c>
      <c r="B507" s="20" t="s">
        <v>361</v>
      </c>
      <c r="C507" s="31"/>
      <c r="D507" s="148">
        <f>D508</f>
        <v>0</v>
      </c>
      <c r="E507" s="147"/>
    </row>
    <row r="508" spans="1:5" ht="24" customHeight="1" hidden="1">
      <c r="A508" s="29" t="s">
        <v>37</v>
      </c>
      <c r="B508" s="20" t="s">
        <v>361</v>
      </c>
      <c r="C508" s="31" t="s">
        <v>38</v>
      </c>
      <c r="D508" s="148"/>
      <c r="E508" s="147"/>
    </row>
    <row r="509" spans="1:5" s="36" customFormat="1" ht="13.5" hidden="1">
      <c r="A509" s="158" t="s">
        <v>105</v>
      </c>
      <c r="B509" s="136" t="s">
        <v>106</v>
      </c>
      <c r="C509" s="137"/>
      <c r="D509" s="154">
        <f>D510</f>
        <v>0</v>
      </c>
      <c r="E509" s="149"/>
    </row>
    <row r="510" spans="1:5" ht="13.5" hidden="1">
      <c r="A510" s="26" t="s">
        <v>107</v>
      </c>
      <c r="B510" s="20" t="s">
        <v>664</v>
      </c>
      <c r="C510" s="21"/>
      <c r="D510" s="148">
        <f>D511</f>
        <v>0</v>
      </c>
      <c r="E510" s="147"/>
    </row>
    <row r="511" spans="1:5" ht="13.5" hidden="1">
      <c r="A511" s="29" t="s">
        <v>87</v>
      </c>
      <c r="B511" s="20" t="s">
        <v>664</v>
      </c>
      <c r="C511" s="21" t="s">
        <v>80</v>
      </c>
      <c r="D511" s="148"/>
      <c r="E511" s="147"/>
    </row>
    <row r="512" spans="1:5" ht="13.5">
      <c r="A512" s="29" t="s">
        <v>111</v>
      </c>
      <c r="B512" s="30" t="s">
        <v>112</v>
      </c>
      <c r="C512" s="46" t="s">
        <v>113</v>
      </c>
      <c r="D512" s="148">
        <f>D513</f>
        <v>50000</v>
      </c>
      <c r="E512" s="147"/>
    </row>
    <row r="513" spans="1:4" s="36" customFormat="1" ht="13.5">
      <c r="A513" s="29" t="s">
        <v>109</v>
      </c>
      <c r="B513" s="30" t="s">
        <v>114</v>
      </c>
      <c r="C513" s="46" t="s">
        <v>113</v>
      </c>
      <c r="D513" s="148">
        <f>D514</f>
        <v>50000</v>
      </c>
    </row>
    <row r="514" spans="1:4" ht="13.5">
      <c r="A514" s="27" t="s">
        <v>115</v>
      </c>
      <c r="B514" s="30" t="s">
        <v>116</v>
      </c>
      <c r="C514" s="46" t="s">
        <v>113</v>
      </c>
      <c r="D514" s="148">
        <f>D515</f>
        <v>50000</v>
      </c>
    </row>
    <row r="515" spans="1:4" ht="15.75" customHeight="1">
      <c r="A515" s="29" t="s">
        <v>79</v>
      </c>
      <c r="B515" s="30" t="s">
        <v>116</v>
      </c>
      <c r="C515" s="46" t="s">
        <v>80</v>
      </c>
      <c r="D515" s="148">
        <v>50000</v>
      </c>
    </row>
    <row r="516" spans="1:4" ht="26.25">
      <c r="A516" s="178" t="s">
        <v>456</v>
      </c>
      <c r="B516" s="159" t="s">
        <v>457</v>
      </c>
      <c r="C516" s="160"/>
      <c r="D516" s="154">
        <f>D517</f>
        <v>50000</v>
      </c>
    </row>
    <row r="517" spans="1:4" ht="26.25">
      <c r="A517" s="41" t="s">
        <v>458</v>
      </c>
      <c r="B517" s="30" t="s">
        <v>459</v>
      </c>
      <c r="C517" s="160"/>
      <c r="D517" s="154">
        <f>D518</f>
        <v>50000</v>
      </c>
    </row>
    <row r="518" spans="1:4" ht="22.5" customHeight="1">
      <c r="A518" s="29" t="s">
        <v>724</v>
      </c>
      <c r="B518" s="30" t="s">
        <v>721</v>
      </c>
      <c r="C518" s="160"/>
      <c r="D518" s="154">
        <f>D519</f>
        <v>50000</v>
      </c>
    </row>
    <row r="519" spans="1:4" ht="14.25" thickBot="1">
      <c r="A519" s="170" t="s">
        <v>210</v>
      </c>
      <c r="B519" s="174" t="s">
        <v>721</v>
      </c>
      <c r="C519" s="175">
        <v>300</v>
      </c>
      <c r="D519" s="176">
        <f>50000</f>
        <v>50000</v>
      </c>
    </row>
    <row r="520" spans="1:4" ht="13.5" hidden="1">
      <c r="A520" s="161" t="s">
        <v>205</v>
      </c>
      <c r="B520" s="162" t="s">
        <v>206</v>
      </c>
      <c r="C520" s="163"/>
      <c r="D520" s="154">
        <f>D521</f>
        <v>0</v>
      </c>
    </row>
    <row r="521" spans="1:4" s="36" customFormat="1" ht="13.5" hidden="1">
      <c r="A521" s="29" t="s">
        <v>109</v>
      </c>
      <c r="B521" s="45" t="s">
        <v>207</v>
      </c>
      <c r="C521" s="31"/>
      <c r="D521" s="148">
        <f>D522</f>
        <v>0</v>
      </c>
    </row>
    <row r="522" spans="1:5" ht="13.5" hidden="1">
      <c r="A522" s="29" t="s">
        <v>208</v>
      </c>
      <c r="B522" s="45" t="s">
        <v>209</v>
      </c>
      <c r="C522" s="31"/>
      <c r="D522" s="148">
        <f>D523</f>
        <v>0</v>
      </c>
      <c r="E522" s="164"/>
    </row>
    <row r="523" spans="1:4" ht="14.25" hidden="1" thickBot="1">
      <c r="A523" s="165" t="s">
        <v>210</v>
      </c>
      <c r="B523" s="166" t="s">
        <v>209</v>
      </c>
      <c r="C523" s="167" t="s">
        <v>211</v>
      </c>
      <c r="D523" s="177"/>
    </row>
    <row r="524" spans="1:3" ht="13.5">
      <c r="A524" s="3"/>
      <c r="B524" s="138"/>
      <c r="C524" s="1"/>
    </row>
    <row r="525" spans="1:5" ht="13.5">
      <c r="A525" s="3"/>
      <c r="B525" s="138"/>
      <c r="C525" s="1"/>
      <c r="E525" s="147"/>
    </row>
    <row r="526" spans="1:3" ht="13.5">
      <c r="A526" s="3"/>
      <c r="B526" s="138"/>
      <c r="C526" s="1"/>
    </row>
    <row r="527" spans="1:5" ht="13.5">
      <c r="A527" s="3"/>
      <c r="B527" s="138"/>
      <c r="C527" s="1"/>
      <c r="E527" s="147"/>
    </row>
  </sheetData>
  <sheetProtection/>
  <mergeCells count="9">
    <mergeCell ref="B5:D5"/>
    <mergeCell ref="B6:D6"/>
    <mergeCell ref="B7:D7"/>
    <mergeCell ref="A8:D8"/>
    <mergeCell ref="F8:K8"/>
    <mergeCell ref="A10:A11"/>
    <mergeCell ref="B10:B11"/>
    <mergeCell ref="C10:C11"/>
    <mergeCell ref="D10:D11"/>
  </mergeCells>
  <hyperlinks>
    <hyperlink ref="A233" r:id="rId1" display="consultantplus://offline/ref=C6EF3AE28B6C46D1117CBBA251A07B11C6C7C5768D67668B05322DA1BBA42282C9440EEF08E6CC43410E37U6VAM"/>
  </hyperlinks>
  <printOptions/>
  <pageMargins left="0.7086614173228347" right="0.29" top="0.44" bottom="0.23" header="0.31496062992125984" footer="0.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Юля</cp:lastModifiedBy>
  <cp:lastPrinted>2020-07-27T13:12:59Z</cp:lastPrinted>
  <dcterms:created xsi:type="dcterms:W3CDTF">2019-11-11T19:52:19Z</dcterms:created>
  <dcterms:modified xsi:type="dcterms:W3CDTF">2020-07-31T08:39:57Z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