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995" tabRatio="861" activeTab="9"/>
  </bookViews>
  <sheets>
    <sheet name="Прил №1" sheetId="1" r:id="rId1"/>
    <sheet name="Прил №2" sheetId="2" r:id="rId2"/>
    <sheet name="Прил №3" sheetId="3" r:id="rId3"/>
    <sheet name="Прил №4" sheetId="4" r:id="rId4"/>
    <sheet name="Прил №5 " sheetId="5" r:id="rId5"/>
    <sheet name="Прил №6" sheetId="6" r:id="rId6"/>
    <sheet name="Прил №7" sheetId="7" r:id="rId7"/>
    <sheet name="Прил №8 " sheetId="8" r:id="rId8"/>
    <sheet name="Прил №9 " sheetId="9" r:id="rId9"/>
    <sheet name="Прил №10 " sheetId="10" r:id="rId10"/>
  </sheets>
  <definedNames>
    <definedName name="_xlnm.Print_Area" localSheetId="9">'Прил №10 '!$A$1:$E$435</definedName>
    <definedName name="_xlnm.Print_Area" localSheetId="7">'Прил №8 '!$A$1:$L$637</definedName>
    <definedName name="_xlnm.Print_Area" localSheetId="8">'Прил №9 '!$A$1:$D$502</definedName>
  </definedNames>
  <calcPr fullCalcOnLoad="1"/>
</workbook>
</file>

<file path=xl/sharedStrings.xml><?xml version="1.0" encoding="utf-8"?>
<sst xmlns="http://schemas.openxmlformats.org/spreadsheetml/2006/main" count="15552" uniqueCount="1408">
  <si>
    <t>Сумма</t>
  </si>
  <si>
    <t>Иные межбюджетные трансферты</t>
  </si>
  <si>
    <t>Приложение № 5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</si>
  <si>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2022 год</t>
  </si>
  <si>
    <t>руб.</t>
  </si>
  <si>
    <t xml:space="preserve"> Наименование</t>
  </si>
  <si>
    <t>РЗ</t>
  </si>
  <si>
    <t>ПР</t>
  </si>
  <si>
    <t>ЦСР</t>
  </si>
  <si>
    <t>ВР</t>
  </si>
  <si>
    <t xml:space="preserve">Сумма </t>
  </si>
  <si>
    <t>2</t>
  </si>
  <si>
    <t>3</t>
  </si>
  <si>
    <t>4</t>
  </si>
  <si>
    <t>5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</si>
  <si>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</si>
  <si>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</si>
  <si>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</si>
  <si>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</si>
  <si>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</si>
  <si>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</si>
  <si>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</si>
  <si>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</si>
  <si>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</si>
  <si>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</si>
  <si>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</si>
  <si>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</si>
  <si>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</si>
  <si>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</si>
  <si>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</si>
  <si>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</si>
  <si>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</si>
  <si>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</si>
  <si>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</si>
  <si>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</si>
  <si>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</si>
  <si>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</si>
  <si>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</si>
  <si>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</si>
  <si>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</si>
  <si>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</si>
  <si>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</si>
  <si>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</si>
  <si>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</si>
  <si>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02 0 00 00000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</si>
  <si>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</si>
  <si>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>02 2 00 00000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</si>
  <si>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</si>
  <si>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</si>
  <si>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</si>
  <si>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02 2 02 13170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</si>
  <si>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</si>
  <si>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02 3 00 00000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</si>
  <si>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</si>
  <si>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</si>
  <si>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Содержание работников, осуществляющих переданные государственные полномочия в сфере социальной защиты</t>
  </si>
  <si>
    <t>02 3 02 13220</t>
  </si>
  <si>
    <t xml:space="preserve">Содержание работников, осуществляющих отдельные государственные полномочия по назначению и выплате ежемесячной выплаты на ребенка в возрасте от трех до семи лет включительно    </t>
  </si>
  <si>
    <t>02 3 02 13221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</si>
  <si>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</si>
  <si>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</si>
  <si>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</si>
  <si>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</si>
  <si>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</si>
  <si>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</si>
  <si>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Осуществление отдельных государственных полномочий в сфере архивного дела</t>
  </si>
  <si>
    <t>10 1 01 13360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</si>
  <si>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</si>
  <si>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12 0 00 00000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</si>
  <si>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</si>
  <si>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</si>
  <si>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</si>
  <si>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</si>
  <si>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</si>
  <si>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12 2 01 13180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</si>
  <si>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</si>
  <si>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12 2 01 13480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</si>
  <si>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</si>
  <si>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</si>
  <si>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</si>
  <si>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</si>
  <si>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 xml:space="preserve">Осуществление переданных полномочий 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 </t>
  </si>
  <si>
    <t>73 1 00 П1416</t>
  </si>
  <si>
    <t>73 1 00 С1402</t>
  </si>
  <si>
    <t>Иные бюджетные ассигнования</t>
  </si>
  <si>
    <t>800</t>
  </si>
  <si>
    <t>Непрограммная деятельность органов местного самоуправления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</si>
  <si>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</si>
  <si>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</si>
  <si>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</si>
  <si>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Осуществление отдельных государственных полномочий в сфере трудовых отношений</t>
  </si>
  <si>
    <t>77 1 00 13310</t>
  </si>
  <si>
    <t>Закупка товаров, работ и услуг для государственных (муниципальных) нужд</t>
  </si>
  <si>
    <t>Непрограммные расходы органов местного самоуправления</t>
  </si>
  <si>
    <t>77 2 00 00000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</si>
  <si>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</si>
  <si>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</si>
  <si>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</si>
  <si>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</si>
  <si>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</si>
  <si>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77 2 00 51200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</si>
  <si>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</si>
  <si>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</si>
  <si>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</si>
  <si>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</si>
  <si>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</si>
  <si>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</si>
  <si>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</si>
  <si>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</si>
  <si>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</si>
  <si>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</si>
  <si>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77 3 00 00000</t>
  </si>
  <si>
    <t>Подготовка и проведение выборов</t>
  </si>
  <si>
    <t>77 3 00С1441</t>
  </si>
  <si>
    <t>Резервные фонды</t>
  </si>
  <si>
    <t>11</t>
  </si>
  <si>
    <t>Резервные фонды органов местного самоуправления</t>
  </si>
  <si>
    <t>78 0 00 00000</t>
  </si>
  <si>
    <t/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</si>
  <si>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</si>
  <si>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</si>
  <si>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</si>
  <si>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</si>
  <si>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</si>
  <si>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</si>
  <si>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</si>
  <si>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02 1 00 00000</t>
  </si>
  <si>
    <t>Основное мероприятие "Осуществление мер по  улучшению положения и качества жизни пожилых людей и инвалидов"</t>
  </si>
  <si>
    <t>02 1 02 00000</t>
  </si>
  <si>
    <t>Прочие мероприятия в области социальной политики</t>
  </si>
  <si>
    <t>02 1 02 С1475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</si>
  <si>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</si>
  <si>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</si>
  <si>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</si>
  <si>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</si>
  <si>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</si>
  <si>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</si>
  <si>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</si>
  <si>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</si>
  <si>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02 3 01 13200</t>
  </si>
  <si>
    <t>Предоставление субсидий бюджетным, автономным учреждениям и иным некоммерческим организациям</t>
  </si>
  <si>
    <t>600</t>
  </si>
  <si>
    <t>Оказание финансовой поддержки общественным организациям</t>
  </si>
  <si>
    <t>02 3 01 С1470</t>
  </si>
  <si>
    <t>Выполнение других (прочих) обязательств органа местного самоуправления</t>
  </si>
  <si>
    <t>02 3 02 С1404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</si>
  <si>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</si>
  <si>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</si>
  <si>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</si>
  <si>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</si>
  <si>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</si>
  <si>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</si>
  <si>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</si>
  <si>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</si>
  <si>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».</t>
  </si>
  <si>
    <t>Реализация мероприятий по формированию и содержанию муниципального архива</t>
  </si>
  <si>
    <t>10 1 01 С1438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</si>
  <si>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</si>
  <si>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</si>
  <si>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</si>
  <si>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</si>
  <si>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</si>
  <si>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</si>
  <si>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</si>
  <si>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</si>
  <si>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</si>
  <si>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</si>
  <si>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</si>
  <si>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12 1 01 00000</t>
  </si>
  <si>
    <t>Реализация мероприятий направленных на обеспечение правопорядка на территории муниципального образования</t>
  </si>
  <si>
    <t>12 1 01 С1435</t>
  </si>
  <si>
    <t>Создание комплексной системы мер по профилактике потребления наркотиков и организации лечения алкоголезависимых граждан</t>
  </si>
  <si>
    <t>12 1 01 С1486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</si>
  <si>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</si>
  <si>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</si>
  <si>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</si>
  <si>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</si>
  <si>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</si>
  <si>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</si>
  <si>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</si>
  <si>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</si>
  <si>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</si>
  <si>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20 2 00 00000</t>
  </si>
  <si>
    <t>Основное мероприятие " Безопасность в информационном обществе"</t>
  </si>
  <si>
    <t>20 2 01 00000</t>
  </si>
  <si>
    <t>20 2 01 С1404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</si>
  <si>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</si>
  <si>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</si>
  <si>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</si>
  <si>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</si>
  <si>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</si>
  <si>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</si>
  <si>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</si>
  <si>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Межбюджетные трансферты</t>
  </si>
  <si>
    <t>500</t>
  </si>
  <si>
    <t>Осуществление переданных полномочий Российской Федерации на государственную регистрацию актов гражданского состояния</t>
  </si>
  <si>
    <t>77 1 00 59300</t>
  </si>
  <si>
    <t xml:space="preserve"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
</t>
  </si>
  <si>
    <t>77 1 00 5930F</t>
  </si>
  <si>
    <t>Проведение Всероссийской переписи населения 2020 года</t>
  </si>
  <si>
    <t>77 2 00 54690</t>
  </si>
  <si>
    <t>Расходы на обеспечение деятельности (оказание услуг) муниципальных учреждений</t>
  </si>
  <si>
    <t>77 2 00 С1401</t>
  </si>
  <si>
    <t>77 2 00 С1404</t>
  </si>
  <si>
    <t>Реализация мероприятий по распространению официальной информации</t>
  </si>
  <si>
    <t>77 2 00 С1439</t>
  </si>
  <si>
    <t>Резервные фонды исполнительных органов государственной власти</t>
  </si>
  <si>
    <t>84 0 00 00000</t>
  </si>
  <si>
    <t>84 1 00 00000</t>
  </si>
  <si>
    <t>Резервный фонд  Администрации Курской области</t>
  </si>
  <si>
    <t>84 1 00 10030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</si>
  <si>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</si>
  <si>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</si>
  <si>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</si>
  <si>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</si>
  <si>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</si>
  <si>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</si>
  <si>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</si>
  <si>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</si>
  <si>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</si>
  <si>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</si>
  <si>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</si>
  <si>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</si>
  <si>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</si>
  <si>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</si>
  <si>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</si>
  <si>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</si>
  <si>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</si>
  <si>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</si>
  <si>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</si>
  <si>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13 1 03 С1460</t>
  </si>
  <si>
    <t>Основное мероприятие "Развитие аппаратно-программного комплекса (АПК) "Безопасный город "</t>
  </si>
  <si>
    <t>13 1 04 00000</t>
  </si>
  <si>
    <t>13 1 04 С1406</t>
  </si>
  <si>
    <t>Основное мероприятие "Профилактика и устранение последствий распространения коронавирусной инфекции "</t>
  </si>
  <si>
    <t>13 1 05 00000</t>
  </si>
  <si>
    <t xml:space="preserve">Обеспечение мероприятий, связанных с  профилактикой и устранением  последствий распространения коронавирусной инфекции </t>
  </si>
  <si>
    <t>13 1 05 С2002</t>
  </si>
  <si>
    <t>Национальная экономика</t>
  </si>
  <si>
    <t>Транспорт</t>
  </si>
  <si>
    <t>08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</si>
  <si>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</si>
  <si>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</si>
  <si>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</si>
  <si>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</si>
  <si>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Отдельные мероприятия по другим видам транспорта</t>
  </si>
  <si>
    <t>11 2 01 С1426</t>
  </si>
  <si>
    <t>Дорожное хозяйство (дорожные фонды)</t>
  </si>
  <si>
    <t>09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</si>
  <si>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</si>
  <si>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</si>
  <si>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</si>
  <si>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</si>
  <si>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>Реализация проекта "Народный бюджет"</t>
  </si>
  <si>
    <t>11 1 01 14000</t>
  </si>
  <si>
    <t xml:space="preserve">Ремонт автодороги в д. Елизаветовка  Глушковского района Курской области в рамках проекта "Народный бюджет" </t>
  </si>
  <si>
    <t>11 1 01 14001</t>
  </si>
  <si>
    <t>11 1 01 14002</t>
  </si>
  <si>
    <t>11 1 01 14003</t>
  </si>
  <si>
    <t>Мероприятия по реализации проекта "Народный бюджет"</t>
  </si>
  <si>
    <t>11 1 01 S4000</t>
  </si>
  <si>
    <t>11 1 01 S4001</t>
  </si>
  <si>
    <t>11 1 01 S4002</t>
  </si>
  <si>
    <t>11 1 01 S4003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</si>
  <si>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</si>
  <si>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</si>
  <si>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11 1 01 S3390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</si>
  <si>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</si>
  <si>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</si>
  <si>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</si>
  <si>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</si>
  <si>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Капитальные вложения в объекты государственной (муниципальной) собственности</t>
  </si>
  <si>
    <t>400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</si>
  <si>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</si>
  <si>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</si>
  <si>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</si>
  <si>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</si>
  <si>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</si>
  <si>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</si>
  <si>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11 3 02 С1459</t>
  </si>
  <si>
    <t>Разработка комплексных схем организации дорожного движения</t>
  </si>
  <si>
    <t>11 3 02 С1601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</si>
  <si>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</si>
  <si>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</si>
  <si>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</si>
  <si>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</si>
  <si>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</si>
  <si>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</si>
  <si>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>Основное мероприятие "Проведение муниципальной политики в области имущественных и земельных отношений на территории Глушковского района Курской области "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</si>
  <si>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</si>
  <si>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</si>
  <si>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</si>
  <si>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</si>
  <si>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</si>
  <si>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</si>
  <si>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05 0 00 00000</t>
  </si>
  <si>
    <t xml:space="preserve">Подпрограмма «Энергосбережение в муниципальном образовании  Глушковский  район  Курской области» муниципальной программы Глушковского района Курской области области  "Энергосбережение и повышение энергетической эффективности Глушковского района Курской области на период 2010-2015 года и на перспективу до 2020 года"  </t>
  </si>
  <si>
    <t>05 1 00 00000</t>
  </si>
  <si>
    <t>Основное мероприятие "Энергосбережение и повышение энергетической эффективности в бюджетной сфере"</t>
  </si>
  <si>
    <t>05 1 01 00000</t>
  </si>
  <si>
    <t>Мероприятия в области энергосбережения</t>
  </si>
  <si>
    <t>05 1 01 С1434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</si>
  <si>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</si>
  <si>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>07 0 00 00000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</si>
  <si>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</si>
  <si>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07 2 00 00000</t>
  </si>
  <si>
    <t>Основное мероприятие "Корректировка ПЗЗ, гереральных планов, координирование границ муниципальных образований "</t>
  </si>
  <si>
    <t>07 2 05 00000</t>
  </si>
  <si>
    <t xml:space="preserve">Мероприятия по внесению в  Единый государственный реестр недвижимости сведений о границах муниципальных образований и границах населенных пунктов
</t>
  </si>
  <si>
    <t>07 2 05 13600</t>
  </si>
  <si>
    <t>Мероприятия по  разработке документов территориального планирования и градостроительного зонирования</t>
  </si>
  <si>
    <t>07 2 05 С1416</t>
  </si>
  <si>
    <t xml:space="preserve">Внесение в  Единый государственный реестр недвижимости сведений о границах муниципальных образований и границах населенных пунктов
</t>
  </si>
  <si>
    <t>07 2 05 S3600</t>
  </si>
  <si>
    <t>Осуществление мероприятий  по  разработке документов территориального планирования и градостроительного зонирования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</si>
  <si>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</si>
  <si>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</si>
  <si>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</si>
  <si>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15 1 00 00000</t>
  </si>
  <si>
    <t>Основное мероприятие " Формирование благоприятного инвестиционного климата"</t>
  </si>
  <si>
    <t>15 1 01 00000</t>
  </si>
  <si>
    <t>Создание благоприятных условий для привлечения инвестиций в экономику муниципального образования</t>
  </si>
  <si>
    <t>15 1 01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</si>
  <si>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</si>
  <si>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>15 2 00 00000</t>
  </si>
  <si>
    <t>Основное мероприятие " Формирование благоприятных условий для развития малого и среднего предпринимательства на территории муниципального образования"</t>
  </si>
  <si>
    <t>15 2 01 00000</t>
  </si>
  <si>
    <t>Обеспечение условий для развития малого и среднего предпринимательства на территории муниципального образования</t>
  </si>
  <si>
    <t>15 2 01 С1405</t>
  </si>
  <si>
    <t>Жилищно-коммунальное хозяйство</t>
  </si>
  <si>
    <t>Жилищное хозяйство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</si>
  <si>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</si>
  <si>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</si>
  <si>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</si>
  <si>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</si>
  <si>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07 2 00  00000</t>
  </si>
  <si>
    <t>Основное мероприятие "Создание муниципального маневренного жилищного фонда"</t>
  </si>
  <si>
    <t>07 2 07  00000</t>
  </si>
  <si>
    <t>07 2 07  С1467</t>
  </si>
  <si>
    <t>77 2 00 С1467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</si>
  <si>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</si>
  <si>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</si>
  <si>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</si>
  <si>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</si>
  <si>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06 1 00 00000</t>
  </si>
  <si>
    <t>Основное мероприятие "Обеспечение населения экологически чистой питьевой водой"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</si>
  <si>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</si>
  <si>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</si>
  <si>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</si>
  <si>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</si>
  <si>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Иные межбюджетные трансферты на осуществление полномочий по обеспечению населения экологически чистой питьевой водой</t>
  </si>
  <si>
    <t>06 1 01 П1427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</si>
  <si>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</si>
  <si>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</si>
  <si>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>Создание условий для развития социальной и инженерной инфраструктуры муниципальных образований</t>
  </si>
  <si>
    <t>07 2 03 С1417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</si>
  <si>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</si>
  <si>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</si>
  <si>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Основное мероприятие "Проведение эффективной муниципальной политики по повышению качества предоставляемых  коммунальных услуг  населению "</t>
  </si>
  <si>
    <t>07 2 06 00000</t>
  </si>
  <si>
    <t>Мероприятия в области коммунального хозяйства</t>
  </si>
  <si>
    <t>07 2 06 С1431</t>
  </si>
  <si>
    <t>Охрана окружающей среды</t>
  </si>
  <si>
    <t>Другие вопросы в области охраны окружающей среды</t>
  </si>
  <si>
    <t>Основное мероприятие"Ликвидация накопленного экологического ущерба"</t>
  </si>
  <si>
    <t>06 1 02 00000</t>
  </si>
  <si>
    <t>Мероприятия по обеспечению охраны окружающей среды</t>
  </si>
  <si>
    <t>06 1 02 С 1469</t>
  </si>
  <si>
    <t>Образование</t>
  </si>
  <si>
    <t>Дошкольное образование</t>
  </si>
  <si>
    <t>Муниципальная программа Глушковского района Курской области "Развитие образования в Глушковском районе Курской области"</t>
  </si>
  <si>
    <t>03 0 00 00000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</si>
  <si>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</si>
  <si>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</si>
  <si>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</si>
  <si>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</si>
  <si>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</si>
  <si>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</si>
  <si>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03 1 01 C1401</t>
  </si>
  <si>
    <t>Муниципальная программа Глушковского района Курской области "Энергосбережение и повышение энергетической эффективности в муниципальном районе ""Глушковский район" Курской области</t>
  </si>
  <si>
    <t>Подпрограмма "Проведение эффективной энергосберегающей политики в Глушковском районе Курской области" муниципальной программы "Энергосбережение и повышение энергетической эффективности в муниципальном районе ""Глушковский район" Курской области</t>
  </si>
  <si>
    <t>05 1 00  00000</t>
  </si>
  <si>
    <t>Основное мероприятие: "Повышение энергетической эффективности"</t>
  </si>
  <si>
    <t>Общее образование</t>
  </si>
  <si>
    <t>Основное мероприятие "Региональный проект "Современная школа"</t>
  </si>
  <si>
    <t>03 1 E1 00000</t>
  </si>
  <si>
    <t>Создание  и обеспечение функционирования центров образования естественно-научной и технологической направленностей в  общеобразовательных организациях, расположенных в сельской местности и малых городах</t>
  </si>
  <si>
    <t>03 1 E1 51690</t>
  </si>
  <si>
    <t>Региональный проект "Успех каждого ребенка"</t>
  </si>
  <si>
    <t>03 1 Е2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</si>
  <si>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</si>
  <si>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1 Е2 50970</t>
  </si>
  <si>
    <t>Основное мероприятие "Региональный проект "Цифровая образовательная среда"</t>
  </si>
  <si>
    <t>03 1 Е4 00000</t>
  </si>
  <si>
    <t>Обеспечение образовательных организаций иатериально-технической базой для внедрения цифровой образовательной среды</t>
  </si>
  <si>
    <t>03 1 Е4  52100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</si>
  <si>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</si>
  <si>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</si>
  <si>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</si>
  <si>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1 02 L3040</t>
  </si>
  <si>
    <t xml:space="preserve">Ежемесячное денежное вознаграждение за классное руководство  педагогическим работникам государственных  и муниципальных общеобразовательных  организаций      
</t>
  </si>
  <si>
    <t>03 1 02 53030</t>
  </si>
  <si>
    <t>Расходы по приобретение мебели для муниципальных общеобразовательных учреждений, расположенных в сельских населенных пунктах (рабочих поселках, поселках городского типа)</t>
  </si>
  <si>
    <t>03 1 02 S2762</t>
  </si>
  <si>
    <t>Мероприятия, направленные на предотвращение распространения новой короновирусной инфекции в муниципальных общеобразовательных организациях</t>
  </si>
  <si>
    <t>03 1 02 S2763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</si>
  <si>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</si>
  <si>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</si>
  <si>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Проведение капитального ремонта муниципальных образовательных организаций</t>
  </si>
  <si>
    <t>03 1 02 13050</t>
  </si>
  <si>
    <t>Обеспечение проведения капитального ремонта муниципальных образовательных организаций</t>
  </si>
  <si>
    <t>03 1 02 S3050</t>
  </si>
  <si>
    <t xml:space="preserve"> 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</si>
  <si>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03 1 02 13080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</si>
  <si>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</si>
  <si>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03 1 02 S3080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</si>
  <si>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</si>
  <si>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03 1 02 13090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</si>
  <si>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</si>
  <si>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1 02 S3090</t>
  </si>
  <si>
    <t>03 1 02 C1401</t>
  </si>
  <si>
    <t>Мероприятия в области образования</t>
  </si>
  <si>
    <t>03 1 02 C1447</t>
  </si>
  <si>
    <t>03 1 02 C2002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</si>
  <si>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</si>
  <si>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07 2 02  00000</t>
  </si>
  <si>
    <t>Развитие социальной и инженерной инфраструктуры муниципальных образований Курской области</t>
  </si>
  <si>
    <t>07 2 02 11500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</si>
  <si>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</si>
  <si>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07 2 02 S1500</t>
  </si>
  <si>
    <t>Мероприятия, направленные на  развитие социальной и инженерной инфраструктуры муниципальных образований Курской области за счет средств бюджета муниципального района</t>
  </si>
  <si>
    <t>07 2 02 S1501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</si>
  <si>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</si>
  <si>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</si>
  <si>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</si>
  <si>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</si>
  <si>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</si>
  <si>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</si>
  <si>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17 1 00 00000</t>
  </si>
  <si>
    <t>Основное мероприятие "Реализация мероприятий активной политики занятости населения"</t>
  </si>
  <si>
    <t>17 1 01 00000</t>
  </si>
  <si>
    <t>Развитие рынка труда, повышение эффективности занятости населения</t>
  </si>
  <si>
    <t>17 1 01 С1436</t>
  </si>
  <si>
    <t>Муниципальная программа Глушковского района Курской области «Формирование законопослушного поведения участников дорожного движения на территории Глушковского района Курской области на 2020-2022  годы»</t>
  </si>
  <si>
    <t>18 0 00 00000</t>
  </si>
  <si>
    <t>Подпрограмма" Повышение правового сознания и предупреждение опасного поведения участников дорожного движения" муниципальной программы Глушковского района Курской области «Формирование законопослушного поведения участников дорожного движения на территории Глушковского района Курской области на 2020-2022  годы»</t>
  </si>
  <si>
    <t>18 1 00 00000</t>
  </si>
  <si>
    <t>Основное мероприятие " Предупреждение опасного поведения участников дорожного движения и профилактика дорожно-транспортных проишествий"</t>
  </si>
  <si>
    <t>18 1 01 00000</t>
  </si>
  <si>
    <t>18 1 01 С1459</t>
  </si>
  <si>
    <t>Дополнительное образование детей</t>
  </si>
  <si>
    <t>Основное мероприятие "Региональный проект "Успех каждого ребенка"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</si>
  <si>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направленностей.</t>
  </si>
  <si>
    <t>03 1 Е2 54910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</si>
  <si>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</si>
  <si>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</si>
  <si>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</si>
  <si>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</si>
  <si>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</si>
  <si>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>Основное мероприятие "Обеспечение функционирования модели персонифицированного финансирования дополнительного образования  детей"</t>
  </si>
  <si>
    <t>03 2 05 00000</t>
  </si>
  <si>
    <t>03 2 05 С1401</t>
  </si>
  <si>
    <t xml:space="preserve">Молодежная политика 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</si>
  <si>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</si>
  <si>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</si>
  <si>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</si>
  <si>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</si>
  <si>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</si>
  <si>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08 1 01 00000</t>
  </si>
  <si>
    <t>Реализация мероприятий в сфере молодежной политики</t>
  </si>
  <si>
    <t>08 1 01 С1414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</si>
  <si>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</si>
  <si>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</si>
  <si>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</si>
  <si>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</si>
  <si>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</si>
  <si>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</si>
  <si>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</si>
  <si>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</si>
  <si>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Развитие системы оздоровления и отдыха детей</t>
  </si>
  <si>
    <t>08 3 01 С1458</t>
  </si>
  <si>
    <t>Основное мероприятие "Организация малозатратных форм детского отдыха"</t>
  </si>
  <si>
    <t>08 3 02 00000</t>
  </si>
  <si>
    <t>08 3 02 С1458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</si>
  <si>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</si>
  <si>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</si>
  <si>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Проведение капитального ремонта муниципальных организаций отдыха детей и их оздоровления Курской области</t>
  </si>
  <si>
    <t>08 3 03 10070</t>
  </si>
  <si>
    <t xml:space="preserve">Обеспечение расходных обязательств, связанных с проведением  капитального ремонта муниципальных организаций отдыха детей и их оздоровления  </t>
  </si>
  <si>
    <t>08 3 03 S0070</t>
  </si>
  <si>
    <t>08 3 03 С1401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</si>
  <si>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</si>
  <si>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08 3 03 С2002</t>
  </si>
  <si>
    <t>Другие вопросы в области образования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</si>
  <si>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</si>
  <si>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</si>
  <si>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</si>
  <si>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</si>
  <si>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</si>
  <si>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Основное мероприятие "Сопровождение реализации отдельных мероприятий  муниципальной программы"</t>
  </si>
  <si>
    <t>03 4 02 00000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</si>
  <si>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</si>
  <si>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03 4 02 13120</t>
  </si>
  <si>
    <t>03 4 02 С1447</t>
  </si>
  <si>
    <t>Непрограммные расходы на обеспечение деятельности муниципальных казенных учреждений</t>
  </si>
  <si>
    <t>79 0 00 00000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</si>
  <si>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</si>
  <si>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79 1 00 00000</t>
  </si>
  <si>
    <t>Прочие мероприятия в области образования</t>
  </si>
  <si>
    <t>79 1 00 12420</t>
  </si>
  <si>
    <t>Культура , кинематография</t>
  </si>
  <si>
    <t>Культура</t>
  </si>
  <si>
    <t>Муниципальная программа Глушковского района Курской области "Развитие культуры в Глушковском районе Курской области"</t>
  </si>
  <si>
    <t>01 0 00 00000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</si>
  <si>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</si>
  <si>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</si>
  <si>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01 1 00 00000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</si>
  <si>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</si>
  <si>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</si>
  <si>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>01 1 01 С1401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</si>
  <si>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</si>
  <si>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</si>
  <si>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</si>
  <si>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01 2 00 00000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</si>
  <si>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</si>
  <si>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</si>
  <si>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</si>
  <si>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</si>
  <si>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Государственная поддержка лучших работников сельских  учреждений культуры</t>
  </si>
  <si>
    <t>79 1 00 L5191</t>
  </si>
  <si>
    <t>Другие вопросы  в области культуры, кинематографии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</si>
  <si>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</si>
  <si>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</si>
  <si>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"Обеспечение деятельности учреждения  МКУ "Глушковская ЦБ учреждений культуры" </t>
  </si>
  <si>
    <t>01 3 01 00000</t>
  </si>
  <si>
    <t>01 3 01 С1401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</si>
  <si>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</si>
  <si>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</si>
  <si>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</si>
  <si>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01 3 02 13340</t>
  </si>
  <si>
    <t>Здравоохранение</t>
  </si>
  <si>
    <t>Санитарно-эпидемиологическое благополучие</t>
  </si>
  <si>
    <t>Организация мероприятий при   осуществлении деятельности по обращению с животными без владельцев</t>
  </si>
  <si>
    <t>77 2 00 12700</t>
  </si>
  <si>
    <t>Социальная политика</t>
  </si>
  <si>
    <t>Пенсионное обеспечение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</si>
  <si>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</si>
  <si>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</si>
  <si>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</si>
  <si>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</si>
  <si>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</si>
  <si>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 xml:space="preserve">10 </t>
  </si>
  <si>
    <t>02 1 03 С1445</t>
  </si>
  <si>
    <t>Социальное обеспечение населения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</si>
  <si>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</si>
  <si>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01 3 03 00000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</si>
  <si>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</si>
  <si>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01 3  03 13350</t>
  </si>
  <si>
    <t>Муниципальная программа Глушковского района Курской области «Социальная поддержка граждан в Глушковском   районе Курской области ».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</si>
  <si>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</si>
  <si>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</si>
  <si>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</si>
  <si>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Обеспечение мер социальной поддержки реабилитированных лиц и лиц, признанных пострадавшими от политических репрессий</t>
  </si>
  <si>
    <t>02 1 01 11170</t>
  </si>
  <si>
    <t>Предоставление социальной поддержки отдельным категориям граждан по обеспечению продовольственными товарами</t>
  </si>
  <si>
    <t>02 1 01 11180</t>
  </si>
  <si>
    <t>Обеспечение  мер  социальной  поддержки  ветеранов  труда</t>
  </si>
  <si>
    <t>02 1 01 13150</t>
  </si>
  <si>
    <t>Обеспечение  мер  социальной  поддержки труженников тыла</t>
  </si>
  <si>
    <t>02 1 01 13160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</si>
  <si>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</si>
  <si>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</si>
  <si>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</si>
  <si>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03 1 03 13070</t>
  </si>
  <si>
    <t>Основное мероприятие "Социальная поддержка работников организаций дополнительного образования"</t>
  </si>
  <si>
    <t>03 2 04 00000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</si>
  <si>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</si>
  <si>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>03 2 04 13070</t>
  </si>
  <si>
    <t>03 2 05 13070</t>
  </si>
  <si>
    <t xml:space="preserve">Охрана семьи и детства </t>
  </si>
  <si>
    <t>Ежемесячное пособие на ребенка</t>
  </si>
  <si>
    <t>02 1 01 11130</t>
  </si>
  <si>
    <t>Ежемесячная выплата  на детей в возрасте от трех до семи лет включительно</t>
  </si>
  <si>
    <t>02 1 01 R3020</t>
  </si>
  <si>
    <t>Ежемесячная выплата  на детей в возрасте от трех до семи лет включительно (с софинансированием расходов из средств резервного фонда Правительства Российской Федерации)</t>
  </si>
  <si>
    <t>02 1 01 R302F</t>
  </si>
  <si>
    <t>Ежемесячная выплата  на детей в возрасте от трех до семи лет включительно, за счет средств областного бюджета</t>
  </si>
  <si>
    <t>02 1 01 R3021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</si>
  <si>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</si>
  <si>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</si>
  <si>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</si>
  <si>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Содержание ребенка в семье опекуна и приемной семье, а также вознаграждение, причитающееся приемному родителю</t>
  </si>
  <si>
    <t>02 2 01 13190</t>
  </si>
  <si>
    <t>Муниципальная программа  Глушковского района Курской области "Развитие образования в Глушковском районе Курской области"</t>
  </si>
  <si>
    <t>03 1 01 С1401</t>
  </si>
  <si>
    <t>Выплата компенсации части родительской платы</t>
  </si>
  <si>
    <t>03 1 01 13000</t>
  </si>
  <si>
    <t>03 1 01 13040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</si>
  <si>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</si>
  <si>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77 2 00 R0821</t>
  </si>
  <si>
    <t>Физическая культура  и спорт</t>
  </si>
  <si>
    <t xml:space="preserve">Физическая культура  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</si>
  <si>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</si>
  <si>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</si>
  <si>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</si>
  <si>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</si>
  <si>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</si>
  <si>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</si>
  <si>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Основное мероприятие "Организация  деятельности и функционирование МКУ "Спортивная школа"Глушково"</t>
  </si>
  <si>
    <t>08 2 03 00000</t>
  </si>
  <si>
    <t>08 2 03 С1401</t>
  </si>
  <si>
    <t>08 2 03 С2002</t>
  </si>
  <si>
    <t>Основное мероприятие "Содействие  созданию объектов инфраструктуры для занятий физической культурой и спортом"</t>
  </si>
  <si>
    <t>08 2 04 00000</t>
  </si>
  <si>
    <t>08 2 04 С1406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</si>
  <si>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</si>
  <si>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</si>
  <si>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</si>
  <si>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</si>
  <si>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</si>
  <si>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</si>
  <si>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</si>
  <si>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</si>
  <si>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</si>
  <si>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</si>
  <si>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</si>
  <si>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</si>
  <si>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</si>
  <si>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</si>
  <si>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</si>
  <si>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</si>
  <si>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</si>
  <si>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</si>
  <si>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</si>
  <si>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Выравнивание бюджетной обеспеченности поселений (включая городские округа)</t>
  </si>
  <si>
    <t>14 2 01 13450</t>
  </si>
  <si>
    <t>Приложение № 6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</si>
  <si>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 на  плановый период 2023 и 2024 г.г.</t>
  </si>
  <si>
    <t>Сумма на 2023 год</t>
  </si>
  <si>
    <t>Сумма на 2024 год</t>
  </si>
  <si>
    <t>Условно утвержденные расходы</t>
  </si>
  <si>
    <t>Муниципальная программа  Глушковского района Курской области «Развитие муниципальной службы в Глушковском районе Курской области »</t>
  </si>
  <si>
    <t xml:space="preserve">Ремонт автодороги в с. Кульбаки  Глушковского района Курской области в рамках проекта "Народный бюджет" </t>
  </si>
  <si>
    <t xml:space="preserve">Ремонт автодороги в д. Серповка  Глушковского района Курской области в рамках проекта "Народный бюджет" </t>
  </si>
  <si>
    <t xml:space="preserve">Ремонт автодороги по ул. Средняя в с. Кобылки  Глушковского района Курской области в рамках проекта "Народный бюджет" 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</si>
  <si>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</si>
  <si>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07 2 05 П1416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</si>
  <si>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</si>
  <si>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</si>
  <si>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</si>
  <si>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</si>
  <si>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</si>
  <si>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07 2 04 S3260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</si>
  <si>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</si>
  <si>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дополнительного образования детей</t>
  </si>
  <si>
    <t>03 1 Е4 52100</t>
  </si>
  <si>
    <t>03 2 01 C2002</t>
  </si>
  <si>
    <t>03 4 01 С2002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</si>
  <si>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» 
</t>
  </si>
  <si>
    <t>Приложение № 7</t>
  </si>
  <si>
    <t>Ведомственная структура расходов бюджета                                                                                                                                 муниципального района " Глушковский район" Курской  области   на 2022 год</t>
  </si>
  <si>
    <t>ГРБС</t>
  </si>
  <si>
    <t>Бюджет 2022 год</t>
  </si>
  <si>
    <t>КБК 207 113</t>
  </si>
  <si>
    <t>6</t>
  </si>
  <si>
    <t>7</t>
  </si>
  <si>
    <t>Администрация Глушковского района    Курской области</t>
  </si>
  <si>
    <t>001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</si>
  <si>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</si>
  <si>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</si>
  <si>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13 1 04 С1460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</si>
  <si>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</si>
  <si>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Основное мероприятие "Корректировка ПЗЗ, генеральных планов, координирование границ муниципальных образований "</t>
  </si>
  <si>
    <t>06 1 00 000000</t>
  </si>
  <si>
    <t>06 1 01 000000</t>
  </si>
  <si>
    <t>Осуществление полномочий по обеспечению населения экологически чистой питьевой водой</t>
  </si>
  <si>
    <t>06 1 01 С1427</t>
  </si>
  <si>
    <t>07 2 02 00000</t>
  </si>
  <si>
    <t>06 1 02 000000</t>
  </si>
  <si>
    <t xml:space="preserve">Молодежная политика  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</si>
  <si>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</si>
  <si>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 xml:space="preserve">Муниципальная программа Глушковского района Курской области "Повышение эффективности управления финансами  Глушковского района Курской области"
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</si>
  <si>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</si>
  <si>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</si>
  <si>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</si>
  <si>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</si>
  <si>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03 1 01 13050</t>
  </si>
  <si>
    <t>03 1 01 S3050</t>
  </si>
  <si>
    <t>Реализация мероприятийгосударственной программы Российской Федерации "Доступная среда" на 2011-2020 годы</t>
  </si>
  <si>
    <t>03 1 01 L0270</t>
  </si>
  <si>
    <t>03 1 01 С2002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</si>
  <si>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</si>
  <si>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R0970</t>
  </si>
  <si>
    <t>03 1 02 L0970</t>
  </si>
  <si>
    <t>03 1 02 S3060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</si>
  <si>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</si>
  <si>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Основное мероприятие " Предупреждение опасного поведения участников дорожного движения и профилактика дорожнотранспортных проишествий"</t>
  </si>
  <si>
    <t>Муниципальная программа  Глушковского района Курской области «Социальная поддержка граждан в Глушковском   районе Курской области ».</t>
  </si>
  <si>
    <t xml:space="preserve">Отдел Культуры Администрации Глушковского района Курской области </t>
  </si>
  <si>
    <t>005</t>
  </si>
  <si>
    <t>Проведение мероприятий в области образования</t>
  </si>
  <si>
    <t>03 2 1462</t>
  </si>
  <si>
    <t xml:space="preserve">Культура </t>
  </si>
  <si>
    <t>Гранты на развитие культуры и искусства</t>
  </si>
  <si>
    <t>01 1 01 11820</t>
  </si>
  <si>
    <t>Проведение капитального ремонта учреждений культуры районов и поселений</t>
  </si>
  <si>
    <t>01 1 01 13320</t>
  </si>
  <si>
    <t>Приложение № 8</t>
  </si>
  <si>
    <t>Ведомственная структура расходов бюджета                                                                                                                                                                                                       муниципального района " Глушковский район" Курской области                                                                                                                                                 на  плановый период 2023 и 2024 г.г.</t>
  </si>
  <si>
    <t>Бюджет 2023 год</t>
  </si>
  <si>
    <t>Сумма на 2023 г.</t>
  </si>
  <si>
    <t>Бюджет 2024 год</t>
  </si>
  <si>
    <t>Сумма на 2024г.</t>
  </si>
  <si>
    <t>Приложение № 9</t>
  </si>
  <si>
    <t>01 0 0000000</t>
  </si>
  <si>
    <t xml:space="preserve"> 01 1 01 С1401</t>
  </si>
  <si>
    <t>Обеспечение образовательных организаций материально-технической базой для внедрения цифровой образовательной среды</t>
  </si>
  <si>
    <t>03 1 01 C2002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</si>
  <si>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</si>
  <si>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</si>
  <si>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</si>
  <si>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</si>
  <si>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</si>
  <si>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Основное мероприятие "Ликвидация накопленного экологического ущерба"</t>
  </si>
  <si>
    <t>06 1 02 С1469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</si>
  <si>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</si>
  <si>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</si>
  <si>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Основное мероприятие " Предупреждение опасного поведения участников дорожного движения и профилактика дорожно-транспортных происшествий"</t>
  </si>
  <si>
    <t>Проведение Всероссийской сельскохозяйственной переписи в 2016 году</t>
  </si>
  <si>
    <t>77 2 00 53910</t>
  </si>
  <si>
    <t>77 3 00 С1441</t>
  </si>
  <si>
    <t>Государственная поддержка лучших  работников  сельских учреждений  культуры</t>
  </si>
  <si>
    <t>Приложение № 10</t>
  </si>
  <si>
    <t>Распределение бюджетных ассигнований по целевым статьям (муниципальным программам                                                                                                                 Глушковского района Курской области и непрограммным направлениям деятельности), группам видов расходов                                                                                            на  плановый период 2023 и 2024 г.г.</t>
  </si>
  <si>
    <t>Сумма                      на 2023 год</t>
  </si>
  <si>
    <t>Сумма                      на 2024 год</t>
  </si>
  <si>
    <t>02 1 02 С1445</t>
  </si>
  <si>
    <t>03 2 Е2 00000</t>
  </si>
  <si>
    <t>03 2 Е2 54910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</si>
  <si>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</si>
  <si>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</si>
  <si>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77 2 00 С1469</t>
  </si>
  <si>
    <t>Государственная поддержка лучших муниципальных учреждений культуры</t>
  </si>
  <si>
    <t>79 1 00 L5195</t>
  </si>
  <si>
    <t>11 1 01 13390</t>
  </si>
  <si>
    <t>Основное мероприятие "Обеспечение жилыми помещениями детей-сирот и детей, оставшихся без попечения родителей, лиц из их числа"</t>
  </si>
  <si>
    <t>02 2 04 00000</t>
  </si>
  <si>
    <t>02 2 04 R0821</t>
  </si>
  <si>
    <t>обл</t>
  </si>
  <si>
    <t>соб</t>
  </si>
  <si>
    <t>фед</t>
  </si>
  <si>
    <t>03 5 00 00000</t>
  </si>
  <si>
    <t>Подпрограмма "Создание новых мест в общеобразовательных организациях Глушковского района Курской области в соответствии с прогнозируемой потребностью и современными условиями обучения"</t>
  </si>
  <si>
    <t>Основное мероприятие "Введение новых мест в общеобразовательных организациях Курской области, в том числе путем строительства объектов инфраструктуры общего образования"</t>
  </si>
  <si>
    <t>03 5 01 00000</t>
  </si>
  <si>
    <t>03 5 01 С1401</t>
  </si>
  <si>
    <t xml:space="preserve">к  решению Представительного  собрания Глушковского района Курской области "О  бюджете муниципального района "Глушковский район" Курской области на 2022 год и плановый период 2023 и 2024 г.г."  от  22 декабря   2022 г. № 276  </t>
  </si>
  <si>
    <t>к  решению Представительного  собрания Глушковского района Курской области от 22 декабря 2021 г. № 276                          "О  бюджете муниципального района "Глушковский район" Курской области на 2022 год и плановый период 2023 и 2024 г.г."</t>
  </si>
  <si>
    <t>к решению Представительного  собрания  Глушковского района Курской области от 22 декабря 2022 г. № 276 "О бюджете муниципального района "Глушковский район" Курской области на 2022 год и плановый период 2023 и 2024 г.г."</t>
  </si>
  <si>
    <t>03 1 03 12799</t>
  </si>
  <si>
    <t xml:space="preserve"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образовательных организаций </t>
  </si>
  <si>
    <t xml:space="preserve">01 3 03 00000 </t>
  </si>
  <si>
    <t>01 3 03 12802</t>
  </si>
  <si>
    <t xml:space="preserve"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учреждений культуры  </t>
  </si>
  <si>
    <t>03 1 03 12800</t>
  </si>
  <si>
    <t>Осуществление отдельного государственного полномочия по финансовому обеспечению расходов по оплате стоимости аренды жилых помещений, предоставляемых в соответствии с законодательством Курской области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</si>
  <si>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03 2 04 12799</t>
  </si>
  <si>
    <t>03 2 04 12800</t>
  </si>
  <si>
    <t>к  решению Представительного  собрания   Глушковского района Курской области  от   22 декабря  2021 г.  № 276 "О  бюджете муниципального района "Глушковский район" Курской области на 2022 год и плановый период 2023 и 2024 г.г."</t>
  </si>
  <si>
    <t>к решению Представительного  собрания   Глушковского района Курской области от 22 декабря 2021 г. № 276 "О бюджете муниципального района "Глушковский район" Курской области на 2022 год и плановый период 2023 и 2024 г.г."</t>
  </si>
  <si>
    <t xml:space="preserve">Ремонт автодороги в с. Званное  Глушковского района Курской области в рамках проекта "Народный бюджет" </t>
  </si>
  <si>
    <t>Распределение бюджетных ассигнований по целевым статьям                                                                                       (муниципальным программам  Глушковского района Курской области                                                                        и непрограммным направлениям деятельности), группам видов расходов на 2022 год</t>
  </si>
  <si>
    <t>( в редакции решения Представительного собрания Глушковского района  Курской области  от  29 сентября  2022г.  № 318       )</t>
  </si>
  <si>
    <t>( в редакции решения Представительного собрания Глушковского   р-на Курской обл. от 29 сентября  2022 г.  №318            )</t>
  </si>
  <si>
    <t>( в редакции решения Представительного собрания Глушковского   района Курской области  от  29 сентября  2022 г.  № 318            )</t>
  </si>
  <si>
    <t>( в редакции решения Представительного собрания Глушковского   р-на Курской области  от 29сентября  2022 г.  №318             )</t>
  </si>
  <si>
    <t>( в редакции решения Представительного собрания Глушковского района  Курской области  от 29 сентября   2022 г.  №318       )</t>
  </si>
  <si>
    <t>( в редакции решения Представительного собрания Глушковского района  Курской области  от 29 сентября  2022 г.  №318      )</t>
  </si>
  <si>
    <t xml:space="preserve">                                                                                            Приложение №1</t>
  </si>
  <si>
    <t xml:space="preserve"> к решению Представительного  собрания </t>
  </si>
  <si>
    <t>Глушковского района Курской области</t>
  </si>
  <si>
    <t>"О бюджете  муниципального района "Глушковский  район" Курской области на 2022 год и плановый период 2023 и 2024 годов " от "22"  декабря  2021 года №276</t>
  </si>
  <si>
    <t>( в редакции решения Представительного  собрания Глушковского района Курской области</t>
  </si>
  <si>
    <t xml:space="preserve">  </t>
  </si>
  <si>
    <t xml:space="preserve"> источники финансирования дефицита бюджета муниципального района "Глушковский  район" </t>
  </si>
  <si>
    <t>Курской области на 2022 год</t>
  </si>
  <si>
    <t>рублей</t>
  </si>
  <si>
    <t>Код бюджетной классификации Российской Федерации</t>
  </si>
  <si>
    <t>Наименование источников финансирования дефицита бюджета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</si>
  <si>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</si>
  <si>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</si>
  <si>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</si>
  <si>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</si>
  <si>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01 02 00 00 00 0000 000</t>
  </si>
  <si>
    <t xml:space="preserve">Кредиты кредитных  организаций в валюте Российской Федерации </t>
  </si>
  <si>
    <t>01 02 00 00 00 0000 700</t>
  </si>
  <si>
    <t>Получение  кредитов  от кредитных организаций в валюте Российской Федерации</t>
  </si>
  <si>
    <t>01 02 00 00 05 0000 710</t>
  </si>
  <si>
    <t>Получение  кредитов  от кредитных организаций бюджетами муниципальных районов в валюте Российской Федерации</t>
  </si>
  <si>
    <t>01 02 00 00 00 0000 800</t>
  </si>
  <si>
    <t>Погашение кредитов, предоставленных  кредитными организациями в валюте Российской Федерации</t>
  </si>
  <si>
    <t>01 02 00 00 05 0000 810</t>
  </si>
  <si>
    <t>Погашение бюджетами муниципальных районов кредитов  от кредитных организаций в валюте Российской Федерации</t>
  </si>
  <si>
    <t>01  03  00  00  00  0000  000</t>
  </si>
  <si>
    <t>Бюджетные кредиты из других бюджетов бюджетной  системы Российской Федерации</t>
  </si>
  <si>
    <t>01  03  01  00  00  0000  700</t>
  </si>
  <si>
    <t>Привлечение бюджетных кредитов от  других бюджетов бюджетной системы Российской  Федерации в валюте Российской Федерации</t>
  </si>
  <si>
    <t>01  03  01  00  05  0000  710</t>
  </si>
  <si>
    <t>Привлечение   кредитов от других бюджетов бюджетной системы  Российской Федерации бюджетами муниципальных районов в валюте Российской  Федерации</t>
  </si>
  <si>
    <t xml:space="preserve">01  03  01  00  05 5003  710 </t>
  </si>
  <si>
    <t>Привлечение бюжетных кредитов  для частичного покрытия дефицита бюджета муниципального района  в валюте Российской Федерации</t>
  </si>
  <si>
    <t>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</si>
  <si>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</si>
  <si>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01  03  01  00  05  0000  810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</si>
  <si>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</si>
  <si>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01  03  01  00  05  5000  810</t>
  </si>
  <si>
    <t>Бюджетные  кредиты,  представленные  для частичного покрытия дефицитов бюджетов муниципальных районов</t>
  </si>
  <si>
    <t>01  03  01  00  05  5003   810</t>
  </si>
  <si>
    <t>Бюджетные кредиты, предоставленные для частичного покрытия дефицитов бюджетов муниципальных  районов, возврат которых осуществляется  муниципальными районами.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</si>
  <si>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</si>
  <si>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</si>
  <si>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</si>
  <si>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</si>
  <si>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</si>
  <si>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</si>
  <si>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</si>
  <si>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</si>
  <si>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</si>
  <si>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Увеличение прочих остатков денежных средств  бюджетов муниципальных районов</t>
  </si>
  <si>
    <t>,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</si>
  <si>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</si>
  <si>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</si>
  <si>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</si>
  <si>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</si>
  <si>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</si>
  <si>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</si>
  <si>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</si>
  <si>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Уменьшение прочих остатков денежных средств  бюджетов муниципальных районов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</si>
  <si>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</si>
  <si>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</si>
  <si>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</si>
  <si>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</si>
  <si>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</si>
  <si>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</si>
  <si>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01  06  05  02  05  0000  640</t>
  </si>
  <si>
    <t>Возврат бюджетных  кредитов, предоставленных  другим бюджетам бюджетной системы   Российской Федерации из бюджета муниципального района  в валюте Российской Федерации</t>
  </si>
  <si>
    <t>01  06  05  02  05  5003   640</t>
  </si>
  <si>
    <t xml:space="preserve">Бюджетные кредиты, предоставленные для частичного покрытия  дефицитов бюджетов муниципальных образований, возврат которых осуществляется муниципальными образованиями </t>
  </si>
  <si>
    <t>01  06  05  02  05  5000  640</t>
  </si>
  <si>
    <t>Бюджетные кредиты, предоставленные для частичного покрытия дефицитов бюджетов муниципальных районов</t>
  </si>
  <si>
    <t xml:space="preserve">01  06  05  02  05  5003  640 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</si>
  <si>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</si>
  <si>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01  06  05  00  00  0000  500</t>
  </si>
  <si>
    <t>Предоставление бюджетных кредитов внутри страны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</si>
  <si>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</si>
  <si>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 из бюджетов муниципальных районов в валюте Российской Федерации</t>
  </si>
  <si>
    <t>01  06  05  02  05  5003  540</t>
  </si>
  <si>
    <t>Бюджетные кредиты, предоставленные для частичного  покрытия дефицитов  бюджетов муниципальных образований, возврат котрых осуществляется муниципальными образованиями</t>
  </si>
  <si>
    <t>01  06  05  02  05  5000  540</t>
  </si>
  <si>
    <t>Бюджетные кредиты, предоставленные для частичного покрытия дефицитов бюджетов</t>
  </si>
  <si>
    <t>Бюджетные кредиты, предоставленные  для частичного покрытия  дефицитов бюджетов муниципальных образований,возврат  которых осуществляется муниципальными образованиями</t>
  </si>
  <si>
    <t xml:space="preserve">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</si>
  <si>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       к решению Представительного  собрания </t>
  </si>
  <si>
    <t xml:space="preserve"> </t>
  </si>
  <si>
    <t xml:space="preserve">                                    от "26"  сентября  2012г. № ___</t>
  </si>
  <si>
    <t>Курской области на плановый период 2023 и 2024 годов</t>
  </si>
  <si>
    <t>2023</t>
  </si>
  <si>
    <t xml:space="preserve">                                    от "29"  сентября  2022г. № 318)</t>
  </si>
  <si>
    <t>( в редакции Решения Представительного собрания Глушковского района Курской области от "29" сентября 2022 г №318)</t>
  </si>
  <si>
    <t xml:space="preserve">                                  Приложение №  3</t>
  </si>
  <si>
    <t>к решению представительного собрания</t>
  </si>
  <si>
    <t xml:space="preserve">                                    Глушковского района Курской области</t>
  </si>
  <si>
    <t xml:space="preserve">"О бюджете муниципального района "Глушковский район"  </t>
  </si>
  <si>
    <t xml:space="preserve">  Курской области на 2022год и плановый период 2023 и 2024 годов. "</t>
  </si>
  <si>
    <t>от " 22 "  декабря  2021г.  № 276</t>
  </si>
  <si>
    <t>( в редакции решения Представительного</t>
  </si>
  <si>
    <t>собрания Глушковского района  Курской области</t>
  </si>
  <si>
    <t>от " 29 "  сентября  2022г. № 318 )</t>
  </si>
  <si>
    <t>Прогнозируемое поступление доходов  в  бюджет</t>
  </si>
  <si>
    <t xml:space="preserve">муниципального района "Глушковский район" Курской области </t>
  </si>
  <si>
    <t>в 2022 году</t>
  </si>
  <si>
    <t xml:space="preserve">  рублей</t>
  </si>
  <si>
    <t>Наименование доходов</t>
  </si>
  <si>
    <t>Сумма   на   2022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</si>
  <si>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</si>
  <si>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</si>
  <si>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</si>
  <si>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</si>
  <si>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</si>
  <si>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</si>
  <si>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</si>
  <si>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</si>
  <si>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</si>
  <si>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</si>
  <si>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</si>
  <si>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</si>
  <si>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</si>
  <si>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</si>
  <si>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</si>
  <si>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</si>
  <si>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</si>
  <si>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</si>
  <si>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</si>
  <si>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</si>
  <si>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</si>
  <si>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</si>
  <si>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</si>
  <si>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</si>
  <si>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</si>
  <si>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</si>
  <si>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</si>
  <si>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</si>
  <si>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</si>
  <si>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</si>
  <si>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</si>
  <si>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</si>
  <si>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</si>
  <si>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</si>
  <si>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</si>
  <si>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</si>
  <si>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</si>
  <si>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</si>
  <si>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</si>
  <si>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</si>
  <si>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</si>
  <si>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</si>
  <si>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 доходы</t>
  </si>
  <si>
    <t>105 01011 01 0000 110</t>
  </si>
  <si>
    <t>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</si>
  <si>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</si>
  <si>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</si>
  <si>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</si>
  <si>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</si>
  <si>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</si>
  <si>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105 02000 02 0000 110</t>
  </si>
  <si>
    <t>Единый налог на вмененный доход для отдельных видов деятельности</t>
  </si>
  <si>
    <t>105 02010 02 0000 110</t>
  </si>
  <si>
    <t>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</si>
  <si>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</si>
  <si>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</si>
  <si>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</si>
  <si>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</si>
  <si>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</si>
  <si>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</si>
  <si>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</si>
  <si>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</si>
  <si>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</si>
  <si>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</si>
  <si>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</si>
  <si>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</si>
  <si>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</si>
  <si>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</si>
  <si>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</si>
  <si>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</si>
  <si>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</si>
  <si>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</si>
  <si>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</si>
  <si>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</si>
  <si>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</si>
  <si>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</si>
  <si>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</si>
  <si>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</si>
  <si>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</si>
  <si>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</si>
  <si>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</si>
  <si>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</si>
  <si>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</si>
  <si>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</si>
  <si>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</si>
  <si>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</si>
  <si>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</si>
  <si>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</si>
  <si>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</si>
  <si>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</si>
  <si>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</si>
  <si>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</si>
  <si>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</si>
  <si>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</si>
  <si>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</si>
  <si>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</si>
  <si>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</si>
  <si>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</si>
  <si>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</si>
  <si>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</si>
  <si>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</si>
  <si>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</si>
  <si>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</si>
  <si>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</si>
  <si>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</si>
  <si>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</si>
  <si>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</si>
  <si>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</si>
  <si>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</si>
  <si>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</si>
  <si>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</si>
  <si>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</si>
  <si>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</si>
  <si>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</si>
  <si>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</si>
  <si>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</si>
  <si>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</si>
  <si>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</si>
  <si>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</si>
  <si>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</si>
  <si>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</si>
  <si>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</si>
  <si>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</si>
  <si>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</si>
  <si>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</si>
  <si>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</si>
  <si>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</si>
  <si>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</si>
  <si>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</si>
  <si>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</si>
  <si>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</si>
  <si>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сбросы загрязняющих веществ в водные объекты</t>
  </si>
  <si>
    <t>112 01030 01 0000 120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</si>
  <si>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</si>
  <si>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</si>
  <si>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</si>
  <si>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</si>
  <si>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</si>
  <si>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</si>
  <si>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</si>
  <si>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 И КОМПЕНСАЦИИ ЗАТРАТ ГОСУДАРСТВА</t>
  </si>
  <si>
    <t>113 01000 00 0000 130</t>
  </si>
  <si>
    <t xml:space="preserve">Доходы от оказания платных услуг (работ) </t>
  </si>
  <si>
    <t>113 01990 00 0000 130</t>
  </si>
  <si>
    <t>Прочие доходы от оказания платных услуг (работ)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</si>
  <si>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</si>
  <si>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</si>
  <si>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113 02000 00 0000 130</t>
  </si>
  <si>
    <t>Доходы от компенсации затрат государства</t>
  </si>
  <si>
    <t>113 02990 00 0000 130</t>
  </si>
  <si>
    <t>Прочие доходы от компенсации затрат государства</t>
  </si>
  <si>
    <t>113 02995 05 0000 130</t>
  </si>
  <si>
    <t>Прочие доходы от компенсации затрат  бюджетов муниципальных районов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</si>
  <si>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</si>
  <si>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</si>
  <si>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</si>
  <si>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</si>
  <si>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1 14 01050 05 0000 410</t>
  </si>
  <si>
    <t>Доходы от продажи квартир, находящихся в собственности муниципальных районов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</si>
  <si>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</si>
  <si>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</si>
  <si>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</si>
  <si>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</si>
  <si>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</si>
  <si>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</si>
  <si>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</si>
  <si>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</si>
  <si>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</si>
  <si>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</si>
  <si>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</si>
  <si>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</si>
  <si>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</si>
  <si>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</si>
  <si>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</si>
  <si>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</si>
  <si>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</si>
  <si>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</si>
  <si>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</si>
  <si>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</si>
  <si>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</si>
  <si>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</si>
  <si>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</si>
  <si>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</si>
  <si>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</si>
  <si>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</si>
  <si>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</si>
  <si>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</si>
  <si>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</si>
  <si>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</si>
  <si>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</si>
  <si>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</si>
  <si>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</si>
  <si>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</si>
  <si>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</si>
  <si>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</si>
  <si>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</si>
  <si>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</si>
  <si>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</si>
  <si>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</si>
  <si>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</si>
  <si>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</si>
  <si>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116 01000 01 0000 140</t>
  </si>
  <si>
    <t>Административные штрафы, установленные Кодексом Российской Федерации об административных правонарушениях</t>
  </si>
  <si>
    <t>116 01050 01 0000 140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</si>
  <si>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</si>
  <si>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</si>
  <si>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</si>
  <si>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</si>
  <si>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</si>
  <si>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</si>
  <si>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</si>
  <si>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</si>
  <si>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</si>
  <si>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</si>
  <si>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</si>
  <si>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</si>
  <si>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</si>
  <si>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</si>
  <si>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</si>
  <si>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</si>
  <si>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</si>
  <si>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</si>
  <si>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</si>
  <si>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</si>
  <si>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</si>
  <si>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</si>
  <si>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</si>
  <si>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</si>
  <si>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</si>
  <si>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</si>
  <si>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</si>
  <si>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</si>
  <si>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</si>
  <si>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</si>
  <si>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</si>
  <si>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</si>
  <si>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</si>
  <si>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</si>
  <si>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</si>
  <si>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</si>
  <si>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</si>
  <si>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</si>
  <si>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</si>
  <si>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</si>
  <si>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</si>
  <si>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</si>
  <si>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</si>
  <si>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</si>
  <si>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</si>
  <si>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</si>
  <si>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</si>
  <si>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</si>
  <si>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</si>
  <si>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116 09000 00 0000 140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</si>
  <si>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</si>
  <si>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116 09040 05 0000 140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</si>
  <si>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</si>
  <si>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116 10000 00 0000 140</t>
  </si>
  <si>
    <t>Платежи в целях возмещения причиненного ущерба (убытков)</t>
  </si>
  <si>
    <t>116 10120 00 0000 140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</si>
  <si>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</si>
  <si>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</si>
  <si>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</si>
  <si>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</si>
  <si>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</si>
  <si>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116 11000 01 0000 140</t>
  </si>
  <si>
    <t>Платежи, уплачиваемые в целях возмещения вреда</t>
  </si>
  <si>
    <t>116 11050 01 0000 140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</si>
  <si>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</si>
  <si>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117 00000 00 0000 000</t>
  </si>
  <si>
    <t>ПРОЧИЕ НЕНАЛОГОВЫЕ ДОХОДЫ</t>
  </si>
  <si>
    <t>117 15000 00 0000 150</t>
  </si>
  <si>
    <t>Инициативные платежи</t>
  </si>
  <si>
    <t>117 15030 05 0000 150</t>
  </si>
  <si>
    <t>Инициативные платежи, зачисляемые в бюджеты муниципальных районов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</si>
  <si>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</si>
  <si>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</si>
  <si>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</si>
  <si>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</si>
  <si>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</si>
  <si>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</si>
  <si>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</si>
  <si>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</si>
  <si>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202 10000 00 0000 150</t>
  </si>
  <si>
    <t>Дотации бюджетам бюджетной системы Российской Федерации</t>
  </si>
  <si>
    <t>202 15001 00 0000 150</t>
  </si>
  <si>
    <t>Дотации на выравнивание  бюджетной обеспеченности</t>
  </si>
  <si>
    <t>202 15001 05 0000 150</t>
  </si>
  <si>
    <t>Дотации бюджетам муниципальных районов на выравнивание  бюджетной обеспеченности</t>
  </si>
  <si>
    <t>202 15002 00 0000 150</t>
  </si>
  <si>
    <t>Дотации бюджетам на поддержку мер по обеспечению сбалансированности бюджетов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</si>
  <si>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</si>
  <si>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</si>
  <si>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202 19999 00 0000 150</t>
  </si>
  <si>
    <t>Прочие дотации</t>
  </si>
  <si>
    <t>202 19999 05 0000 150</t>
  </si>
  <si>
    <t>Прочие дотации бюджетам муниципальных районов</t>
  </si>
  <si>
    <t>202 20000 00 0000 150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</si>
  <si>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</si>
  <si>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</si>
  <si>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</si>
  <si>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</si>
  <si>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</si>
  <si>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</si>
  <si>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</si>
  <si>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</si>
  <si>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</si>
  <si>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</si>
  <si>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</si>
  <si>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</si>
  <si>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</si>
  <si>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</si>
  <si>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</si>
  <si>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</si>
  <si>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</si>
  <si>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202 25210 00 0000 150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</si>
  <si>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</si>
  <si>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202 25210 05 0000 150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</si>
  <si>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</si>
  <si>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202 25304 00 0000 150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</si>
  <si>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</si>
  <si>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</si>
  <si>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</si>
  <si>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</si>
  <si>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</si>
  <si>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</si>
  <si>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</si>
  <si>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</si>
  <si>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</si>
  <si>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</si>
  <si>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</si>
  <si>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202 29999 00 0000 150</t>
  </si>
  <si>
    <t>Прочие субсидии</t>
  </si>
  <si>
    <t>202 29999 05 0000 151</t>
  </si>
  <si>
    <t>202 29999 05 0000 150</t>
  </si>
  <si>
    <t>Субсидии местным бюджетам  на реализацию проекта "Народный бюджет" в Курской области"</t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</si>
  <si>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</si>
  <si>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</t>
    </r>
    <r>
      <rPr>
        <b/>
        <sz val="10"/>
        <rFont val="Times New Roman"/>
        <family val="1"/>
      </rPr>
      <t xml:space="preserve">образовательных </t>
    </r>
    <r>
      <rPr>
        <sz val="10"/>
        <rFont val="Times New Roman"/>
        <family val="1"/>
      </rPr>
      <t>организаций</t>
    </r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</si>
  <si>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9"/>
        <rFont val="Times New Roman"/>
        <family val="1"/>
      </rPr>
      <t>питания обучающихся из малообеспеченных</t>
    </r>
    <r>
      <rPr>
        <sz val="9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</si>
  <si>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9"/>
        <rFont val="Times New Roman"/>
        <family val="1"/>
      </rPr>
      <t>горюче-смазочных</t>
    </r>
    <r>
      <rPr>
        <sz val="9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</si>
  <si>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9"/>
        <rFont val="Times New Roman"/>
        <family val="1"/>
      </rPr>
      <t>каникулярное время</t>
    </r>
  </si>
  <si>
    <t>Субсидии местным бюджетам на содержание автомобильных дорог общего пользования местного значения (дорога в д. Шагарово)</t>
  </si>
  <si>
    <t>Субсидии местным бюджетам на строительство (реконструкцию) автомобильных дорог общего пользования местного значения (дорога в д. Шагарово)</t>
  </si>
  <si>
    <t xml:space="preserve">Субсидии местным бюджетам на капитальный ремонт, ремонт и содержание автомобильных дорог общего пользования местного значения </t>
  </si>
  <si>
    <t>202 30000 00 0000 150</t>
  </si>
  <si>
    <t>Субвенции бюджетам бюджетной системы Российской Федерации</t>
  </si>
  <si>
    <t>202 30013 00 0000 150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</si>
  <si>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</si>
  <si>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</si>
  <si>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</si>
  <si>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</si>
  <si>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</si>
  <si>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</si>
  <si>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</si>
  <si>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</si>
  <si>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</si>
  <si>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</si>
  <si>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</si>
  <si>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</si>
  <si>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</si>
  <si>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</si>
  <si>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</si>
  <si>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</si>
  <si>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</si>
  <si>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202 35302 05 0000 150</t>
  </si>
  <si>
    <t xml:space="preserve">Субвенции местным бюджетам  на осуществление отдельных  государственных полномочий  по  выплате ежемесячной денежной выплаты на ребенка в возрасте от трех до семи лет включительно </t>
  </si>
  <si>
    <t>Субвенции местным бюджетам  на осуществление отдельных  государственных полномочий  по  выплате ежемесячной денежной выплаты на ребенка в возрасте от трех до семи лет включительно  (с софинансированием расходов из ср-в резервного фонда Правительства РФ)</t>
  </si>
  <si>
    <t>202 35303 00 0000 150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</si>
  <si>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</si>
  <si>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202 35303 05 0000 150</t>
  </si>
  <si>
    <r>
      <t xml:space="preserve">Субвенции бюджетам муниципальных районов на ежемесячное денежное вознаграждение за </t>
    </r>
    <r>
      <rPr>
        <b/>
        <sz val="9"/>
        <color indexed="8"/>
        <rFont val="Times New Roman"/>
        <family val="1"/>
      </rPr>
      <t>классное</t>
    </r>
    <r>
      <rPr>
        <sz val="9"/>
        <color indexed="8"/>
        <rFont val="Times New Roman"/>
        <family val="1"/>
      </rPr>
      <t xml:space="preserve"> руководство педагогическим работникам государственных и муниципальных общеобразовательных организаций</t>
    </r>
  </si>
  <si>
    <t>2 02 35469 00 0000 150</t>
  </si>
  <si>
    <t>Субвенции бюджетам на проведение Всероссийской переписи населения 2020 года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</si>
  <si>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</si>
  <si>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</si>
  <si>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202 35930 00 0000 150</t>
  </si>
  <si>
    <t>Субвенции бюджетам на государственную регистрацию актов гражданского состояния</t>
  </si>
  <si>
    <t>202 35930 05 0000 150</t>
  </si>
  <si>
    <t>Субвенции бюджетам муниципальных районов на государственную регистрацию актов гражданского состояния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</si>
  <si>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</si>
  <si>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</si>
  <si>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</si>
  <si>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</si>
  <si>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</si>
  <si>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</si>
  <si>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</si>
  <si>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</si>
  <si>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</si>
  <si>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</si>
  <si>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</si>
  <si>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</si>
  <si>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</si>
  <si>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</si>
  <si>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202 39999 00 0000 150</t>
  </si>
  <si>
    <t>Прочие субвенции</t>
  </si>
  <si>
    <t>202 39999 05 0000 150</t>
  </si>
  <si>
    <t>Прочие субвенции бюджетам муниципальных районов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</si>
  <si>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</si>
  <si>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</si>
  <si>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r>
      <t xml:space="preserve">Субвенции местным бюджетам на оплату труда работников </t>
    </r>
    <r>
      <rPr>
        <b/>
        <sz val="9"/>
        <rFont val="Times New Roman"/>
        <family val="1"/>
      </rPr>
      <t>общеобразовательных</t>
    </r>
    <r>
      <rPr>
        <sz val="9"/>
        <rFont val="Times New Roman"/>
        <family val="1"/>
      </rPr>
      <t xml:space="preserve">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  </r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</si>
  <si>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9"/>
        <rFont val="Times New Roman"/>
        <family val="1"/>
      </rPr>
      <t>образовательных организаций</t>
    </r>
    <r>
      <rPr>
        <sz val="9"/>
        <rFont val="Times New Roman"/>
        <family val="1"/>
      </rPr>
      <t xml:space="preserve"> </t>
    </r>
  </si>
  <si>
    <r>
      <t xml:space="preserve">Субвенции местным бюджетам  на осуществление отдельных государственных полномочий  по финансовому обеспечению расходов, связанных с оплатой жилых помещений, отопления и освещения  работникам муниципальных </t>
    </r>
    <r>
      <rPr>
        <b/>
        <sz val="9"/>
        <rFont val="Times New Roman"/>
        <family val="1"/>
      </rPr>
      <t>образовательных организаций</t>
    </r>
    <r>
      <rPr>
        <sz val="9"/>
        <rFont val="Times New Roman"/>
        <family val="1"/>
      </rPr>
      <t xml:space="preserve"> </t>
    </r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</si>
  <si>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оплате стоимости аренды жилых помещений работникам муниципальных </t>
    </r>
    <r>
      <rPr>
        <b/>
        <sz val="9"/>
        <rFont val="Times New Roman"/>
        <family val="1"/>
      </rPr>
      <t xml:space="preserve">образовательных организаций, </t>
    </r>
    <r>
      <rPr>
        <sz val="9"/>
        <rFont val="Times New Roman"/>
        <family val="1"/>
      </rPr>
      <t xml:space="preserve">проживающим и работающим в сельских населенных пунктах, рабочих поселках (поселках городского типа) </t>
    </r>
  </si>
  <si>
    <r>
      <t xml:space="preserve">Субвенции местным бюджетам на оплату труда работников  </t>
    </r>
    <r>
      <rPr>
        <b/>
        <sz val="9"/>
        <rFont val="Times New Roman"/>
        <family val="1"/>
      </rPr>
      <t>дошкольных образовательных учреждений,</t>
    </r>
    <r>
      <rPr>
        <sz val="9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</si>
  <si>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r>
      <t xml:space="preserve">Субвенции бюджетам муниципальных районов на </t>
    </r>
    <r>
      <rPr>
        <b/>
        <sz val="9"/>
        <rFont val="Times New Roman"/>
        <family val="1"/>
      </rPr>
      <t>компенсацию части родительской</t>
    </r>
    <r>
      <rPr>
        <sz val="9"/>
        <rFont val="Times New Roman"/>
        <family val="1"/>
      </rPr>
      <t xml:space="preserve">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  </r>
  </si>
  <si>
    <r>
      <t xml:space="preserve">Субвенции местным бюджетам на </t>
    </r>
    <r>
      <rPr>
        <b/>
        <sz val="9"/>
        <rFont val="Times New Roman"/>
        <family val="1"/>
      </rPr>
      <t>содержание работников</t>
    </r>
    <r>
      <rPr>
        <sz val="9"/>
        <rFont val="Times New Roman"/>
        <family val="1"/>
      </rPr>
      <t xml:space="preserve">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</t>
    </r>
    <r>
      <rPr>
        <b/>
        <sz val="9"/>
        <rFont val="Times New Roman"/>
        <family val="1"/>
      </rPr>
      <t>дошкольного</t>
    </r>
    <r>
      <rPr>
        <sz val="9"/>
        <rFont val="Times New Roman"/>
        <family val="1"/>
      </rPr>
      <t xml:space="preserve"> образования</t>
    </r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</si>
  <si>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</si>
  <si>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r>
      <t xml:space="preserve">Субвенции местным бюджетам  на </t>
    </r>
    <r>
      <rPr>
        <b/>
        <sz val="9"/>
        <rFont val="Times New Roman"/>
        <family val="1"/>
      </rPr>
      <t>содержание работников,</t>
    </r>
    <r>
      <rPr>
        <sz val="9"/>
        <rFont val="Times New Roman"/>
        <family val="1"/>
      </rPr>
      <t xml:space="preserve"> осуществляющих отдельные государственные полномочия по предоставлению  работникам муниципальных учреждений </t>
    </r>
    <r>
      <rPr>
        <b/>
        <sz val="9"/>
        <rFont val="Times New Roman"/>
        <family val="1"/>
      </rPr>
      <t>культуры</t>
    </r>
    <r>
      <rPr>
        <sz val="9"/>
        <rFont val="Times New Roman"/>
        <family val="1"/>
      </rPr>
      <t xml:space="preserve">  мер социальной поддержки</t>
    </r>
  </si>
  <si>
    <t>Субвенции местным бюджетам на осуществление отдельных  государственных полномочий по финансовому обеспечению расходов, связанных с оплатой жилых помещений, отопления и освещения  работникам муниципальных учреждений культуры</t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</si>
  <si>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</si>
  <si>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</si>
  <si>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</si>
  <si>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</si>
  <si>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</si>
  <si>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</si>
  <si>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</si>
  <si>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</si>
  <si>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местным бюджетам  на содержание работников, осуществляющих отдельные  государственные полномочия  по назначению и выплате ежемесячной выплаты на детей в возрасте от трех до семи лет включительно</t>
  </si>
  <si>
    <r>
      <t xml:space="preserve">Субвенции местным бюджетам  на осуществление отдельных  государственных полномочий  по  выплате ежемесячной денежной выплаты на ребенка в возрасте </t>
    </r>
    <r>
      <rPr>
        <b/>
        <sz val="10"/>
        <rFont val="Times New Roman"/>
        <family val="1"/>
      </rPr>
      <t xml:space="preserve">от трех до семи лет включительно </t>
    </r>
  </si>
  <si>
    <r>
      <t xml:space="preserve">Субвенции местным бюджетам  на осуществление отдельных  государственных полномочий  по </t>
    </r>
    <r>
      <rPr>
        <b/>
        <sz val="9"/>
        <rFont val="Times New Roman"/>
        <family val="1"/>
      </rPr>
      <t>оплате услуг по доставке и пересылке</t>
    </r>
    <r>
      <rPr>
        <sz val="9"/>
        <rFont val="Times New Roman"/>
        <family val="1"/>
      </rPr>
      <t xml:space="preserve"> ежемесячной денежной выплаты на ребенка в возрасте </t>
    </r>
    <r>
      <rPr>
        <b/>
        <sz val="9"/>
        <rFont val="Times New Roman"/>
        <family val="1"/>
      </rPr>
      <t>от трех до семи лет</t>
    </r>
    <r>
      <rPr>
        <sz val="9"/>
        <rFont val="Times New Roman"/>
        <family val="1"/>
      </rPr>
      <t xml:space="preserve"> включительно </t>
    </r>
  </si>
  <si>
    <t>Субвенции  бюджетам  муниципальных   районов  на организацию проведения мероприятий при осуществлении деятельности по обращению с животными без владельцев</t>
  </si>
  <si>
    <t>Субвенции  бюджетам  муниципальных   районов  на содержание работников, осуществляющих отдельные государственные полномочия по обращению с животными без владельцев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</si>
  <si>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</si>
  <si>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202 40000 00 0000 150</t>
  </si>
  <si>
    <t>202 40014 00 0000 150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</si>
  <si>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</si>
  <si>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</si>
  <si>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</si>
  <si>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</si>
  <si>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</si>
  <si>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</si>
  <si>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</si>
  <si>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202 45519 00 0000 150</t>
  </si>
  <si>
    <t>Межбюджетные трансферты, передаваемые  бюджетам на  поддержку отрасли культуры</t>
  </si>
  <si>
    <t>202 45519 05 0000 150</t>
  </si>
  <si>
    <t>Межбюджетные трансферты, передаваемые бюджетам  муниципальных районов на поддержку отрасли культуры</t>
  </si>
  <si>
    <t>207 00000 00 0000 000</t>
  </si>
  <si>
    <t>ПРОЧИЕ БЕЗВОЗМЕЗДНЫЕ ПОСТУПЛЕНИЯ</t>
  </si>
  <si>
    <t>207 05000 05 0000 150</t>
  </si>
  <si>
    <t>Прочие безвозмездные поступления в бюджеты муниципальных районов</t>
  </si>
  <si>
    <t>207 05020 05 0000 150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</si>
  <si>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</si>
  <si>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207 05030 05 0000 150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</si>
  <si>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</si>
  <si>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</si>
  <si>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</si>
  <si>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</si>
  <si>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</si>
  <si>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</si>
  <si>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</si>
  <si>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</si>
  <si>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</si>
  <si>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</si>
  <si>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</si>
  <si>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</si>
  <si>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Приложение №  4</t>
  </si>
  <si>
    <t xml:space="preserve">  Курской области на 2022 год и плановый период 2023 и 2024 годов. "</t>
  </si>
  <si>
    <t xml:space="preserve">                                         от " 22 "  декабря  2021г. № 276</t>
  </si>
  <si>
    <t>от " 29 " сентября  2022г. № 318 )</t>
  </si>
  <si>
    <t>на плановый период  2023 и 2024 годов</t>
  </si>
  <si>
    <t>Сумма  на   2023 год</t>
  </si>
  <si>
    <t>Сумма  на   2024 год</t>
  </si>
  <si>
    <t>ВСЕГО</t>
  </si>
  <si>
    <t>НАЛОГОВЫЕ  ДОХОДЫ</t>
  </si>
  <si>
    <t>1 01 02020 01 0000 110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</si>
  <si>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</si>
  <si>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</si>
  <si>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</si>
  <si>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</si>
  <si>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1 05 02020 02 0000 110</t>
  </si>
  <si>
    <t>1 05 03010 01 0000 110</t>
  </si>
  <si>
    <t>1 05 04020 02 0000 110</t>
  </si>
  <si>
    <t xml:space="preserve"> НЕНАЛОГОВЫЕ ДОХОДЫ</t>
  </si>
  <si>
    <t>1 11 05013 05 0000 120</t>
  </si>
  <si>
    <t>1 11 05013 13 0000 120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</si>
  <si>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</si>
  <si>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</t>
  </si>
  <si>
    <t>1 14 06013 05 0000 430</t>
  </si>
  <si>
    <t>1 14 06013 13 0000 430</t>
  </si>
  <si>
    <t>116 07090 00 0000 140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</si>
  <si>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</si>
  <si>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</si>
  <si>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</si>
  <si>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1 17 00000 00 0000 000</t>
  </si>
  <si>
    <t>1 17 15000 00 0000 150</t>
  </si>
  <si>
    <t>1 17 15030 05 0000 150</t>
  </si>
  <si>
    <t>202 20145 00 0000 150</t>
  </si>
  <si>
    <t>Субсидии бюджетам на модернизацию региональных систем общего образования</t>
  </si>
  <si>
    <t>202 20145 05 0000 150</t>
  </si>
  <si>
    <t>Субсидии бюджетам муниципальных районов на модернизацию региональных систем общего образования</t>
  </si>
  <si>
    <t>2 02 25097 00 0000 150</t>
  </si>
  <si>
    <t>2 02 25097 05 0000 150</t>
  </si>
  <si>
    <t>2 02 25169 00 0000 150</t>
  </si>
  <si>
    <t>2 02 25169 05 0000 150</t>
  </si>
  <si>
    <t>2 02 25210 00 0000 150</t>
  </si>
  <si>
    <t>2 02 25210 05 0000 150</t>
  </si>
  <si>
    <t>2 02 25304 00 0000 150</t>
  </si>
  <si>
    <t>2 02 25304 05 0000 150</t>
  </si>
  <si>
    <t>Субсидии бюджетам на создание новых мест дополнительного образования детей</t>
  </si>
  <si>
    <t>Субсидии бюджетам муниципальных районов на создание новых мест дополнительного образования детей</t>
  </si>
  <si>
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культуры </t>
  </si>
  <si>
    <t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образования</t>
  </si>
  <si>
    <t>Субсидии бюджетам муниципальных образований на приобретение оборудования для школьных столовых в рамках комплекса мер по модернизации  общего образования</t>
  </si>
  <si>
    <t>Субсидии бюджетам муниципальных образований на проведение капитального ремонта  муниципальных образовательных учреждений</t>
  </si>
  <si>
    <t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</si>
  <si>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202 03007 00 0000 151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</si>
  <si>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</si>
  <si>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</si>
  <si>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</si>
  <si>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2 02 35082 00 0000 150</t>
  </si>
  <si>
    <t>2 02 35082 05 0000 150</t>
  </si>
  <si>
    <t>2 02 35302 00 0000 150</t>
  </si>
  <si>
    <t>2 02 35303 00 0000 150</t>
  </si>
  <si>
    <t>2 02 35930 00 0000 150</t>
  </si>
  <si>
    <t>2 02 35930 05 0000 150</t>
  </si>
  <si>
    <t>202 39999 00 0000 151</t>
  </si>
  <si>
    <r>
      <t xml:space="preserve">Субвенции местным бюджетам на оплату труда работников </t>
    </r>
    <r>
      <rPr>
        <b/>
        <sz val="9"/>
        <rFont val="Times New Roman"/>
        <family val="1"/>
      </rPr>
      <t xml:space="preserve">общеобразовательных </t>
    </r>
    <r>
      <rPr>
        <sz val="9"/>
        <rFont val="Times New Roman"/>
        <family val="1"/>
      </rPr>
      <t>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  </r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</si>
  <si>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</t>
    </r>
    <r>
      <rPr>
        <b/>
        <sz val="9"/>
        <rFont val="Times New Roman"/>
        <family val="1"/>
      </rPr>
      <t xml:space="preserve">мер социальной </t>
    </r>
    <r>
      <rPr>
        <sz val="9"/>
        <rFont val="Times New Roman"/>
        <family val="1"/>
      </rPr>
      <t xml:space="preserve">поддержки на бесплатное жилое помещение с отоплением и освещением  работникам муниципальных </t>
    </r>
    <r>
      <rPr>
        <b/>
        <sz val="9"/>
        <rFont val="Times New Roman"/>
        <family val="1"/>
      </rPr>
      <t>образовательных учреждений</t>
    </r>
    <r>
      <rPr>
        <sz val="9"/>
        <rFont val="Times New Roman"/>
        <family val="1"/>
      </rPr>
      <t xml:space="preserve"> </t>
    </r>
  </si>
  <si>
    <r>
      <t xml:space="preserve">Субвенции бюджетам муниципальных районов на </t>
    </r>
    <r>
      <rPr>
        <b/>
        <sz val="9"/>
        <rFont val="Times New Roman"/>
        <family val="1"/>
      </rPr>
      <t>компенсацию части родительской платы</t>
    </r>
    <r>
      <rPr>
        <sz val="9"/>
        <rFont val="Times New Roman"/>
        <family val="1"/>
      </rPr>
      <t xml:space="preserve"> за содержание ребенка в  муниципальных образовательных учреждениях, реализующих основную общеобразовательную программу дошкольного образования</t>
    </r>
  </si>
  <si>
    <r>
      <t xml:space="preserve">Субвенции местным бюджетам на </t>
    </r>
    <r>
      <rPr>
        <b/>
        <sz val="9"/>
        <rFont val="Times New Roman"/>
        <family val="1"/>
      </rPr>
      <t>содержание работников</t>
    </r>
    <r>
      <rPr>
        <sz val="9"/>
        <rFont val="Times New Roman"/>
        <family val="1"/>
      </rPr>
      <t xml:space="preserve">,  осуществляющих переданные государственные полномочия по </t>
    </r>
    <r>
      <rPr>
        <b/>
        <sz val="9"/>
        <rFont val="Times New Roman"/>
        <family val="1"/>
      </rPr>
      <t>выплате компенсации</t>
    </r>
    <r>
      <rPr>
        <sz val="9"/>
        <rFont val="Times New Roman"/>
        <family val="1"/>
      </rPr>
      <t xml:space="preserve">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  </r>
  </si>
  <si>
    <r>
      <t xml:space="preserve">Субвенции местным бюджетам на осуществление отдельных  государственных полномочий по предоставлению  работникам муниципальных учреждений </t>
    </r>
    <r>
      <rPr>
        <b/>
        <sz val="9"/>
        <rFont val="Times New Roman"/>
        <family val="1"/>
      </rPr>
      <t>культуры  мер социальной поддержки</t>
    </r>
  </si>
  <si>
    <r>
      <t xml:space="preserve">Субвенции местным бюджетам  на </t>
    </r>
    <r>
      <rPr>
        <b/>
        <sz val="9"/>
        <rFont val="Times New Roman"/>
        <family val="1"/>
      </rPr>
      <t>содержание работников</t>
    </r>
    <r>
      <rPr>
        <sz val="9"/>
        <rFont val="Times New Roman"/>
        <family val="1"/>
      </rPr>
      <t xml:space="preserve">, осуществляющих отдельные государственные полномочия по предоставлению  работникам муниципальных учреждений </t>
    </r>
    <r>
      <rPr>
        <b/>
        <sz val="9"/>
        <rFont val="Times New Roman"/>
        <family val="1"/>
      </rPr>
      <t>культуры</t>
    </r>
    <r>
      <rPr>
        <sz val="9"/>
        <rFont val="Times New Roman"/>
        <family val="1"/>
      </rPr>
      <t xml:space="preserve">  мер социальной поддержки</t>
    </r>
  </si>
  <si>
    <r>
      <t xml:space="preserve">Субвенции местным бюджетам  на </t>
    </r>
    <r>
      <rPr>
        <b/>
        <sz val="9"/>
        <rFont val="Times New Roman"/>
        <family val="1"/>
      </rPr>
      <t>содержание работников</t>
    </r>
    <r>
      <rPr>
        <sz val="9"/>
        <rFont val="Times New Roman"/>
        <family val="1"/>
      </rPr>
      <t xml:space="preserve">, осуществляющих отдельные  государственные полномочия  по назначению и выплате ежемесячной выплаты на детей в возрасте </t>
    </r>
    <r>
      <rPr>
        <b/>
        <sz val="9"/>
        <rFont val="Times New Roman"/>
        <family val="1"/>
      </rPr>
      <t>от трех до семи</t>
    </r>
    <r>
      <rPr>
        <sz val="9"/>
        <rFont val="Times New Roman"/>
        <family val="1"/>
      </rPr>
      <t xml:space="preserve"> лет включительно</t>
    </r>
  </si>
  <si>
    <t>202 39999 05 0000 151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</si>
</sst>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&quot;£&quot;* #,##0.00_-;\-&quot;£&quot;* #,##0.00_-;_-&quot;£&quot;* &quot;-&quot;??_-;_-@_-"/>
    <numFmt numFmtId="174" formatCode="#,##0.000"/>
    <numFmt numFmtId="175" formatCode="0.0"/>
    <numFmt numFmtId="176" formatCode="#,##0.0"/>
    <numFmt numFmtId="177" formatCode="0.00000"/>
    <numFmt numFmtId="178" formatCode="#,##0.00\ _₽"/>
    <numFmt numFmtId="179" formatCode="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Helv"/>
      <family val="0"/>
    </font>
    <font>
      <i/>
      <sz val="8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Arial Cir"/>
      <family val="0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i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11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49" fontId="3" fillId="0" borderId="10" xfId="61" applyNumberFormat="1" applyFont="1" applyFill="1" applyBorder="1" applyAlignment="1">
      <alignment horizontal="right" wrapText="1"/>
      <protection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9" fontId="14" fillId="0" borderId="10" xfId="61" applyNumberFormat="1" applyFont="1" applyFill="1" applyBorder="1" applyAlignment="1">
      <alignment horizontal="right" wrapText="1"/>
      <protection/>
    </xf>
    <xf numFmtId="4" fontId="14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Fill="1" applyBorder="1" applyAlignment="1" applyProtection="1">
      <alignment horizontal="left" wrapText="1"/>
      <protection hidden="1"/>
    </xf>
    <xf numFmtId="49" fontId="14" fillId="0" borderId="10" xfId="0" applyNumberFormat="1" applyFont="1" applyFill="1" applyBorder="1" applyAlignment="1">
      <alignment horizontal="right"/>
    </xf>
    <xf numFmtId="4" fontId="3" fillId="0" borderId="10" xfId="61" applyNumberFormat="1" applyFont="1" applyFill="1" applyBorder="1" applyAlignment="1">
      <alignment horizontal="right" wrapText="1"/>
      <protection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79" fontId="1" fillId="0" borderId="10" xfId="0" applyNumberFormat="1" applyFont="1" applyFill="1" applyBorder="1" applyAlignment="1" applyProtection="1">
      <alignment horizontal="left" vertical="top" wrapText="1"/>
      <protection hidden="1"/>
    </xf>
    <xf numFmtId="2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61" applyNumberFormat="1" applyFont="1" applyFill="1" applyBorder="1" applyAlignment="1">
      <alignment horizontal="center" wrapText="1"/>
      <protection/>
    </xf>
    <xf numFmtId="49" fontId="14" fillId="0" borderId="10" xfId="0" applyNumberFormat="1" applyFont="1" applyFill="1" applyBorder="1" applyAlignment="1">
      <alignment horizontal="center" wrapText="1"/>
    </xf>
    <xf numFmtId="179" fontId="1" fillId="0" borderId="10" xfId="55" applyNumberFormat="1" applyFont="1" applyFill="1" applyBorder="1" applyAlignment="1" applyProtection="1">
      <alignment horizontal="left" vertical="top" wrapText="1"/>
      <protection hidden="1"/>
    </xf>
    <xf numFmtId="2" fontId="9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left" vertical="top" wrapText="1"/>
    </xf>
    <xf numFmtId="2" fontId="9" fillId="0" borderId="10" xfId="74" applyNumberFormat="1" applyFont="1" applyFill="1" applyBorder="1" applyAlignment="1">
      <alignment vertical="top" wrapText="1"/>
      <protection/>
    </xf>
    <xf numFmtId="2" fontId="9" fillId="0" borderId="10" xfId="74" applyNumberFormat="1" applyFont="1" applyFill="1" applyBorder="1" applyAlignment="1">
      <alignment horizontal="left" vertical="center" wrapText="1"/>
      <protection/>
    </xf>
    <xf numFmtId="176" fontId="1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2" fontId="9" fillId="0" borderId="10" xfId="74" applyNumberFormat="1" applyFont="1" applyFill="1" applyBorder="1" applyAlignment="1">
      <alignment horizontal="left" vertical="top" wrapText="1"/>
      <protection/>
    </xf>
    <xf numFmtId="2" fontId="1" fillId="0" borderId="1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14" fillId="0" borderId="10" xfId="61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justify"/>
    </xf>
    <xf numFmtId="2" fontId="1" fillId="0" borderId="10" xfId="74" applyNumberFormat="1" applyFont="1" applyFill="1" applyBorder="1" applyAlignment="1">
      <alignment horizontal="left" vertical="center" wrapText="1"/>
      <protection/>
    </xf>
    <xf numFmtId="0" fontId="1" fillId="0" borderId="10" xfId="43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/>
    </xf>
    <xf numFmtId="179" fontId="7" fillId="0" borderId="10" xfId="55" applyNumberFormat="1" applyFont="1" applyFill="1" applyBorder="1" applyAlignment="1" applyProtection="1">
      <alignment horizontal="left" vertical="top" wrapText="1"/>
      <protection hidden="1"/>
    </xf>
    <xf numFmtId="0" fontId="1" fillId="0" borderId="10" xfId="68" applyFont="1" applyFill="1" applyBorder="1" applyAlignment="1">
      <alignment horizontal="left" wrapText="1"/>
      <protection/>
    </xf>
    <xf numFmtId="49" fontId="14" fillId="0" borderId="10" xfId="0" applyNumberFormat="1" applyFont="1" applyFill="1" applyBorder="1" applyAlignment="1">
      <alignment horizontal="right" wrapText="1"/>
    </xf>
    <xf numFmtId="179" fontId="7" fillId="0" borderId="10" xfId="55" applyNumberFormat="1" applyFont="1" applyFill="1" applyBorder="1" applyAlignment="1" applyProtection="1">
      <alignment horizontal="left" wrapText="1"/>
      <protection hidden="1"/>
    </xf>
    <xf numFmtId="0" fontId="1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78" fillId="0" borderId="10" xfId="0" applyNumberFormat="1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9" fontId="1" fillId="0" borderId="0" xfId="72" applyFont="1" applyFill="1" applyAlignment="1">
      <alignment/>
    </xf>
    <xf numFmtId="0" fontId="19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 wrapText="1"/>
    </xf>
    <xf numFmtId="4" fontId="3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20" fillId="0" borderId="0" xfId="0" applyNumberFormat="1" applyFont="1" applyFill="1" applyAlignment="1">
      <alignment/>
    </xf>
    <xf numFmtId="179" fontId="1" fillId="0" borderId="10" xfId="55" applyNumberFormat="1" applyFont="1" applyFill="1" applyBorder="1" applyAlignment="1" applyProtection="1">
      <alignment horizontal="left" wrapText="1"/>
      <protection hidden="1"/>
    </xf>
    <xf numFmtId="0" fontId="1" fillId="0" borderId="10" xfId="61" applyFont="1" applyFill="1" applyBorder="1" applyAlignment="1">
      <alignment horizontal="justify" vertical="top" wrapText="1"/>
      <protection/>
    </xf>
    <xf numFmtId="49" fontId="10" fillId="0" borderId="10" xfId="0" applyNumberFormat="1" applyFont="1" applyFill="1" applyBorder="1" applyAlignment="1">
      <alignment horizontal="center"/>
    </xf>
    <xf numFmtId="2" fontId="9" fillId="0" borderId="10" xfId="74" applyNumberFormat="1" applyFont="1" applyFill="1" applyBorder="1" applyAlignment="1">
      <alignment vertical="center" wrapText="1"/>
      <protection/>
    </xf>
    <xf numFmtId="2" fontId="1" fillId="0" borderId="10" xfId="74" applyNumberFormat="1" applyFont="1" applyFill="1" applyBorder="1" applyAlignment="1">
      <alignment horizontal="left" vertical="top" wrapText="1"/>
      <protection/>
    </xf>
    <xf numFmtId="4" fontId="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2" fontId="9" fillId="0" borderId="10" xfId="74" applyNumberFormat="1" applyFont="1" applyFill="1" applyBorder="1" applyAlignment="1">
      <alignment wrapText="1"/>
      <protection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174" fontId="3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179" fontId="1" fillId="0" borderId="11" xfId="55" applyNumberFormat="1" applyFont="1" applyFill="1" applyBorder="1" applyAlignment="1" applyProtection="1">
      <alignment horizontal="left" wrapText="1"/>
      <protection hidden="1"/>
    </xf>
    <xf numFmtId="0" fontId="9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2" fontId="9" fillId="0" borderId="17" xfId="74" applyNumberFormat="1" applyFont="1" applyFill="1" applyBorder="1" applyAlignment="1">
      <alignment horizontal="left" vertical="center" wrapText="1"/>
      <protection/>
    </xf>
    <xf numFmtId="2" fontId="9" fillId="0" borderId="11" xfId="74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left" vertical="top" wrapText="1"/>
    </xf>
    <xf numFmtId="179" fontId="1" fillId="0" borderId="11" xfId="55" applyNumberFormat="1" applyFont="1" applyFill="1" applyBorder="1" applyAlignment="1" applyProtection="1">
      <alignment horizontal="left" vertical="top" wrapText="1"/>
      <protection hidden="1"/>
    </xf>
    <xf numFmtId="0" fontId="1" fillId="0" borderId="11" xfId="68" applyFont="1" applyFill="1" applyBorder="1" applyAlignment="1">
      <alignment horizontal="left" wrapText="1"/>
      <protection/>
    </xf>
    <xf numFmtId="174" fontId="16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179" fontId="1" fillId="0" borderId="11" xfId="0" applyNumberFormat="1" applyFont="1" applyFill="1" applyBorder="1" applyAlignment="1" applyProtection="1">
      <alignment horizontal="left" wrapText="1"/>
      <protection hidden="1"/>
    </xf>
    <xf numFmtId="0" fontId="9" fillId="0" borderId="1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/>
    </xf>
    <xf numFmtId="2" fontId="9" fillId="0" borderId="11" xfId="74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wrapText="1"/>
    </xf>
    <xf numFmtId="2" fontId="1" fillId="0" borderId="11" xfId="74" applyNumberFormat="1" applyFont="1" applyFill="1" applyBorder="1" applyAlignment="1">
      <alignment horizontal="left" vertical="center" wrapText="1"/>
      <protection/>
    </xf>
    <xf numFmtId="0" fontId="1" fillId="0" borderId="11" xfId="43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>
      <alignment horizontal="justify"/>
    </xf>
    <xf numFmtId="179" fontId="7" fillId="0" borderId="11" xfId="55" applyNumberFormat="1" applyFont="1" applyFill="1" applyBorder="1" applyAlignment="1" applyProtection="1">
      <alignment horizontal="left" vertical="top" wrapText="1"/>
      <protection hidden="1"/>
    </xf>
    <xf numFmtId="179" fontId="1" fillId="0" borderId="11" xfId="0" applyNumberFormat="1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>
      <alignment vertical="top" wrapText="1"/>
    </xf>
    <xf numFmtId="2" fontId="9" fillId="0" borderId="11" xfId="0" applyNumberFormat="1" applyFont="1" applyFill="1" applyBorder="1" applyAlignment="1">
      <alignment horizontal="left" vertical="center" wrapText="1"/>
    </xf>
    <xf numFmtId="2" fontId="9" fillId="0" borderId="11" xfId="74" applyNumberFormat="1" applyFont="1" applyFill="1" applyBorder="1" applyAlignment="1">
      <alignment vertical="top" wrapText="1"/>
      <protection/>
    </xf>
    <xf numFmtId="176" fontId="1" fillId="0" borderId="11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/>
    </xf>
    <xf numFmtId="2" fontId="9" fillId="0" borderId="11" xfId="74" applyNumberFormat="1" applyFont="1" applyFill="1" applyBorder="1" applyAlignment="1">
      <alignment horizontal="left" vertical="top" wrapText="1"/>
      <protection/>
    </xf>
    <xf numFmtId="0" fontId="9" fillId="0" borderId="11" xfId="0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right" wrapText="1"/>
    </xf>
    <xf numFmtId="4" fontId="3" fillId="0" borderId="23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61" applyNumberFormat="1" applyFont="1" applyFill="1" applyBorder="1" applyAlignment="1">
      <alignment horizontal="right" wrapText="1"/>
      <protection/>
    </xf>
    <xf numFmtId="0" fontId="1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wrapText="1"/>
    </xf>
    <xf numFmtId="49" fontId="3" fillId="0" borderId="25" xfId="61" applyNumberFormat="1" applyFont="1" applyFill="1" applyBorder="1" applyAlignment="1">
      <alignment horizontal="right" wrapText="1"/>
      <protection/>
    </xf>
    <xf numFmtId="4" fontId="3" fillId="0" borderId="2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 wrapText="1"/>
    </xf>
    <xf numFmtId="49" fontId="3" fillId="0" borderId="22" xfId="61" applyNumberFormat="1" applyFont="1" applyFill="1" applyBorder="1" applyAlignment="1">
      <alignment horizontal="right" wrapText="1"/>
      <protection/>
    </xf>
    <xf numFmtId="4" fontId="3" fillId="0" borderId="22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49" fontId="16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15" xfId="61" applyNumberFormat="1" applyFont="1" applyFill="1" applyBorder="1" applyAlignment="1">
      <alignment horizontal="right" wrapText="1"/>
      <protection/>
    </xf>
    <xf numFmtId="49" fontId="2" fillId="0" borderId="32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left"/>
    </xf>
    <xf numFmtId="9" fontId="1" fillId="0" borderId="0" xfId="72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vertical="center"/>
    </xf>
    <xf numFmtId="9" fontId="1" fillId="0" borderId="0" xfId="72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44" applyNumberFormat="1" applyFont="1" applyFill="1" applyAlignment="1">
      <alignment horizont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0" fontId="5" fillId="0" borderId="0" xfId="44" applyFont="1" applyFill="1" applyAlignment="1">
      <alignment horizont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177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49" fontId="46" fillId="0" borderId="10" xfId="62" applyNumberFormat="1" applyFont="1" applyBorder="1" applyAlignment="1">
      <alignment horizontal="center" vertical="center" wrapText="1"/>
      <protection/>
    </xf>
    <xf numFmtId="0" fontId="46" fillId="0" borderId="10" xfId="62" applyFont="1" applyBorder="1" applyAlignment="1">
      <alignment vertical="top" wrapText="1"/>
      <protection/>
    </xf>
    <xf numFmtId="2" fontId="46" fillId="0" borderId="10" xfId="62" applyNumberFormat="1" applyFont="1" applyFill="1" applyBorder="1" applyAlignment="1">
      <alignment/>
      <protection/>
    </xf>
    <xf numFmtId="174" fontId="46" fillId="0" borderId="10" xfId="62" applyNumberFormat="1" applyFont="1" applyBorder="1" applyAlignment="1">
      <alignment/>
      <protection/>
    </xf>
    <xf numFmtId="0" fontId="46" fillId="0" borderId="0" xfId="0" applyFont="1" applyAlignment="1">
      <alignment/>
    </xf>
    <xf numFmtId="177" fontId="46" fillId="0" borderId="0" xfId="0" applyNumberFormat="1" applyFont="1" applyAlignment="1">
      <alignment/>
    </xf>
    <xf numFmtId="49" fontId="0" fillId="0" borderId="10" xfId="62" applyNumberFormat="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top" wrapText="1"/>
      <protection/>
    </xf>
    <xf numFmtId="2" fontId="0" fillId="0" borderId="10" xfId="62" applyNumberFormat="1" applyFont="1" applyFill="1" applyBorder="1" applyAlignment="1">
      <alignment/>
      <protection/>
    </xf>
    <xf numFmtId="174" fontId="0" fillId="0" borderId="10" xfId="62" applyNumberFormat="1" applyFont="1" applyBorder="1" applyAlignment="1">
      <alignment/>
      <protection/>
    </xf>
    <xf numFmtId="0" fontId="46" fillId="0" borderId="10" xfId="62" applyFont="1" applyBorder="1" applyAlignment="1">
      <alignment horizontal="center" vertical="top" wrapText="1"/>
      <protection/>
    </xf>
    <xf numFmtId="49" fontId="0" fillId="0" borderId="10" xfId="62" applyNumberFormat="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top" wrapText="1"/>
      <protection/>
    </xf>
    <xf numFmtId="0" fontId="46" fillId="0" borderId="10" xfId="62" applyFont="1" applyBorder="1" applyAlignment="1">
      <alignment wrapText="1"/>
      <protection/>
    </xf>
    <xf numFmtId="0" fontId="0" fillId="0" borderId="10" xfId="62" applyFont="1" applyBorder="1" applyAlignment="1">
      <alignment vertical="top" wrapText="1"/>
      <protection/>
    </xf>
    <xf numFmtId="0" fontId="0" fillId="0" borderId="0" xfId="0" applyAlignment="1">
      <alignment horizontal="center" wrapText="1"/>
    </xf>
    <xf numFmtId="17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0" xfId="62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0" borderId="28" xfId="62" applyFont="1" applyFill="1" applyBorder="1" applyAlignment="1">
      <alignment vertical="center" wrapText="1"/>
      <protection/>
    </xf>
    <xf numFmtId="0" fontId="0" fillId="0" borderId="28" xfId="62" applyFont="1" applyFill="1" applyBorder="1" applyAlignment="1">
      <alignment vertical="top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justify" wrapText="1"/>
    </xf>
    <xf numFmtId="2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77" fontId="0" fillId="33" borderId="0" xfId="0" applyNumberForma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/>
    </xf>
    <xf numFmtId="174" fontId="46" fillId="0" borderId="37" xfId="62" applyNumberFormat="1" applyFont="1" applyBorder="1" applyAlignment="1">
      <alignment/>
      <protection/>
    </xf>
    <xf numFmtId="0" fontId="46" fillId="0" borderId="10" xfId="0" applyFont="1" applyBorder="1" applyAlignment="1">
      <alignment/>
    </xf>
    <xf numFmtId="174" fontId="0" fillId="0" borderId="37" xfId="62" applyNumberFormat="1" applyFont="1" applyBorder="1" applyAlignment="1">
      <alignment/>
      <protection/>
    </xf>
    <xf numFmtId="2" fontId="0" fillId="0" borderId="10" xfId="0" applyNumberFormat="1" applyBorder="1" applyAlignment="1">
      <alignment/>
    </xf>
    <xf numFmtId="2" fontId="0" fillId="0" borderId="10" xfId="62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0" xfId="54" applyFont="1" applyAlignment="1">
      <alignment horizontal="right"/>
      <protection/>
    </xf>
    <xf numFmtId="0" fontId="6" fillId="0" borderId="0" xfId="54" applyFont="1" applyAlignment="1">
      <alignment horizontal="right" wrapText="1"/>
      <protection/>
    </xf>
    <xf numFmtId="0" fontId="0" fillId="0" borderId="0" xfId="0" applyAlignment="1">
      <alignment horizontal="right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 vertical="center"/>
    </xf>
    <xf numFmtId="174" fontId="1" fillId="0" borderId="3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wrapText="1"/>
    </xf>
    <xf numFmtId="0" fontId="50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79" fillId="0" borderId="0" xfId="0" applyFont="1" applyAlignment="1">
      <alignment vertical="top" wrapText="1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3" fillId="0" borderId="10" xfId="33" applyNumberFormat="1" applyFont="1" applyFill="1" applyBorder="1" applyAlignment="1">
      <alignment horizontal="center" wrapText="1" readingOrder="1"/>
      <protection/>
    </xf>
    <xf numFmtId="0" fontId="9" fillId="0" borderId="10" xfId="33" applyNumberFormat="1" applyFont="1" applyFill="1" applyBorder="1" applyAlignment="1">
      <alignment horizontal="left" vertical="top" wrapText="1" readingOrder="1"/>
      <protection/>
    </xf>
    <xf numFmtId="4" fontId="50" fillId="0" borderId="10" xfId="0" applyNumberFormat="1" applyFont="1" applyFill="1" applyBorder="1" applyAlignment="1">
      <alignment horizontal="right" vertical="center" wrapText="1"/>
    </xf>
    <xf numFmtId="0" fontId="9" fillId="0" borderId="10" xfId="33" applyNumberFormat="1" applyFont="1" applyFill="1" applyBorder="1" applyAlignment="1">
      <alignment horizontal="left" wrapText="1" readingOrder="1"/>
      <protection/>
    </xf>
    <xf numFmtId="0" fontId="54" fillId="0" borderId="10" xfId="33" applyNumberFormat="1" applyFont="1" applyFill="1" applyBorder="1" applyAlignment="1">
      <alignment horizontal="left" wrapText="1" readingOrder="1"/>
      <protection/>
    </xf>
    <xf numFmtId="4" fontId="48" fillId="0" borderId="10" xfId="0" applyNumberFormat="1" applyFont="1" applyFill="1" applyBorder="1" applyAlignment="1">
      <alignment horizontal="right" vertical="center" wrapText="1"/>
    </xf>
    <xf numFmtId="0" fontId="53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55" fillId="0" borderId="10" xfId="33" applyNumberFormat="1" applyFont="1" applyFill="1" applyBorder="1" applyAlignment="1">
      <alignment horizontal="center" wrapText="1" readingOrder="1"/>
      <protection/>
    </xf>
    <xf numFmtId="0" fontId="55" fillId="0" borderId="10" xfId="33" applyNumberFormat="1" applyFont="1" applyFill="1" applyBorder="1" applyAlignment="1">
      <alignment horizontal="left" wrapText="1" readingOrder="1"/>
      <protection/>
    </xf>
    <xf numFmtId="4" fontId="48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49" fontId="48" fillId="0" borderId="10" xfId="57" applyNumberFormat="1" applyFont="1" applyBorder="1" applyAlignment="1">
      <alignment horizontal="center" vertical="center" wrapText="1"/>
      <protection/>
    </xf>
    <xf numFmtId="0" fontId="48" fillId="0" borderId="10" xfId="57" applyFont="1" applyBorder="1" applyAlignment="1">
      <alignment vertical="top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50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26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6" fillId="0" borderId="10" xfId="0" applyFont="1" applyBorder="1" applyAlignment="1">
      <alignment vertical="center" wrapText="1"/>
    </xf>
    <xf numFmtId="0" fontId="57" fillId="0" borderId="10" xfId="33" applyNumberFormat="1" applyFont="1" applyFill="1" applyBorder="1" applyAlignment="1">
      <alignment horizontal="left" readingOrder="1"/>
      <protection/>
    </xf>
    <xf numFmtId="0" fontId="57" fillId="0" borderId="10" xfId="33" applyNumberFormat="1" applyFont="1" applyFill="1" applyBorder="1" applyAlignment="1">
      <alignment horizontal="left" wrapText="1" readingOrder="1"/>
      <protection/>
    </xf>
    <xf numFmtId="0" fontId="8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4" fillId="0" borderId="41" xfId="0" applyFont="1" applyFill="1" applyBorder="1" applyAlignment="1">
      <alignment wrapText="1"/>
    </xf>
    <xf numFmtId="0" fontId="54" fillId="0" borderId="4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wrapText="1"/>
    </xf>
    <xf numFmtId="0" fontId="8" fillId="0" borderId="41" xfId="0" applyFont="1" applyFill="1" applyBorder="1" applyAlignment="1">
      <alignment vertical="top" wrapText="1"/>
    </xf>
    <xf numFmtId="0" fontId="54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69" fillId="0" borderId="0" xfId="0" applyFont="1" applyAlignment="1">
      <alignment/>
    </xf>
    <xf numFmtId="0" fontId="8" fillId="0" borderId="42" xfId="33" applyNumberFormat="1" applyFont="1" applyFill="1" applyBorder="1" applyAlignment="1">
      <alignment horizontal="left" vertical="top" wrapText="1" readingOrder="1"/>
      <protection/>
    </xf>
    <xf numFmtId="0" fontId="8" fillId="0" borderId="41" xfId="0" applyFont="1" applyFill="1" applyBorder="1" applyAlignment="1">
      <alignment vertical="top" wrapText="1" readingOrder="1"/>
    </xf>
    <xf numFmtId="0" fontId="50" fillId="0" borderId="10" xfId="0" applyFont="1" applyFill="1" applyBorder="1" applyAlignment="1">
      <alignment horizontal="center" wrapText="1"/>
    </xf>
    <xf numFmtId="4" fontId="50" fillId="0" borderId="10" xfId="0" applyNumberFormat="1" applyFont="1" applyFill="1" applyBorder="1" applyAlignment="1">
      <alignment horizontal="right" wrapText="1"/>
    </xf>
    <xf numFmtId="0" fontId="51" fillId="0" borderId="10" xfId="0" applyFont="1" applyBorder="1" applyAlignment="1">
      <alignment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wrapText="1"/>
    </xf>
    <xf numFmtId="49" fontId="50" fillId="0" borderId="10" xfId="65" applyNumberFormat="1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wrapText="1"/>
    </xf>
    <xf numFmtId="0" fontId="48" fillId="0" borderId="10" xfId="66" applyFont="1" applyBorder="1" applyAlignment="1">
      <alignment vertical="top" wrapText="1"/>
      <protection/>
    </xf>
    <xf numFmtId="49" fontId="1" fillId="0" borderId="10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wrapText="1"/>
    </xf>
    <xf numFmtId="0" fontId="48" fillId="0" borderId="10" xfId="58" applyFont="1" applyBorder="1" applyAlignment="1">
      <alignment vertical="center" wrapText="1"/>
      <protection/>
    </xf>
    <xf numFmtId="49" fontId="1" fillId="0" borderId="10" xfId="65" applyNumberFormat="1" applyFont="1" applyBorder="1" applyAlignment="1">
      <alignment horizontal="center" vertical="center"/>
      <protection/>
    </xf>
    <xf numFmtId="0" fontId="1" fillId="0" borderId="10" xfId="58" applyFont="1" applyBorder="1" applyAlignment="1">
      <alignment vertical="top" wrapText="1"/>
      <protection/>
    </xf>
    <xf numFmtId="0" fontId="48" fillId="0" borderId="10" xfId="58" applyFont="1" applyBorder="1" applyAlignment="1">
      <alignment vertical="top" wrapText="1"/>
      <protection/>
    </xf>
    <xf numFmtId="4" fontId="48" fillId="0" borderId="10" xfId="0" applyNumberFormat="1" applyFont="1" applyFill="1" applyBorder="1" applyAlignment="1">
      <alignment wrapText="1"/>
    </xf>
    <xf numFmtId="0" fontId="48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/>
    </xf>
    <xf numFmtId="0" fontId="5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vertical="center" wrapText="1"/>
    </xf>
    <xf numFmtId="0" fontId="54" fillId="0" borderId="39" xfId="0" applyFont="1" applyBorder="1" applyAlignment="1">
      <alignment horizontal="center" vertical="center"/>
    </xf>
    <xf numFmtId="0" fontId="54" fillId="0" borderId="42" xfId="0" applyFont="1" applyBorder="1" applyAlignment="1">
      <alignment vertical="top" wrapText="1"/>
    </xf>
    <xf numFmtId="4" fontId="50" fillId="0" borderId="39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54" fillId="0" borderId="10" xfId="33" applyNumberFormat="1" applyFont="1" applyFill="1" applyBorder="1" applyAlignment="1">
      <alignment horizontal="left" vertical="top" wrapText="1" readingOrder="1"/>
      <protection/>
    </xf>
    <xf numFmtId="0" fontId="8" fillId="0" borderId="13" xfId="0" applyFont="1" applyBorder="1" applyAlignment="1">
      <alignment horizontal="center" vertical="center"/>
    </xf>
    <xf numFmtId="0" fontId="8" fillId="0" borderId="43" xfId="33" applyNumberFormat="1" applyFont="1" applyFill="1" applyBorder="1" applyAlignment="1">
      <alignment horizontal="left" vertical="top" wrapText="1" readingOrder="1"/>
      <protection/>
    </xf>
    <xf numFmtId="4" fontId="1" fillId="0" borderId="13" xfId="0" applyNumberFormat="1" applyFont="1" applyFill="1" applyBorder="1" applyAlignment="1">
      <alignment wrapText="1"/>
    </xf>
    <xf numFmtId="0" fontId="54" fillId="0" borderId="41" xfId="0" applyFont="1" applyBorder="1" applyAlignment="1">
      <alignment wrapText="1"/>
    </xf>
    <xf numFmtId="0" fontId="9" fillId="0" borderId="41" xfId="0" applyFont="1" applyBorder="1" applyAlignment="1">
      <alignment vertical="top" wrapText="1"/>
    </xf>
    <xf numFmtId="0" fontId="9" fillId="0" borderId="42" xfId="33" applyNumberFormat="1" applyFont="1" applyFill="1" applyBorder="1" applyAlignment="1">
      <alignment horizontal="left" vertical="top" wrapText="1" readingOrder="1"/>
      <protection/>
    </xf>
    <xf numFmtId="49" fontId="50" fillId="0" borderId="10" xfId="66" applyNumberFormat="1" applyFont="1" applyBorder="1" applyAlignment="1">
      <alignment horizontal="center"/>
      <protection/>
    </xf>
    <xf numFmtId="0" fontId="48" fillId="0" borderId="10" xfId="66" applyFont="1" applyBorder="1" applyAlignment="1">
      <alignment horizontal="left" wrapText="1"/>
      <protection/>
    </xf>
    <xf numFmtId="49" fontId="1" fillId="0" borderId="10" xfId="66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65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center"/>
    </xf>
    <xf numFmtId="0" fontId="7" fillId="0" borderId="10" xfId="65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vertical="center" wrapText="1"/>
    </xf>
    <xf numFmtId="49" fontId="50" fillId="0" borderId="10" xfId="61" applyNumberFormat="1" applyFont="1" applyFill="1" applyBorder="1" applyAlignment="1">
      <alignment horizontal="center" vertical="center" wrapText="1"/>
      <protection/>
    </xf>
    <xf numFmtId="49" fontId="1" fillId="0" borderId="10" xfId="61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0" fontId="58" fillId="0" borderId="0" xfId="0" applyFont="1" applyFill="1" applyAlignment="1">
      <alignment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66" applyFont="1" applyFill="1" applyBorder="1" applyAlignment="1">
      <alignment vertical="top" wrapText="1"/>
      <protection/>
    </xf>
    <xf numFmtId="49" fontId="1" fillId="0" borderId="10" xfId="63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top" wrapText="1"/>
      <protection/>
    </xf>
    <xf numFmtId="0" fontId="1" fillId="0" borderId="10" xfId="63" applyFont="1" applyBorder="1" applyAlignment="1">
      <alignment vertical="top" wrapText="1"/>
      <protection/>
    </xf>
    <xf numFmtId="0" fontId="1" fillId="0" borderId="10" xfId="67" applyFont="1" applyBorder="1" applyAlignment="1">
      <alignment vertical="top" wrapText="1"/>
      <protection/>
    </xf>
    <xf numFmtId="0" fontId="48" fillId="0" borderId="10" xfId="0" applyFont="1" applyFill="1" applyBorder="1" applyAlignment="1">
      <alignment horizontal="justify" wrapText="1"/>
    </xf>
    <xf numFmtId="0" fontId="46" fillId="0" borderId="0" xfId="0" applyFont="1" applyFill="1" applyAlignment="1">
      <alignment/>
    </xf>
    <xf numFmtId="0" fontId="1" fillId="0" borderId="10" xfId="65" applyFont="1" applyBorder="1" applyAlignment="1">
      <alignment horizontal="left" wrapText="1"/>
      <protection/>
    </xf>
    <xf numFmtId="0" fontId="7" fillId="0" borderId="10" xfId="0" applyFont="1" applyFill="1" applyBorder="1" applyAlignment="1">
      <alignment vertical="top" wrapText="1"/>
    </xf>
    <xf numFmtId="4" fontId="1" fillId="36" borderId="10" xfId="0" applyNumberFormat="1" applyFont="1" applyFill="1" applyBorder="1" applyAlignment="1">
      <alignment vertical="center" wrapText="1"/>
    </xf>
    <xf numFmtId="0" fontId="7" fillId="0" borderId="10" xfId="66" applyFont="1" applyFill="1" applyBorder="1" applyAlignment="1">
      <alignment horizontal="left" vertical="top" wrapText="1"/>
      <protection/>
    </xf>
    <xf numFmtId="49" fontId="50" fillId="0" borderId="10" xfId="60" applyNumberFormat="1" applyFont="1" applyBorder="1" applyAlignment="1">
      <alignment horizontal="center"/>
      <protection/>
    </xf>
    <xf numFmtId="0" fontId="48" fillId="0" borderId="10" xfId="60" applyFont="1" applyBorder="1" applyAlignment="1">
      <alignment/>
      <protection/>
    </xf>
    <xf numFmtId="0" fontId="54" fillId="0" borderId="41" xfId="0" applyFont="1" applyBorder="1" applyAlignment="1">
      <alignment horizontal="center" vertical="center"/>
    </xf>
    <xf numFmtId="0" fontId="54" fillId="0" borderId="41" xfId="0" applyFont="1" applyBorder="1" applyAlignment="1">
      <alignment vertical="top" wrapText="1"/>
    </xf>
    <xf numFmtId="0" fontId="8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vertical="top" wrapText="1"/>
    </xf>
    <xf numFmtId="4" fontId="48" fillId="36" borderId="10" xfId="0" applyNumberFormat="1" applyFont="1" applyFill="1" applyBorder="1" applyAlignment="1">
      <alignment wrapText="1"/>
    </xf>
    <xf numFmtId="4" fontId="1" fillId="36" borderId="10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wrapText="1"/>
    </xf>
    <xf numFmtId="49" fontId="50" fillId="0" borderId="10" xfId="0" applyNumberFormat="1" applyFont="1" applyBorder="1" applyAlignment="1">
      <alignment horizontal="center"/>
    </xf>
    <xf numFmtId="4" fontId="50" fillId="36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4" fontId="7" fillId="36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wrapText="1"/>
    </xf>
    <xf numFmtId="0" fontId="54" fillId="0" borderId="44" xfId="0" applyFont="1" applyBorder="1" applyAlignment="1">
      <alignment horizontal="center" vertical="center"/>
    </xf>
    <xf numFmtId="0" fontId="54" fillId="0" borderId="44" xfId="0" applyFont="1" applyBorder="1" applyAlignment="1">
      <alignment vertical="top" wrapText="1"/>
    </xf>
    <xf numFmtId="4" fontId="50" fillId="0" borderId="13" xfId="0" applyNumberFormat="1" applyFont="1" applyFill="1" applyBorder="1" applyAlignment="1">
      <alignment vertical="center" wrapText="1"/>
    </xf>
    <xf numFmtId="0" fontId="8" fillId="0" borderId="41" xfId="0" applyFont="1" applyBorder="1" applyAlignment="1">
      <alignment wrapText="1"/>
    </xf>
    <xf numFmtId="0" fontId="54" fillId="0" borderId="45" xfId="0" applyNumberFormat="1" applyFont="1" applyFill="1" applyBorder="1" applyAlignment="1">
      <alignment horizontal="center" vertical="center" wrapText="1"/>
    </xf>
    <xf numFmtId="0" fontId="54" fillId="0" borderId="41" xfId="0" applyFont="1" applyBorder="1" applyAlignment="1">
      <alignment horizontal="left" vertical="center" wrapText="1"/>
    </xf>
    <xf numFmtId="4" fontId="57" fillId="0" borderId="10" xfId="0" applyNumberFormat="1" applyFont="1" applyFill="1" applyBorder="1" applyAlignment="1">
      <alignment vertical="center" wrapText="1"/>
    </xf>
    <xf numFmtId="0" fontId="9" fillId="0" borderId="41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54" applyFont="1" applyFill="1" applyAlignment="1">
      <alignment horizontal="right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59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4" fontId="50" fillId="37" borderId="10" xfId="0" applyNumberFormat="1" applyFont="1" applyFill="1" applyBorder="1" applyAlignment="1">
      <alignment horizontal="right" vertical="center" wrapText="1"/>
    </xf>
    <xf numFmtId="0" fontId="0" fillId="37" borderId="0" xfId="0" applyFill="1" applyAlignment="1">
      <alignment/>
    </xf>
    <xf numFmtId="0" fontId="50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vertical="center" wrapText="1"/>
    </xf>
    <xf numFmtId="4" fontId="50" fillId="35" borderId="1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48" fillId="0" borderId="10" xfId="0" applyFont="1" applyFill="1" applyBorder="1" applyAlignment="1">
      <alignment wrapText="1"/>
    </xf>
    <xf numFmtId="4" fontId="5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vertical="top" wrapText="1"/>
    </xf>
    <xf numFmtId="49" fontId="1" fillId="35" borderId="10" xfId="57" applyNumberFormat="1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 readingOrder="1"/>
    </xf>
    <xf numFmtId="0" fontId="54" fillId="0" borderId="10" xfId="0" applyFont="1" applyFill="1" applyBorder="1" applyAlignment="1">
      <alignment wrapText="1"/>
    </xf>
    <xf numFmtId="4" fontId="47" fillId="0" borderId="10" xfId="0" applyNumberFormat="1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0" fontId="48" fillId="0" borderId="10" xfId="66" applyFont="1" applyBorder="1" applyAlignment="1">
      <alignment vertical="center" wrapText="1"/>
      <protection/>
    </xf>
    <xf numFmtId="0" fontId="7" fillId="0" borderId="10" xfId="65" applyFont="1" applyFill="1" applyBorder="1" applyAlignment="1">
      <alignment wrapText="1"/>
      <protection/>
    </xf>
    <xf numFmtId="49" fontId="48" fillId="0" borderId="10" xfId="65" applyNumberFormat="1" applyFont="1" applyFill="1" applyBorder="1" applyAlignment="1">
      <alignment horizontal="center" vertical="center"/>
      <protection/>
    </xf>
    <xf numFmtId="49" fontId="48" fillId="0" borderId="10" xfId="66" applyNumberFormat="1" applyFont="1" applyBorder="1" applyAlignment="1">
      <alignment horizontal="center" vertical="center"/>
      <protection/>
    </xf>
    <xf numFmtId="0" fontId="48" fillId="0" borderId="10" xfId="59" applyFont="1" applyBorder="1" applyAlignment="1">
      <alignment vertical="top" wrapText="1"/>
      <protection/>
    </xf>
    <xf numFmtId="4" fontId="1" fillId="0" borderId="10" xfId="0" applyNumberFormat="1" applyFont="1" applyBorder="1" applyAlignment="1">
      <alignment vertical="top" wrapText="1"/>
    </xf>
    <xf numFmtId="49" fontId="48" fillId="0" borderId="10" xfId="59" applyNumberFormat="1" applyFont="1" applyBorder="1" applyAlignment="1">
      <alignment horizontal="center" vertical="center"/>
      <protection/>
    </xf>
    <xf numFmtId="4" fontId="50" fillId="0" borderId="10" xfId="59" applyNumberFormat="1" applyFont="1" applyBorder="1" applyAlignment="1">
      <alignment vertical="top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4" fontId="1" fillId="0" borderId="10" xfId="59" applyNumberFormat="1" applyFont="1" applyBorder="1" applyAlignment="1">
      <alignment vertical="top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49" fontId="50" fillId="0" borderId="10" xfId="66" applyNumberFormat="1" applyFont="1" applyBorder="1" applyAlignment="1">
      <alignment horizontal="center" vertical="center"/>
      <protection/>
    </xf>
    <xf numFmtId="0" fontId="1" fillId="0" borderId="10" xfId="65" applyFont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1" fillId="0" borderId="10" xfId="61" applyFont="1" applyFill="1" applyBorder="1" applyAlignment="1">
      <alignment vertical="top" wrapText="1"/>
      <protection/>
    </xf>
    <xf numFmtId="0" fontId="1" fillId="39" borderId="10" xfId="61" applyFont="1" applyFill="1" applyBorder="1" applyAlignment="1">
      <alignment vertical="top" wrapText="1"/>
      <protection/>
    </xf>
    <xf numFmtId="0" fontId="48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 wrapText="1"/>
    </xf>
    <xf numFmtId="0" fontId="7" fillId="0" borderId="10" xfId="65" applyFont="1" applyBorder="1" applyAlignment="1">
      <alignment horizontal="left" wrapText="1"/>
      <protection/>
    </xf>
    <xf numFmtId="49" fontId="1" fillId="35" borderId="10" xfId="65" applyNumberFormat="1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left" vertical="top" wrapText="1"/>
    </xf>
    <xf numFmtId="0" fontId="7" fillId="0" borderId="10" xfId="66" applyFont="1" applyFill="1" applyBorder="1" applyAlignment="1">
      <alignment vertical="top" wrapText="1"/>
      <protection/>
    </xf>
    <xf numFmtId="49" fontId="50" fillId="0" borderId="10" xfId="60" applyNumberFormat="1" applyFont="1" applyBorder="1" applyAlignment="1">
      <alignment horizontal="center" vertical="center"/>
      <protection/>
    </xf>
    <xf numFmtId="0" fontId="48" fillId="0" borderId="10" xfId="60" applyFont="1" applyBorder="1" applyAlignment="1">
      <alignment vertical="center"/>
      <protection/>
    </xf>
    <xf numFmtId="49" fontId="1" fillId="0" borderId="10" xfId="64" applyNumberFormat="1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vertical="top" wrapText="1"/>
      <protection/>
    </xf>
    <xf numFmtId="4" fontId="0" fillId="0" borderId="0" xfId="0" applyNumberFormat="1" applyAlignment="1">
      <alignment horizontal="right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28.10.11г." xfId="59"/>
    <cellStyle name="Обычный_30.04.10г." xfId="60"/>
    <cellStyle name="Обычный_Лист1" xfId="61"/>
    <cellStyle name="Обычный_Пр.1 30.04." xfId="62"/>
    <cellStyle name="Обычный_Пр.4 30.05.08г." xfId="63"/>
    <cellStyle name="Обычный_Прил.3." xfId="64"/>
    <cellStyle name="Обычный_Прил.4" xfId="65"/>
    <cellStyle name="Обычный_Прил.4." xfId="66"/>
    <cellStyle name="Обычный_Ут. на остатки" xfId="67"/>
    <cellStyle name="Обычный_уточненное прилож№1 б-та2002г.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28.125" style="0" customWidth="1"/>
    <col min="2" max="2" width="44.625" style="0" customWidth="1"/>
    <col min="3" max="3" width="17.625" style="334" customWidth="1"/>
    <col min="4" max="4" width="0.12890625" style="0" hidden="1" customWidth="1"/>
    <col min="5" max="5" width="10.375" style="0" customWidth="1"/>
    <col min="6" max="6" width="9.125" style="0" hidden="1" customWidth="1"/>
    <col min="7" max="7" width="10.125" style="0" hidden="1" customWidth="1"/>
    <col min="8" max="8" width="15.375" style="0" hidden="1" customWidth="1"/>
    <col min="9" max="9" width="19.125" style="289" customWidth="1"/>
    <col min="10" max="10" width="18.375" style="0" customWidth="1"/>
    <col min="11" max="11" width="18.125" style="289" customWidth="1"/>
    <col min="12" max="12" width="11.875" style="0" customWidth="1"/>
  </cols>
  <sheetData>
    <row r="1" spans="1:11" s="279" customFormat="1" ht="15.75">
      <c r="A1" s="277" t="s">
        <v>778</v>
      </c>
      <c r="B1" s="277"/>
      <c r="C1" s="277"/>
      <c r="D1" s="278"/>
      <c r="I1" s="280"/>
      <c r="K1" s="280"/>
    </row>
    <row r="2" spans="1:11" s="279" customFormat="1" ht="12.75">
      <c r="A2" s="281" t="s">
        <v>779</v>
      </c>
      <c r="B2" s="281"/>
      <c r="C2" s="281"/>
      <c r="D2" s="282"/>
      <c r="I2" s="280"/>
      <c r="K2" s="280"/>
    </row>
    <row r="3" spans="1:11" s="279" customFormat="1" ht="12.75">
      <c r="A3" s="281" t="s">
        <v>780</v>
      </c>
      <c r="B3" s="281"/>
      <c r="C3" s="281"/>
      <c r="D3" s="282"/>
      <c r="I3" s="280"/>
      <c r="K3" s="280"/>
    </row>
    <row r="4" spans="1:11" s="284" customFormat="1" ht="37.5" customHeight="1">
      <c r="A4" s="282"/>
      <c r="B4" s="283" t="s">
        <v>781</v>
      </c>
      <c r="C4" s="283"/>
      <c r="D4" s="282"/>
      <c r="I4" s="285"/>
      <c r="K4" s="285"/>
    </row>
    <row r="5" spans="1:11" s="284" customFormat="1" ht="12.75">
      <c r="A5" s="282"/>
      <c r="B5" s="283" t="s">
        <v>782</v>
      </c>
      <c r="C5" s="283"/>
      <c r="D5" s="282"/>
      <c r="I5" s="285"/>
      <c r="K5" s="285"/>
    </row>
    <row r="6" spans="1:11" s="284" customFormat="1" ht="12" customHeight="1">
      <c r="A6" s="282"/>
      <c r="B6" s="286" t="s">
        <v>867</v>
      </c>
      <c r="C6" s="286"/>
      <c r="I6" s="285"/>
      <c r="K6" s="285"/>
    </row>
    <row r="7" spans="1:4" ht="12.75" hidden="1">
      <c r="A7" s="287"/>
      <c r="B7" s="288"/>
      <c r="C7" s="288"/>
      <c r="D7" s="287"/>
    </row>
    <row r="8" spans="1:4" ht="18" hidden="1">
      <c r="A8" s="290" t="s">
        <v>783</v>
      </c>
      <c r="B8" s="290"/>
      <c r="C8" s="290"/>
      <c r="D8" s="290"/>
    </row>
    <row r="9" spans="1:4" ht="33.75" customHeight="1">
      <c r="A9" s="291" t="s">
        <v>784</v>
      </c>
      <c r="B9" s="291"/>
      <c r="C9" s="291"/>
      <c r="D9" s="291"/>
    </row>
    <row r="10" spans="1:4" ht="15.75" customHeight="1">
      <c r="A10" s="292" t="s">
        <v>785</v>
      </c>
      <c r="B10" s="292"/>
      <c r="C10" s="292"/>
      <c r="D10" s="292"/>
    </row>
    <row r="11" ht="13.5" customHeight="1">
      <c r="C11" s="293" t="s">
        <v>786</v>
      </c>
    </row>
    <row r="12" spans="1:3" ht="29.25" customHeight="1">
      <c r="A12" s="294" t="s">
        <v>787</v>
      </c>
      <c r="B12" s="294" t="s">
        <v>788</v>
      </c>
      <c r="C12" s="295" t="s">
        <v>0</v>
      </c>
    </row>
    <row r="13" spans="1:3" ht="12.75" customHeight="1">
      <c r="A13" s="294">
        <v>1</v>
      </c>
      <c r="B13" s="294">
        <v>2</v>
      </c>
      <c r="C13" s="296">
        <v>3</v>
      </c>
    </row>
    <row r="14" spans="1:11" s="301" customFormat="1" ht="1.5" customHeight="1" hidden="1">
      <c r="A14" s="297" t="s">
        <v>789</v>
      </c>
      <c r="B14" s="298" t="s">
        <v>790</v>
      </c>
      <c r="C14" s="299">
        <f>C15+C38</f>
        <v>24407548.4799999</v>
      </c>
      <c r="D14" s="300" t="e">
        <f>D15</f>
        <v>#REF!</v>
      </c>
      <c r="I14" s="302"/>
      <c r="K14" s="302"/>
    </row>
    <row r="15" spans="1:4" ht="26.25" customHeight="1">
      <c r="A15" s="303" t="s">
        <v>791</v>
      </c>
      <c r="B15" s="304" t="s">
        <v>792</v>
      </c>
      <c r="C15" s="305">
        <f>C21+C29+C16+C38</f>
        <v>24407548.4799999</v>
      </c>
      <c r="D15" s="306" t="e">
        <f>#REF!+D21+D29</f>
        <v>#REF!</v>
      </c>
    </row>
    <row r="16" spans="1:4" ht="0.75" customHeight="1">
      <c r="A16" s="297" t="s">
        <v>793</v>
      </c>
      <c r="B16" s="307" t="s">
        <v>794</v>
      </c>
      <c r="C16" s="305">
        <f>C17+C20</f>
        <v>0</v>
      </c>
      <c r="D16" s="306"/>
    </row>
    <row r="17" spans="1:4" ht="26.25" customHeight="1" hidden="1">
      <c r="A17" s="303" t="s">
        <v>795</v>
      </c>
      <c r="B17" s="304" t="s">
        <v>796</v>
      </c>
      <c r="C17" s="305">
        <f>C18</f>
        <v>0</v>
      </c>
      <c r="D17" s="306"/>
    </row>
    <row r="18" spans="1:4" ht="39" customHeight="1" hidden="1">
      <c r="A18" s="308" t="s">
        <v>797</v>
      </c>
      <c r="B18" s="304" t="s">
        <v>798</v>
      </c>
      <c r="C18" s="305">
        <v>0</v>
      </c>
      <c r="D18" s="306"/>
    </row>
    <row r="19" spans="1:4" ht="39" customHeight="1" hidden="1">
      <c r="A19" s="308" t="s">
        <v>799</v>
      </c>
      <c r="B19" s="309" t="s">
        <v>800</v>
      </c>
      <c r="C19" s="305">
        <v>0</v>
      </c>
      <c r="D19" s="306"/>
    </row>
    <row r="20" spans="1:4" ht="39" customHeight="1" hidden="1">
      <c r="A20" s="308" t="s">
        <v>801</v>
      </c>
      <c r="B20" s="309" t="s">
        <v>802</v>
      </c>
      <c r="C20" s="305">
        <v>0</v>
      </c>
      <c r="D20" s="306"/>
    </row>
    <row r="21" spans="1:11" ht="38.25">
      <c r="A21" s="297" t="s">
        <v>803</v>
      </c>
      <c r="B21" s="310" t="s">
        <v>804</v>
      </c>
      <c r="C21" s="299">
        <f>C22+C25</f>
        <v>2063000</v>
      </c>
      <c r="D21" s="306">
        <f>D22+D25</f>
        <v>-3544.7309999999998</v>
      </c>
      <c r="J21" s="288"/>
      <c r="K21" s="288"/>
    </row>
    <row r="22" spans="1:11" ht="38.25">
      <c r="A22" s="308" t="s">
        <v>805</v>
      </c>
      <c r="B22" s="311" t="s">
        <v>806</v>
      </c>
      <c r="C22" s="305">
        <f>C23</f>
        <v>2063000</v>
      </c>
      <c r="D22" s="306">
        <f>D23</f>
        <v>21657</v>
      </c>
      <c r="J22" s="312"/>
      <c r="K22" s="312"/>
    </row>
    <row r="23" spans="1:12" ht="51">
      <c r="A23" s="308" t="s">
        <v>807</v>
      </c>
      <c r="B23" s="311" t="s">
        <v>808</v>
      </c>
      <c r="C23" s="305">
        <v>2063000</v>
      </c>
      <c r="D23" s="306">
        <v>21657</v>
      </c>
      <c r="G23" s="313"/>
      <c r="H23" s="289"/>
      <c r="I23" s="314"/>
      <c r="J23" s="314"/>
      <c r="K23" s="314"/>
      <c r="L23" s="287"/>
    </row>
    <row r="24" spans="1:12" ht="51">
      <c r="A24" s="308" t="s">
        <v>809</v>
      </c>
      <c r="B24" s="311" t="s">
        <v>810</v>
      </c>
      <c r="C24" s="305">
        <v>2063000</v>
      </c>
      <c r="D24" s="306"/>
      <c r="G24" s="313"/>
      <c r="H24" s="289"/>
      <c r="I24" s="314"/>
      <c r="J24" s="314"/>
      <c r="K24" s="314"/>
      <c r="L24" s="287"/>
    </row>
    <row r="25" spans="1:10" ht="38.25" customHeight="1" hidden="1">
      <c r="A25" s="308" t="s">
        <v>811</v>
      </c>
      <c r="B25" s="311" t="s">
        <v>812</v>
      </c>
      <c r="C25" s="305">
        <f>C26</f>
        <v>0</v>
      </c>
      <c r="D25" s="306">
        <f>D26</f>
        <v>-25201.731</v>
      </c>
      <c r="H25" s="289"/>
      <c r="J25" s="289"/>
    </row>
    <row r="26" spans="1:11" ht="51" hidden="1">
      <c r="A26" s="308" t="s">
        <v>813</v>
      </c>
      <c r="B26" s="315" t="s">
        <v>814</v>
      </c>
      <c r="C26" s="305">
        <f>C27</f>
        <v>0</v>
      </c>
      <c r="D26" s="306">
        <v>-25201.731</v>
      </c>
      <c r="H26" s="289"/>
      <c r="K26"/>
    </row>
    <row r="27" spans="1:11" ht="39.75" customHeight="1" hidden="1">
      <c r="A27" s="308" t="s">
        <v>815</v>
      </c>
      <c r="B27" s="311" t="s">
        <v>816</v>
      </c>
      <c r="C27" s="305">
        <f>C28</f>
        <v>0</v>
      </c>
      <c r="D27" s="306"/>
      <c r="H27" s="289"/>
      <c r="K27"/>
    </row>
    <row r="28" spans="1:11" ht="52.5" customHeight="1" hidden="1">
      <c r="A28" s="308" t="s">
        <v>817</v>
      </c>
      <c r="B28" s="311" t="s">
        <v>818</v>
      </c>
      <c r="C28" s="305">
        <v>0</v>
      </c>
      <c r="D28" s="306"/>
      <c r="H28" s="289"/>
      <c r="K28"/>
    </row>
    <row r="29" spans="1:8" ht="25.5" customHeight="1">
      <c r="A29" s="297" t="s">
        <v>819</v>
      </c>
      <c r="B29" s="298" t="s">
        <v>820</v>
      </c>
      <c r="C29" s="299">
        <f>C30+C34</f>
        <v>22344548.4799999</v>
      </c>
      <c r="D29" s="306" t="e">
        <f>D30+D34</f>
        <v>#REF!</v>
      </c>
      <c r="H29" s="316"/>
    </row>
    <row r="30" spans="1:10" ht="12.75">
      <c r="A30" s="303" t="s">
        <v>821</v>
      </c>
      <c r="B30" s="315" t="s">
        <v>822</v>
      </c>
      <c r="C30" s="305">
        <f>C31</f>
        <v>-733657988</v>
      </c>
      <c r="D30" s="306">
        <f>D35</f>
        <v>0</v>
      </c>
      <c r="H30" s="316">
        <v>690490539.07</v>
      </c>
      <c r="J30" s="289"/>
    </row>
    <row r="31" spans="1:10" ht="21" customHeight="1">
      <c r="A31" s="303" t="s">
        <v>823</v>
      </c>
      <c r="B31" s="317" t="s">
        <v>824</v>
      </c>
      <c r="C31" s="305">
        <f>C32</f>
        <v>-733657988</v>
      </c>
      <c r="D31" s="306"/>
      <c r="H31" s="316">
        <v>714398087.55</v>
      </c>
      <c r="J31" s="289"/>
    </row>
    <row r="32" spans="1:10" ht="25.5">
      <c r="A32" s="303" t="s">
        <v>825</v>
      </c>
      <c r="B32" s="315" t="s">
        <v>826</v>
      </c>
      <c r="C32" s="305">
        <f>C33</f>
        <v>-733657988</v>
      </c>
      <c r="D32" s="306"/>
      <c r="H32" s="316">
        <f>H30-H31</f>
        <v>-23907548.4799999</v>
      </c>
      <c r="I32" s="316"/>
      <c r="J32" s="316"/>
    </row>
    <row r="33" spans="1:8" ht="25.5">
      <c r="A33" s="303" t="s">
        <v>827</v>
      </c>
      <c r="B33" s="315" t="s">
        <v>828</v>
      </c>
      <c r="C33" s="305">
        <f>-729733565.07-3424422.93-C40</f>
        <v>-733657988</v>
      </c>
      <c r="D33" s="306"/>
      <c r="H33" s="313" t="s">
        <v>829</v>
      </c>
    </row>
    <row r="34" spans="1:4" ht="14.25" customHeight="1">
      <c r="A34" s="303" t="s">
        <v>830</v>
      </c>
      <c r="B34" s="315" t="s">
        <v>831</v>
      </c>
      <c r="C34" s="305">
        <f>C35</f>
        <v>756002536.4799999</v>
      </c>
      <c r="D34" s="306" t="e">
        <f>#REF!</f>
        <v>#REF!</v>
      </c>
    </row>
    <row r="35" spans="1:8" ht="12.75">
      <c r="A35" s="303" t="s">
        <v>832</v>
      </c>
      <c r="B35" s="318" t="s">
        <v>833</v>
      </c>
      <c r="C35" s="305">
        <f>C36</f>
        <v>756002536.4799999</v>
      </c>
      <c r="D35" s="306"/>
      <c r="H35" s="313"/>
    </row>
    <row r="36" spans="1:4" ht="25.5">
      <c r="A36" s="303" t="s">
        <v>834</v>
      </c>
      <c r="B36" s="315" t="s">
        <v>835</v>
      </c>
      <c r="C36" s="305">
        <f>C37</f>
        <v>756002536.4799999</v>
      </c>
      <c r="D36" s="306"/>
    </row>
    <row r="37" spans="1:10" ht="25.5">
      <c r="A37" s="303" t="s">
        <v>836</v>
      </c>
      <c r="B37" s="315" t="s">
        <v>837</v>
      </c>
      <c r="C37" s="305">
        <f>752078113.55+3424422.93-C47</f>
        <v>756002536.4799999</v>
      </c>
      <c r="D37" s="306">
        <v>274680.758</v>
      </c>
      <c r="H37" s="313">
        <v>3424422.93</v>
      </c>
      <c r="J37" s="301"/>
    </row>
    <row r="38" spans="1:3" ht="25.5">
      <c r="A38" s="319" t="s">
        <v>838</v>
      </c>
      <c r="B38" s="320" t="s">
        <v>839</v>
      </c>
      <c r="C38" s="321">
        <f>C39</f>
        <v>0</v>
      </c>
    </row>
    <row r="39" spans="1:3" ht="25.5">
      <c r="A39" s="322" t="s">
        <v>840</v>
      </c>
      <c r="B39" s="323" t="s">
        <v>841</v>
      </c>
      <c r="C39" s="324">
        <f>C40+C47</f>
        <v>0</v>
      </c>
    </row>
    <row r="40" spans="1:3" ht="27.75" customHeight="1">
      <c r="A40" s="325" t="s">
        <v>842</v>
      </c>
      <c r="B40" s="326" t="s">
        <v>843</v>
      </c>
      <c r="C40" s="327">
        <f>C41</f>
        <v>500000</v>
      </c>
    </row>
    <row r="41" spans="1:3" ht="45.75" customHeight="1">
      <c r="A41" s="325" t="s">
        <v>844</v>
      </c>
      <c r="B41" s="326" t="s">
        <v>845</v>
      </c>
      <c r="C41" s="327">
        <f>C42</f>
        <v>500000</v>
      </c>
    </row>
    <row r="42" spans="1:3" ht="48.75" customHeight="1">
      <c r="A42" s="325" t="s">
        <v>846</v>
      </c>
      <c r="B42" s="326" t="s">
        <v>847</v>
      </c>
      <c r="C42" s="327">
        <v>500000</v>
      </c>
    </row>
    <row r="43" spans="1:3" ht="12.75" hidden="1">
      <c r="A43" s="325"/>
      <c r="B43" s="326"/>
      <c r="C43" s="327"/>
    </row>
    <row r="44" spans="1:3" ht="12.75" hidden="1">
      <c r="A44" s="325"/>
      <c r="B44" s="326"/>
      <c r="C44" s="327"/>
    </row>
    <row r="45" spans="1:3" ht="45" hidden="1">
      <c r="A45" s="328" t="s">
        <v>848</v>
      </c>
      <c r="B45" s="329" t="s">
        <v>849</v>
      </c>
      <c r="C45" s="330">
        <v>0</v>
      </c>
    </row>
    <row r="46" spans="1:3" ht="75" hidden="1">
      <c r="A46" s="328" t="s">
        <v>850</v>
      </c>
      <c r="B46" s="329" t="s">
        <v>851</v>
      </c>
      <c r="C46" s="330">
        <v>0</v>
      </c>
    </row>
    <row r="47" spans="1:3" ht="25.5">
      <c r="A47" s="325" t="s">
        <v>852</v>
      </c>
      <c r="B47" s="326" t="s">
        <v>853</v>
      </c>
      <c r="C47" s="327">
        <f>C48</f>
        <v>-500000</v>
      </c>
    </row>
    <row r="48" spans="1:3" ht="51">
      <c r="A48" s="325" t="s">
        <v>854</v>
      </c>
      <c r="B48" s="326" t="s">
        <v>855</v>
      </c>
      <c r="C48" s="327">
        <f>C49</f>
        <v>-500000</v>
      </c>
    </row>
    <row r="49" spans="1:3" ht="44.25" customHeight="1">
      <c r="A49" s="325" t="s">
        <v>856</v>
      </c>
      <c r="B49" s="326" t="s">
        <v>857</v>
      </c>
      <c r="C49" s="327">
        <v>-500000</v>
      </c>
    </row>
    <row r="50" spans="1:3" ht="12.75" hidden="1">
      <c r="A50" s="331"/>
      <c r="B50" s="332"/>
      <c r="C50" s="333"/>
    </row>
    <row r="51" spans="1:3" ht="24" customHeight="1" hidden="1">
      <c r="A51" s="331"/>
      <c r="B51" s="332"/>
      <c r="C51" s="333"/>
    </row>
    <row r="52" spans="1:3" ht="25.5" hidden="1">
      <c r="A52" s="331" t="s">
        <v>858</v>
      </c>
      <c r="B52" s="332" t="s">
        <v>859</v>
      </c>
      <c r="C52" s="333">
        <v>0</v>
      </c>
    </row>
    <row r="53" spans="1:3" ht="48.75" customHeight="1" hidden="1">
      <c r="A53" s="331" t="s">
        <v>856</v>
      </c>
      <c r="B53" s="332" t="s">
        <v>860</v>
      </c>
      <c r="C53" s="333">
        <v>0</v>
      </c>
    </row>
    <row r="57" ht="12.75">
      <c r="I57" s="335"/>
    </row>
    <row r="58" ht="12.75">
      <c r="I58" s="335"/>
    </row>
    <row r="64" ht="12.75">
      <c r="B64" s="301"/>
    </row>
    <row r="65" ht="12.75">
      <c r="B65" s="301"/>
    </row>
    <row r="72" ht="12.75">
      <c r="B72" s="301"/>
    </row>
  </sheetData>
  <sheetProtection/>
  <mergeCells count="12">
    <mergeCell ref="B7:C7"/>
    <mergeCell ref="A8:D8"/>
    <mergeCell ref="A9:D9"/>
    <mergeCell ref="A10:D10"/>
    <mergeCell ref="J21:K21"/>
    <mergeCell ref="J22:K22"/>
    <mergeCell ref="A1:C1"/>
    <mergeCell ref="A2:C2"/>
    <mergeCell ref="A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7"/>
  <sheetViews>
    <sheetView tabSelected="1" view="pageBreakPreview" zoomScale="60" zoomScalePageLayoutView="0" workbookViewId="0" topLeftCell="A1">
      <selection activeCell="B3" sqref="B3:E3"/>
    </sheetView>
  </sheetViews>
  <sheetFormatPr defaultColWidth="9.00390625" defaultRowHeight="12.75"/>
  <cols>
    <col min="1" max="1" width="68.625" style="2" customWidth="1"/>
    <col min="2" max="2" width="15.375" style="92" customWidth="1"/>
    <col min="3" max="3" width="6.375" style="95" customWidth="1"/>
    <col min="4" max="4" width="16.375" style="104" customWidth="1"/>
    <col min="5" max="5" width="16.00390625" style="104" customWidth="1"/>
    <col min="6" max="6" width="18.375" style="1" customWidth="1"/>
    <col min="7" max="7" width="16.375" style="1" customWidth="1"/>
    <col min="8" max="8" width="9.125" style="1" customWidth="1"/>
    <col min="9" max="9" width="19.75390625" style="1" customWidth="1"/>
    <col min="10" max="10" width="19.625" style="1" customWidth="1"/>
    <col min="11" max="16384" width="9.125" style="1" customWidth="1"/>
  </cols>
  <sheetData>
    <row r="1" spans="2:3" ht="15">
      <c r="B1" s="137" t="s">
        <v>732</v>
      </c>
      <c r="C1" s="97"/>
    </row>
    <row r="2" spans="2:7" ht="62.25" customHeight="1">
      <c r="B2" s="276" t="s">
        <v>769</v>
      </c>
      <c r="C2" s="276"/>
      <c r="D2" s="276"/>
      <c r="E2" s="276"/>
      <c r="F2" s="24"/>
      <c r="G2" s="24"/>
    </row>
    <row r="3" spans="1:9" ht="30.75" customHeight="1">
      <c r="A3" s="106"/>
      <c r="B3" s="238" t="s">
        <v>777</v>
      </c>
      <c r="C3" s="238"/>
      <c r="D3" s="238"/>
      <c r="E3" s="238"/>
      <c r="F3" s="2"/>
      <c r="G3" s="2"/>
      <c r="H3" s="138"/>
      <c r="I3" s="138"/>
    </row>
    <row r="4" spans="1:9" ht="64.5" customHeight="1">
      <c r="A4" s="267" t="s">
        <v>733</v>
      </c>
      <c r="B4" s="267"/>
      <c r="C4" s="267"/>
      <c r="D4" s="267"/>
      <c r="E4" s="267"/>
      <c r="F4" s="267"/>
      <c r="G4" s="267"/>
      <c r="H4" s="267"/>
      <c r="I4" s="267"/>
    </row>
    <row r="5" spans="3:5" ht="17.25" customHeight="1">
      <c r="C5" s="140"/>
      <c r="D5" s="79"/>
      <c r="E5" s="79" t="s">
        <v>4</v>
      </c>
    </row>
    <row r="6" spans="1:5" ht="34.5" customHeight="1">
      <c r="A6" s="7" t="s">
        <v>5</v>
      </c>
      <c r="B6" s="235" t="s">
        <v>8</v>
      </c>
      <c r="C6" s="236" t="s">
        <v>9</v>
      </c>
      <c r="D6" s="110" t="s">
        <v>734</v>
      </c>
      <c r="E6" s="110" t="s">
        <v>735</v>
      </c>
    </row>
    <row r="7" spans="1:7" s="28" customFormat="1" ht="12.75" customHeight="1">
      <c r="A7" s="25">
        <v>1</v>
      </c>
      <c r="B7" s="26" t="s">
        <v>11</v>
      </c>
      <c r="C7" s="26" t="s">
        <v>12</v>
      </c>
      <c r="D7" s="207" t="s">
        <v>13</v>
      </c>
      <c r="E7" s="208">
        <v>5</v>
      </c>
      <c r="F7" s="100"/>
      <c r="G7" s="100"/>
    </row>
    <row r="8" spans="1:10" s="34" customFormat="1" ht="20.25">
      <c r="A8" s="15" t="s">
        <v>15</v>
      </c>
      <c r="B8" s="29"/>
      <c r="C8" s="142"/>
      <c r="D8" s="125">
        <f>D10+D38+D97+D187+D194+D199+D208+D232+D264+D269+D277+D305+D334+D343+D366+D370+D380+D386+D394+D400+D432+D440+D352++D320+D357+D436+D9</f>
        <v>651710898</v>
      </c>
      <c r="E8" s="125">
        <f>E10+E38+E97+E187+E194+E199+E208+E232+E264+E269+E277+E305+E334+E343+E366+E370+E380+E386+E394+E400+E432+E440+E352++E320+E357+E436+E9</f>
        <v>653825556</v>
      </c>
      <c r="F8" s="112"/>
      <c r="G8" s="112"/>
      <c r="I8" s="209"/>
      <c r="J8" s="209"/>
    </row>
    <row r="9" spans="1:7" s="34" customFormat="1" ht="20.25">
      <c r="A9" s="16" t="s">
        <v>640</v>
      </c>
      <c r="B9" s="29"/>
      <c r="C9" s="142"/>
      <c r="D9" s="31">
        <v>4067500</v>
      </c>
      <c r="E9" s="31">
        <v>8097300</v>
      </c>
      <c r="F9" s="210"/>
      <c r="G9" s="210"/>
    </row>
    <row r="10" spans="1:7" ht="34.5" customHeight="1">
      <c r="A10" s="16" t="s">
        <v>512</v>
      </c>
      <c r="B10" s="29" t="s">
        <v>714</v>
      </c>
      <c r="C10" s="30"/>
      <c r="D10" s="125">
        <f>D11+D20+D26</f>
        <v>26070408</v>
      </c>
      <c r="E10" s="125">
        <f>E11+E20+E26</f>
        <v>25184309</v>
      </c>
      <c r="G10" s="21"/>
    </row>
    <row r="11" spans="1:5" ht="30" customHeight="1">
      <c r="A11" s="16" t="s">
        <v>514</v>
      </c>
      <c r="B11" s="29" t="s">
        <v>516</v>
      </c>
      <c r="C11" s="30"/>
      <c r="D11" s="125">
        <f>D12</f>
        <v>12060394</v>
      </c>
      <c r="E11" s="125">
        <f>E12</f>
        <v>11620114</v>
      </c>
    </row>
    <row r="12" spans="1:5" ht="39" customHeight="1">
      <c r="A12" s="13" t="s">
        <v>517</v>
      </c>
      <c r="B12" s="29" t="s">
        <v>518</v>
      </c>
      <c r="C12" s="30"/>
      <c r="D12" s="125">
        <f>D13+D18</f>
        <v>12060394</v>
      </c>
      <c r="E12" s="125">
        <f>E13+E18</f>
        <v>11620114</v>
      </c>
    </row>
    <row r="13" spans="1:5" ht="27" customHeight="1">
      <c r="A13" s="16" t="s">
        <v>201</v>
      </c>
      <c r="B13" s="50" t="s">
        <v>715</v>
      </c>
      <c r="C13" s="30"/>
      <c r="D13" s="125">
        <f>D14+D15+D16+D17</f>
        <v>12060394</v>
      </c>
      <c r="E13" s="125">
        <f>E14+E15+E16+E17</f>
        <v>11620114</v>
      </c>
    </row>
    <row r="14" spans="1:5" ht="39.75" customHeight="1">
      <c r="A14" s="35" t="s">
        <v>26</v>
      </c>
      <c r="B14" s="50" t="s">
        <v>715</v>
      </c>
      <c r="C14" s="30" t="s">
        <v>27</v>
      </c>
      <c r="D14" s="31">
        <f>10949700+2314300-2885420</f>
        <v>10378580</v>
      </c>
      <c r="E14" s="31">
        <f>10949700+2314300-2885420-440280</f>
        <v>9938300</v>
      </c>
    </row>
    <row r="15" spans="1:5" ht="26.25" customHeight="1">
      <c r="A15" s="35" t="s">
        <v>38</v>
      </c>
      <c r="B15" s="50" t="s">
        <v>715</v>
      </c>
      <c r="C15" s="30" t="s">
        <v>39</v>
      </c>
      <c r="D15" s="31">
        <f>75300+15400+35000+32000+12000+78200+460700+6000+92000+10000+40000+532000</f>
        <v>1388600</v>
      </c>
      <c r="E15" s="31">
        <f>75300+15400+35000+32000+12000+78200+460700+6000+92000+10000+40000+532000</f>
        <v>1388600</v>
      </c>
    </row>
    <row r="16" spans="1:5" ht="27" customHeight="1" hidden="1">
      <c r="A16" s="16" t="s">
        <v>271</v>
      </c>
      <c r="B16" s="50" t="s">
        <v>715</v>
      </c>
      <c r="C16" s="30" t="s">
        <v>272</v>
      </c>
      <c r="D16" s="31"/>
      <c r="E16" s="31"/>
    </row>
    <row r="17" spans="1:5" ht="21.75" customHeight="1">
      <c r="A17" s="48" t="s">
        <v>84</v>
      </c>
      <c r="B17" s="50" t="s">
        <v>715</v>
      </c>
      <c r="C17" s="30" t="s">
        <v>85</v>
      </c>
      <c r="D17" s="31">
        <f>280514+12700</f>
        <v>293214</v>
      </c>
      <c r="E17" s="31">
        <f>280514+12700</f>
        <v>293214</v>
      </c>
    </row>
    <row r="18" spans="1:5" ht="26.25" customHeight="1" hidden="1">
      <c r="A18" s="35" t="s">
        <v>520</v>
      </c>
      <c r="B18" s="29" t="s">
        <v>521</v>
      </c>
      <c r="C18" s="30"/>
      <c r="D18" s="125">
        <f>D19</f>
        <v>0</v>
      </c>
      <c r="E18" s="125">
        <f>E19</f>
        <v>0</v>
      </c>
    </row>
    <row r="19" spans="1:5" ht="26.25" customHeight="1" hidden="1">
      <c r="A19" s="35" t="s">
        <v>38</v>
      </c>
      <c r="B19" s="29" t="s">
        <v>521</v>
      </c>
      <c r="C19" s="30" t="s">
        <v>39</v>
      </c>
      <c r="D19" s="31"/>
      <c r="E19" s="31"/>
    </row>
    <row r="20" spans="1:5" ht="30.75" customHeight="1">
      <c r="A20" s="16" t="s">
        <v>522</v>
      </c>
      <c r="B20" s="50" t="s">
        <v>523</v>
      </c>
      <c r="C20" s="30"/>
      <c r="D20" s="125">
        <f>D21</f>
        <v>9361635</v>
      </c>
      <c r="E20" s="125">
        <f>E21</f>
        <v>9035977</v>
      </c>
    </row>
    <row r="21" spans="1:5" ht="28.5" customHeight="1">
      <c r="A21" s="10" t="s">
        <v>524</v>
      </c>
      <c r="B21" s="50" t="s">
        <v>525</v>
      </c>
      <c r="C21" s="30"/>
      <c r="D21" s="125">
        <f>D22</f>
        <v>9361635</v>
      </c>
      <c r="E21" s="125">
        <f>E22</f>
        <v>9035977</v>
      </c>
    </row>
    <row r="22" spans="1:5" ht="26.25">
      <c r="A22" s="16" t="s">
        <v>201</v>
      </c>
      <c r="B22" s="50" t="s">
        <v>526</v>
      </c>
      <c r="C22" s="30"/>
      <c r="D22" s="125">
        <f>D23+D24+D25</f>
        <v>9361635</v>
      </c>
      <c r="E22" s="125">
        <f>E23+E24+E25</f>
        <v>9035977</v>
      </c>
    </row>
    <row r="23" spans="1:5" ht="39.75" customHeight="1">
      <c r="A23" s="35" t="s">
        <v>26</v>
      </c>
      <c r="B23" s="50" t="s">
        <v>526</v>
      </c>
      <c r="C23" s="30" t="s">
        <v>27</v>
      </c>
      <c r="D23" s="31">
        <f>8860000+40000+2676000-2468859</f>
        <v>9107141</v>
      </c>
      <c r="E23" s="31">
        <f>8860000+40000+2676000-2468859-325658</f>
        <v>8781483</v>
      </c>
    </row>
    <row r="24" spans="1:5" ht="26.25">
      <c r="A24" s="35" t="s">
        <v>38</v>
      </c>
      <c r="B24" s="50" t="s">
        <v>526</v>
      </c>
      <c r="C24" s="30" t="s">
        <v>39</v>
      </c>
      <c r="D24" s="31">
        <f>20800+6800+1000+15000+60000+5000+111694</f>
        <v>220294</v>
      </c>
      <c r="E24" s="31">
        <f>20800+6800+1000+15000+60000+5000+111694</f>
        <v>220294</v>
      </c>
    </row>
    <row r="25" spans="1:5" ht="15" customHeight="1">
      <c r="A25" s="48" t="s">
        <v>84</v>
      </c>
      <c r="B25" s="50" t="s">
        <v>526</v>
      </c>
      <c r="C25" s="30" t="s">
        <v>85</v>
      </c>
      <c r="D25" s="31">
        <f>34200</f>
        <v>34200</v>
      </c>
      <c r="E25" s="31">
        <f>34200</f>
        <v>34200</v>
      </c>
    </row>
    <row r="26" spans="1:5" ht="42" customHeight="1">
      <c r="A26" s="16" t="s">
        <v>531</v>
      </c>
      <c r="B26" s="29" t="s">
        <v>532</v>
      </c>
      <c r="C26" s="30"/>
      <c r="D26" s="125">
        <f>D27+D32+D35</f>
        <v>4648379</v>
      </c>
      <c r="E26" s="125">
        <f>E27+E32+E35</f>
        <v>4528218</v>
      </c>
    </row>
    <row r="27" spans="1:5" ht="28.5" customHeight="1">
      <c r="A27" s="86" t="s">
        <v>533</v>
      </c>
      <c r="B27" s="29" t="s">
        <v>534</v>
      </c>
      <c r="C27" s="30"/>
      <c r="D27" s="125">
        <f>D28</f>
        <v>2922971</v>
      </c>
      <c r="E27" s="125">
        <f>E28</f>
        <v>2802810</v>
      </c>
    </row>
    <row r="28" spans="1:5" ht="26.25" customHeight="1">
      <c r="A28" s="16" t="s">
        <v>201</v>
      </c>
      <c r="B28" s="29" t="s">
        <v>535</v>
      </c>
      <c r="C28" s="30"/>
      <c r="D28" s="125">
        <f>D29+D30+D31</f>
        <v>2922971</v>
      </c>
      <c r="E28" s="125">
        <f>E29+E30+E31</f>
        <v>2802810</v>
      </c>
    </row>
    <row r="29" spans="1:5" ht="26.25" customHeight="1">
      <c r="A29" s="35" t="s">
        <v>26</v>
      </c>
      <c r="B29" s="29" t="s">
        <v>535</v>
      </c>
      <c r="C29" s="30" t="s">
        <v>27</v>
      </c>
      <c r="D29" s="31">
        <f>2782000+10000+840000-847829</f>
        <v>2784171</v>
      </c>
      <c r="E29" s="31">
        <f>2782000+10000+840000-847829-120161</f>
        <v>2664010</v>
      </c>
    </row>
    <row r="30" spans="1:5" ht="26.25" customHeight="1">
      <c r="A30" s="35" t="s">
        <v>38</v>
      </c>
      <c r="B30" s="29" t="s">
        <v>535</v>
      </c>
      <c r="C30" s="30" t="s">
        <v>39</v>
      </c>
      <c r="D30" s="31">
        <f>32500+65300+2000+7000+32000</f>
        <v>138800</v>
      </c>
      <c r="E30" s="31">
        <f>32500+65300+2000+7000+32000</f>
        <v>138800</v>
      </c>
    </row>
    <row r="31" spans="1:5" ht="18.75" customHeight="1" hidden="1">
      <c r="A31" s="48" t="s">
        <v>84</v>
      </c>
      <c r="B31" s="29" t="s">
        <v>535</v>
      </c>
      <c r="C31" s="30" t="s">
        <v>85</v>
      </c>
      <c r="D31" s="31"/>
      <c r="E31" s="31"/>
    </row>
    <row r="32" spans="1:5" ht="42.75" customHeight="1">
      <c r="A32" s="87" t="s">
        <v>536</v>
      </c>
      <c r="B32" s="29" t="s">
        <v>537</v>
      </c>
      <c r="C32" s="30"/>
      <c r="D32" s="125">
        <f>D34</f>
        <v>59958</v>
      </c>
      <c r="E32" s="125">
        <f>E34</f>
        <v>59958</v>
      </c>
    </row>
    <row r="33" spans="1:5" ht="41.25" customHeight="1">
      <c r="A33" s="8" t="s">
        <v>538</v>
      </c>
      <c r="B33" s="29" t="s">
        <v>539</v>
      </c>
      <c r="C33" s="30"/>
      <c r="D33" s="125">
        <f>D34</f>
        <v>59958</v>
      </c>
      <c r="E33" s="125">
        <f>E34</f>
        <v>59958</v>
      </c>
    </row>
    <row r="34" spans="1:5" ht="46.5" customHeight="1">
      <c r="A34" s="35" t="s">
        <v>26</v>
      </c>
      <c r="B34" s="29" t="s">
        <v>539</v>
      </c>
      <c r="C34" s="30" t="s">
        <v>27</v>
      </c>
      <c r="D34" s="31">
        <v>59958</v>
      </c>
      <c r="E34" s="31">
        <v>59958</v>
      </c>
    </row>
    <row r="35" spans="1:5" ht="30.75" customHeight="1">
      <c r="A35" s="14" t="s">
        <v>554</v>
      </c>
      <c r="B35" s="29" t="s">
        <v>555</v>
      </c>
      <c r="C35" s="30"/>
      <c r="D35" s="125">
        <f>D36</f>
        <v>1665450</v>
      </c>
      <c r="E35" s="125">
        <f>E36</f>
        <v>1665450</v>
      </c>
    </row>
    <row r="36" spans="1:5" ht="30" customHeight="1">
      <c r="A36" s="118" t="s">
        <v>556</v>
      </c>
      <c r="B36" s="47" t="s">
        <v>557</v>
      </c>
      <c r="C36" s="30"/>
      <c r="D36" s="125">
        <f>D37</f>
        <v>1665450</v>
      </c>
      <c r="E36" s="125">
        <f>E37</f>
        <v>1665450</v>
      </c>
    </row>
    <row r="37" spans="1:5" ht="18.75" customHeight="1">
      <c r="A37" s="48" t="s">
        <v>211</v>
      </c>
      <c r="B37" s="47" t="s">
        <v>557</v>
      </c>
      <c r="C37" s="30" t="s">
        <v>212</v>
      </c>
      <c r="D37" s="31">
        <f>1665442+8</f>
        <v>1665450</v>
      </c>
      <c r="E37" s="31">
        <f>1665442+8</f>
        <v>1665450</v>
      </c>
    </row>
    <row r="38" spans="1:5" ht="30.75" customHeight="1">
      <c r="A38" s="16" t="s">
        <v>546</v>
      </c>
      <c r="B38" s="29" t="s">
        <v>44</v>
      </c>
      <c r="C38" s="30"/>
      <c r="D38" s="125">
        <f>D39+D68+D82</f>
        <v>98707705</v>
      </c>
      <c r="E38" s="125">
        <f>E39+E68+E82</f>
        <v>98324784</v>
      </c>
    </row>
    <row r="39" spans="1:5" ht="54.75" customHeight="1">
      <c r="A39" s="9" t="s">
        <v>559</v>
      </c>
      <c r="B39" s="29" t="s">
        <v>126</v>
      </c>
      <c r="C39" s="30"/>
      <c r="D39" s="125">
        <f>D40+D62+D65</f>
        <v>65583285</v>
      </c>
      <c r="E39" s="125">
        <f>E40+E62+E65</f>
        <v>68922606</v>
      </c>
    </row>
    <row r="40" spans="1:5" ht="30" customHeight="1">
      <c r="A40" s="9" t="s">
        <v>560</v>
      </c>
      <c r="B40" s="29" t="s">
        <v>561</v>
      </c>
      <c r="C40" s="30"/>
      <c r="D40" s="31">
        <f>D41+D50+D53+D56+D59+D44+D46+D48</f>
        <v>65273885</v>
      </c>
      <c r="E40" s="31">
        <f>E41+E50+E53+E56+E59+E44+E46+E48</f>
        <v>68613206</v>
      </c>
    </row>
    <row r="41" spans="1:5" ht="15">
      <c r="A41" s="16" t="s">
        <v>580</v>
      </c>
      <c r="B41" s="29" t="s">
        <v>581</v>
      </c>
      <c r="C41" s="30"/>
      <c r="D41" s="31">
        <f>D43+D42</f>
        <v>2093641</v>
      </c>
      <c r="E41" s="31">
        <f>E43+E42</f>
        <v>2093641</v>
      </c>
    </row>
    <row r="42" spans="1:5" ht="27" customHeight="1">
      <c r="A42" s="35" t="s">
        <v>38</v>
      </c>
      <c r="B42" s="29" t="s">
        <v>581</v>
      </c>
      <c r="C42" s="30" t="s">
        <v>39</v>
      </c>
      <c r="D42" s="31">
        <v>350</v>
      </c>
      <c r="E42" s="31">
        <v>350</v>
      </c>
    </row>
    <row r="43" spans="1:5" ht="19.5" customHeight="1">
      <c r="A43" s="88" t="s">
        <v>211</v>
      </c>
      <c r="B43" s="29" t="s">
        <v>581</v>
      </c>
      <c r="C43" s="30" t="s">
        <v>212</v>
      </c>
      <c r="D43" s="31">
        <v>2093291</v>
      </c>
      <c r="E43" s="31">
        <v>2093291</v>
      </c>
    </row>
    <row r="44" spans="1:5" ht="15">
      <c r="A44" s="88" t="s">
        <v>582</v>
      </c>
      <c r="B44" s="29" t="s">
        <v>583</v>
      </c>
      <c r="C44" s="30"/>
      <c r="D44" s="31">
        <f>D45</f>
        <v>52313590</v>
      </c>
      <c r="E44" s="31">
        <f>E45</f>
        <v>55606484</v>
      </c>
    </row>
    <row r="45" spans="1:5" ht="13.5" customHeight="1">
      <c r="A45" s="88" t="s">
        <v>211</v>
      </c>
      <c r="B45" s="29" t="s">
        <v>583</v>
      </c>
      <c r="C45" s="30" t="s">
        <v>212</v>
      </c>
      <c r="D45" s="31">
        <v>52313590</v>
      </c>
      <c r="E45" s="31">
        <v>55606484</v>
      </c>
    </row>
    <row r="46" spans="1:5" ht="38.25" customHeight="1" hidden="1">
      <c r="A46" s="10" t="s">
        <v>584</v>
      </c>
      <c r="B46" s="29" t="s">
        <v>585</v>
      </c>
      <c r="C46" s="30"/>
      <c r="D46" s="31">
        <f>D47</f>
        <v>0</v>
      </c>
      <c r="E46" s="31">
        <f>E47</f>
        <v>0</v>
      </c>
    </row>
    <row r="47" spans="1:5" ht="15" customHeight="1" hidden="1">
      <c r="A47" s="88" t="s">
        <v>211</v>
      </c>
      <c r="B47" s="29" t="s">
        <v>585</v>
      </c>
      <c r="C47" s="30" t="s">
        <v>212</v>
      </c>
      <c r="D47" s="31"/>
      <c r="E47" s="211"/>
    </row>
    <row r="48" spans="1:5" ht="25.5">
      <c r="A48" s="88" t="s">
        <v>586</v>
      </c>
      <c r="B48" s="29" t="s">
        <v>587</v>
      </c>
      <c r="C48" s="30"/>
      <c r="D48" s="31">
        <f>D49</f>
        <v>1027291</v>
      </c>
      <c r="E48" s="31">
        <f>E49</f>
        <v>1073718</v>
      </c>
    </row>
    <row r="49" spans="1:5" ht="26.25">
      <c r="A49" s="35" t="s">
        <v>38</v>
      </c>
      <c r="B49" s="29" t="s">
        <v>587</v>
      </c>
      <c r="C49" s="30" t="s">
        <v>39</v>
      </c>
      <c r="D49" s="31">
        <v>1027291</v>
      </c>
      <c r="E49" s="31">
        <v>1073718</v>
      </c>
    </row>
    <row r="50" spans="1:5" ht="26.25">
      <c r="A50" s="8" t="s">
        <v>562</v>
      </c>
      <c r="B50" s="29" t="s">
        <v>563</v>
      </c>
      <c r="C50" s="30"/>
      <c r="D50" s="31">
        <f>D52+D51</f>
        <v>45722</v>
      </c>
      <c r="E50" s="31">
        <f>E52+E51</f>
        <v>45722</v>
      </c>
    </row>
    <row r="51" spans="1:5" ht="30.75" customHeight="1">
      <c r="A51" s="35" t="s">
        <v>38</v>
      </c>
      <c r="B51" s="29" t="s">
        <v>563</v>
      </c>
      <c r="C51" s="30" t="s">
        <v>39</v>
      </c>
      <c r="D51" s="31">
        <f>450+120</f>
        <v>570</v>
      </c>
      <c r="E51" s="31">
        <f>450+120</f>
        <v>570</v>
      </c>
    </row>
    <row r="52" spans="1:5" ht="17.25" customHeight="1">
      <c r="A52" s="88" t="s">
        <v>211</v>
      </c>
      <c r="B52" s="29" t="s">
        <v>563</v>
      </c>
      <c r="C52" s="30" t="s">
        <v>212</v>
      </c>
      <c r="D52" s="31">
        <v>45152</v>
      </c>
      <c r="E52" s="31">
        <v>45152</v>
      </c>
    </row>
    <row r="53" spans="1:5" ht="29.25" customHeight="1">
      <c r="A53" s="8" t="s">
        <v>564</v>
      </c>
      <c r="B53" s="29" t="s">
        <v>565</v>
      </c>
      <c r="C53" s="30"/>
      <c r="D53" s="31">
        <f>D55+D54</f>
        <v>204221</v>
      </c>
      <c r="E53" s="31">
        <f>E55+E54</f>
        <v>204221</v>
      </c>
    </row>
    <row r="54" spans="1:5" ht="31.5" customHeight="1">
      <c r="A54" s="35" t="s">
        <v>38</v>
      </c>
      <c r="B54" s="29" t="s">
        <v>565</v>
      </c>
      <c r="C54" s="30" t="s">
        <v>39</v>
      </c>
      <c r="D54" s="31">
        <f>2500+500</f>
        <v>3000</v>
      </c>
      <c r="E54" s="31">
        <f>2500+500</f>
        <v>3000</v>
      </c>
    </row>
    <row r="55" spans="1:5" ht="15">
      <c r="A55" s="88" t="s">
        <v>211</v>
      </c>
      <c r="B55" s="29" t="s">
        <v>565</v>
      </c>
      <c r="C55" s="30" t="s">
        <v>212</v>
      </c>
      <c r="D55" s="31">
        <v>201221</v>
      </c>
      <c r="E55" s="31">
        <v>201221</v>
      </c>
    </row>
    <row r="56" spans="1:5" ht="15">
      <c r="A56" s="16" t="s">
        <v>566</v>
      </c>
      <c r="B56" s="29" t="s">
        <v>567</v>
      </c>
      <c r="C56" s="30"/>
      <c r="D56" s="31">
        <f>D58+D57</f>
        <v>8869420</v>
      </c>
      <c r="E56" s="31">
        <f>E58+E57</f>
        <v>8869420</v>
      </c>
    </row>
    <row r="57" spans="1:5" ht="32.25" customHeight="1">
      <c r="A57" s="35" t="s">
        <v>38</v>
      </c>
      <c r="B57" s="29" t="s">
        <v>567</v>
      </c>
      <c r="C57" s="30" t="s">
        <v>39</v>
      </c>
      <c r="D57" s="31">
        <f>80000+23000</f>
        <v>103000</v>
      </c>
      <c r="E57" s="31">
        <f>80000+23000</f>
        <v>103000</v>
      </c>
    </row>
    <row r="58" spans="1:5" ht="19.5" customHeight="1">
      <c r="A58" s="88" t="s">
        <v>211</v>
      </c>
      <c r="B58" s="29" t="s">
        <v>567</v>
      </c>
      <c r="C58" s="30" t="s">
        <v>212</v>
      </c>
      <c r="D58" s="31">
        <v>8766420</v>
      </c>
      <c r="E58" s="31">
        <v>8766420</v>
      </c>
    </row>
    <row r="59" spans="1:5" ht="15">
      <c r="A59" s="16" t="s">
        <v>568</v>
      </c>
      <c r="B59" s="29" t="s">
        <v>569</v>
      </c>
      <c r="C59" s="30"/>
      <c r="D59" s="31">
        <f>D61+D60</f>
        <v>720000</v>
      </c>
      <c r="E59" s="31">
        <f>E61+E60</f>
        <v>720000</v>
      </c>
    </row>
    <row r="60" spans="1:5" ht="28.5" customHeight="1">
      <c r="A60" s="35" t="s">
        <v>38</v>
      </c>
      <c r="B60" s="29" t="s">
        <v>569</v>
      </c>
      <c r="C60" s="30" t="s">
        <v>39</v>
      </c>
      <c r="D60" s="31">
        <f>10800+800</f>
        <v>11600</v>
      </c>
      <c r="E60" s="31">
        <f>10800+800</f>
        <v>11600</v>
      </c>
    </row>
    <row r="61" spans="1:5" ht="21.75" customHeight="1">
      <c r="A61" s="88" t="s">
        <v>211</v>
      </c>
      <c r="B61" s="29" t="s">
        <v>569</v>
      </c>
      <c r="C61" s="30" t="s">
        <v>212</v>
      </c>
      <c r="D61" s="31">
        <v>708400</v>
      </c>
      <c r="E61" s="31">
        <v>708400</v>
      </c>
    </row>
    <row r="62" spans="1:5" ht="33" customHeight="1">
      <c r="A62" s="9" t="s">
        <v>127</v>
      </c>
      <c r="B62" s="29" t="s">
        <v>128</v>
      </c>
      <c r="C62" s="30"/>
      <c r="D62" s="31">
        <f>D63</f>
        <v>14000</v>
      </c>
      <c r="E62" s="31">
        <f>E63</f>
        <v>14000</v>
      </c>
    </row>
    <row r="63" spans="1:5" ht="15" customHeight="1">
      <c r="A63" s="35" t="s">
        <v>129</v>
      </c>
      <c r="B63" s="50" t="s">
        <v>130</v>
      </c>
      <c r="C63" s="30"/>
      <c r="D63" s="31">
        <f>D64</f>
        <v>14000</v>
      </c>
      <c r="E63" s="31">
        <f>E64</f>
        <v>14000</v>
      </c>
    </row>
    <row r="64" spans="1:5" ht="27.75" customHeight="1">
      <c r="A64" s="35" t="s">
        <v>38</v>
      </c>
      <c r="B64" s="50" t="s">
        <v>130</v>
      </c>
      <c r="C64" s="30" t="s">
        <v>39</v>
      </c>
      <c r="D64" s="31">
        <v>14000</v>
      </c>
      <c r="E64" s="31">
        <v>14000</v>
      </c>
    </row>
    <row r="65" spans="1:5" ht="27.75" customHeight="1">
      <c r="A65" s="14" t="s">
        <v>548</v>
      </c>
      <c r="B65" s="29" t="s">
        <v>549</v>
      </c>
      <c r="C65" s="30"/>
      <c r="D65" s="125">
        <f>D66</f>
        <v>295400</v>
      </c>
      <c r="E65" s="125">
        <f>E66</f>
        <v>295400</v>
      </c>
    </row>
    <row r="66" spans="1:5" ht="18.75" customHeight="1">
      <c r="A66" s="63" t="s">
        <v>550</v>
      </c>
      <c r="B66" s="29" t="s">
        <v>736</v>
      </c>
      <c r="C66" s="30"/>
      <c r="D66" s="125">
        <f>D67</f>
        <v>295400</v>
      </c>
      <c r="E66" s="125">
        <f>E67</f>
        <v>295400</v>
      </c>
    </row>
    <row r="67" spans="1:5" ht="18.75" customHeight="1">
      <c r="A67" s="48" t="s">
        <v>211</v>
      </c>
      <c r="B67" s="29" t="s">
        <v>736</v>
      </c>
      <c r="C67" s="30" t="s">
        <v>212</v>
      </c>
      <c r="D67" s="31">
        <v>295400</v>
      </c>
      <c r="E67" s="31">
        <v>295400</v>
      </c>
    </row>
    <row r="68" spans="1:5" ht="53.25" customHeight="1">
      <c r="A68" s="63" t="s">
        <v>588</v>
      </c>
      <c r="B68" s="36" t="s">
        <v>46</v>
      </c>
      <c r="C68" s="37"/>
      <c r="D68" s="125">
        <f>D69+D72+D76+D79</f>
        <v>29676720</v>
      </c>
      <c r="E68" s="125">
        <f>E69+E72+E76+E79</f>
        <v>25954478</v>
      </c>
    </row>
    <row r="69" spans="1:5" ht="42" customHeight="1">
      <c r="A69" s="10" t="s">
        <v>589</v>
      </c>
      <c r="B69" s="29" t="s">
        <v>590</v>
      </c>
      <c r="C69" s="30"/>
      <c r="D69" s="125">
        <f>D70</f>
        <v>16393027</v>
      </c>
      <c r="E69" s="125">
        <f>E70</f>
        <v>16754983</v>
      </c>
    </row>
    <row r="70" spans="1:5" ht="25.5" customHeight="1">
      <c r="A70" s="8" t="s">
        <v>591</v>
      </c>
      <c r="B70" s="29" t="s">
        <v>592</v>
      </c>
      <c r="C70" s="30"/>
      <c r="D70" s="125">
        <f>D71</f>
        <v>16393027</v>
      </c>
      <c r="E70" s="125">
        <f>E71</f>
        <v>16754983</v>
      </c>
    </row>
    <row r="71" spans="1:5" ht="15">
      <c r="A71" s="88" t="s">
        <v>211</v>
      </c>
      <c r="B71" s="29" t="s">
        <v>592</v>
      </c>
      <c r="C71" s="30" t="s">
        <v>212</v>
      </c>
      <c r="D71" s="31">
        <v>16393027</v>
      </c>
      <c r="E71" s="31">
        <v>16754983</v>
      </c>
    </row>
    <row r="72" spans="1:5" ht="42.75" customHeight="1">
      <c r="A72" s="43" t="s">
        <v>47</v>
      </c>
      <c r="B72" s="36" t="s">
        <v>48</v>
      </c>
      <c r="C72" s="37"/>
      <c r="D72" s="125">
        <f>D73</f>
        <v>1004100</v>
      </c>
      <c r="E72" s="125">
        <f>E73</f>
        <v>1004100</v>
      </c>
    </row>
    <row r="73" spans="1:5" ht="41.25" customHeight="1">
      <c r="A73" s="118" t="s">
        <v>49</v>
      </c>
      <c r="B73" s="36" t="s">
        <v>50</v>
      </c>
      <c r="C73" s="37"/>
      <c r="D73" s="125">
        <f>D74+D75</f>
        <v>1004100</v>
      </c>
      <c r="E73" s="125">
        <f>E74+E75</f>
        <v>1004100</v>
      </c>
    </row>
    <row r="74" spans="1:5" ht="39">
      <c r="A74" s="35" t="s">
        <v>26</v>
      </c>
      <c r="B74" s="36" t="s">
        <v>50</v>
      </c>
      <c r="C74" s="37" t="s">
        <v>27</v>
      </c>
      <c r="D74" s="31">
        <v>938056</v>
      </c>
      <c r="E74" s="31">
        <v>938056</v>
      </c>
    </row>
    <row r="75" spans="1:5" ht="26.25">
      <c r="A75" s="35" t="s">
        <v>38</v>
      </c>
      <c r="B75" s="36" t="s">
        <v>50</v>
      </c>
      <c r="C75" s="37" t="s">
        <v>39</v>
      </c>
      <c r="D75" s="31">
        <f>12000+54044</f>
        <v>66044</v>
      </c>
      <c r="E75" s="31">
        <f>12000+54044</f>
        <v>66044</v>
      </c>
    </row>
    <row r="76" spans="1:5" ht="31.5" customHeight="1">
      <c r="A76" s="59" t="s">
        <v>131</v>
      </c>
      <c r="B76" s="29" t="s">
        <v>132</v>
      </c>
      <c r="C76" s="30"/>
      <c r="D76" s="31">
        <f>D77</f>
        <v>27000</v>
      </c>
      <c r="E76" s="31">
        <f>E77</f>
        <v>27000</v>
      </c>
    </row>
    <row r="77" spans="1:5" ht="38.25" customHeight="1">
      <c r="A77" s="9" t="s">
        <v>133</v>
      </c>
      <c r="B77" s="50" t="s">
        <v>134</v>
      </c>
      <c r="C77" s="30"/>
      <c r="D77" s="31">
        <f>D78</f>
        <v>27000</v>
      </c>
      <c r="E77" s="31">
        <f>E78</f>
        <v>27000</v>
      </c>
    </row>
    <row r="78" spans="1:5" ht="26.25" customHeight="1">
      <c r="A78" s="35" t="s">
        <v>38</v>
      </c>
      <c r="B78" s="50" t="s">
        <v>134</v>
      </c>
      <c r="C78" s="30" t="s">
        <v>39</v>
      </c>
      <c r="D78" s="31">
        <v>27000</v>
      </c>
      <c r="E78" s="31">
        <v>27000</v>
      </c>
    </row>
    <row r="79" spans="1:5" ht="31.5" customHeight="1">
      <c r="A79" s="43" t="s">
        <v>745</v>
      </c>
      <c r="B79" s="29" t="s">
        <v>746</v>
      </c>
      <c r="C79" s="30"/>
      <c r="D79" s="31">
        <f>D80</f>
        <v>12252593</v>
      </c>
      <c r="E79" s="31">
        <f>E80</f>
        <v>8168395</v>
      </c>
    </row>
    <row r="80" spans="1:5" ht="38.25" customHeight="1">
      <c r="A80" s="44" t="s">
        <v>598</v>
      </c>
      <c r="B80" s="29" t="s">
        <v>747</v>
      </c>
      <c r="C80" s="30"/>
      <c r="D80" s="31">
        <f>D81</f>
        <v>12252593</v>
      </c>
      <c r="E80" s="31">
        <f>E81</f>
        <v>8168395</v>
      </c>
    </row>
    <row r="81" spans="1:5" ht="26.25" customHeight="1">
      <c r="A81" s="16" t="s">
        <v>271</v>
      </c>
      <c r="B81" s="29" t="s">
        <v>747</v>
      </c>
      <c r="C81" s="30" t="s">
        <v>272</v>
      </c>
      <c r="D81" s="31">
        <v>12252593</v>
      </c>
      <c r="E81" s="11">
        <v>8168395</v>
      </c>
    </row>
    <row r="82" spans="1:5" ht="42.75" customHeight="1">
      <c r="A82" s="8" t="s">
        <v>135</v>
      </c>
      <c r="B82" s="29" t="s">
        <v>52</v>
      </c>
      <c r="C82" s="30"/>
      <c r="D82" s="125">
        <f>D83+D88</f>
        <v>3447700</v>
      </c>
      <c r="E82" s="125">
        <f>E83+E88</f>
        <v>3447700</v>
      </c>
    </row>
    <row r="83" spans="1:5" ht="30.75" customHeight="1" hidden="1">
      <c r="A83" s="8" t="s">
        <v>136</v>
      </c>
      <c r="B83" s="29" t="s">
        <v>137</v>
      </c>
      <c r="C83" s="30"/>
      <c r="D83" s="125">
        <f>D84+D86</f>
        <v>0</v>
      </c>
      <c r="E83" s="125">
        <f>E84+E86</f>
        <v>0</v>
      </c>
    </row>
    <row r="84" spans="1:5" ht="30" customHeight="1" hidden="1">
      <c r="A84" s="8" t="s">
        <v>138</v>
      </c>
      <c r="B84" s="29" t="s">
        <v>139</v>
      </c>
      <c r="C84" s="30"/>
      <c r="D84" s="125">
        <f>D85</f>
        <v>0</v>
      </c>
      <c r="E84" s="125">
        <f>E85</f>
        <v>0</v>
      </c>
    </row>
    <row r="85" spans="1:5" ht="32.25" customHeight="1" hidden="1">
      <c r="A85" s="35" t="s">
        <v>140</v>
      </c>
      <c r="B85" s="29" t="s">
        <v>139</v>
      </c>
      <c r="C85" s="37" t="s">
        <v>141</v>
      </c>
      <c r="D85" s="125"/>
      <c r="E85" s="125"/>
    </row>
    <row r="86" spans="1:5" ht="20.25" customHeight="1" hidden="1">
      <c r="A86" s="8" t="s">
        <v>142</v>
      </c>
      <c r="B86" s="29" t="s">
        <v>143</v>
      </c>
      <c r="C86" s="37"/>
      <c r="D86" s="125">
        <f>D87</f>
        <v>0</v>
      </c>
      <c r="E86" s="125">
        <f>E87</f>
        <v>0</v>
      </c>
    </row>
    <row r="87" spans="1:5" ht="32.25" customHeight="1" hidden="1">
      <c r="A87" s="35" t="s">
        <v>140</v>
      </c>
      <c r="B87" s="29" t="s">
        <v>143</v>
      </c>
      <c r="C87" s="37" t="s">
        <v>141</v>
      </c>
      <c r="D87" s="125"/>
      <c r="E87" s="125"/>
    </row>
    <row r="88" spans="1:5" ht="28.5" customHeight="1">
      <c r="A88" s="13" t="s">
        <v>53</v>
      </c>
      <c r="B88" s="36" t="s">
        <v>54</v>
      </c>
      <c r="C88" s="30"/>
      <c r="D88" s="125">
        <f>D89+D95+D92</f>
        <v>3447700</v>
      </c>
      <c r="E88" s="125">
        <f>E89+E95+E92</f>
        <v>3447700</v>
      </c>
    </row>
    <row r="89" spans="1:5" ht="30.75" customHeight="1">
      <c r="A89" s="8" t="s">
        <v>55</v>
      </c>
      <c r="B89" s="36" t="s">
        <v>56</v>
      </c>
      <c r="C89" s="30"/>
      <c r="D89" s="125">
        <f>D90+D91</f>
        <v>2342900</v>
      </c>
      <c r="E89" s="125">
        <f>E90+E91</f>
        <v>2342900</v>
      </c>
    </row>
    <row r="90" spans="1:5" ht="39">
      <c r="A90" s="35" t="s">
        <v>26</v>
      </c>
      <c r="B90" s="36" t="s">
        <v>56</v>
      </c>
      <c r="C90" s="37" t="s">
        <v>27</v>
      </c>
      <c r="D90" s="31">
        <v>2307507</v>
      </c>
      <c r="E90" s="31">
        <v>2307507</v>
      </c>
    </row>
    <row r="91" spans="1:5" ht="26.25">
      <c r="A91" s="35" t="s">
        <v>38</v>
      </c>
      <c r="B91" s="36" t="s">
        <v>56</v>
      </c>
      <c r="C91" s="37" t="s">
        <v>39</v>
      </c>
      <c r="D91" s="31">
        <v>35393</v>
      </c>
      <c r="E91" s="31">
        <v>35393</v>
      </c>
    </row>
    <row r="92" spans="1:5" ht="30.75" customHeight="1">
      <c r="A92" s="9" t="s">
        <v>57</v>
      </c>
      <c r="B92" s="36" t="s">
        <v>58</v>
      </c>
      <c r="C92" s="30"/>
      <c r="D92" s="125">
        <f>D93+D94</f>
        <v>1094800</v>
      </c>
      <c r="E92" s="125">
        <f>E93+E94</f>
        <v>1094800</v>
      </c>
    </row>
    <row r="93" spans="1:5" ht="38.25" customHeight="1">
      <c r="A93" s="35" t="s">
        <v>26</v>
      </c>
      <c r="B93" s="36" t="s">
        <v>58</v>
      </c>
      <c r="C93" s="37" t="s">
        <v>27</v>
      </c>
      <c r="D93" s="31">
        <v>1004100</v>
      </c>
      <c r="E93" s="31">
        <v>1004100</v>
      </c>
    </row>
    <row r="94" spans="1:5" ht="26.25">
      <c r="A94" s="35" t="s">
        <v>38</v>
      </c>
      <c r="B94" s="36" t="s">
        <v>58</v>
      </c>
      <c r="C94" s="37" t="s">
        <v>39</v>
      </c>
      <c r="D94" s="31">
        <v>90700</v>
      </c>
      <c r="E94" s="31">
        <v>90700</v>
      </c>
    </row>
    <row r="95" spans="1:5" ht="17.25" customHeight="1">
      <c r="A95" s="59" t="s">
        <v>144</v>
      </c>
      <c r="B95" s="29" t="s">
        <v>145</v>
      </c>
      <c r="C95" s="37"/>
      <c r="D95" s="31">
        <f>D96</f>
        <v>10000</v>
      </c>
      <c r="E95" s="31">
        <f>E96</f>
        <v>10000</v>
      </c>
    </row>
    <row r="96" spans="1:5" ht="26.25">
      <c r="A96" s="35" t="s">
        <v>38</v>
      </c>
      <c r="B96" s="29" t="s">
        <v>145</v>
      </c>
      <c r="C96" s="37" t="s">
        <v>39</v>
      </c>
      <c r="D96" s="31">
        <v>10000</v>
      </c>
      <c r="E96" s="31">
        <v>10000</v>
      </c>
    </row>
    <row r="97" spans="1:7" ht="32.25" customHeight="1">
      <c r="A97" s="16" t="s">
        <v>370</v>
      </c>
      <c r="B97" s="29" t="s">
        <v>371</v>
      </c>
      <c r="C97" s="30"/>
      <c r="D97" s="125">
        <f>D98+D160+D178</f>
        <v>465288493</v>
      </c>
      <c r="E97" s="125">
        <f>E98+E160+E178</f>
        <v>465831698</v>
      </c>
      <c r="F97" s="21">
        <f>D113+D114+D131+D138+D142+D157+D172+D185</f>
        <v>342963799</v>
      </c>
      <c r="G97" s="21">
        <f>E113+E114+E131+E138+E142+E157+E172+E185</f>
        <v>342963799</v>
      </c>
    </row>
    <row r="98" spans="1:7" s="42" customFormat="1" ht="41.25" customHeight="1">
      <c r="A98" s="81" t="s">
        <v>372</v>
      </c>
      <c r="B98" s="29" t="s">
        <v>373</v>
      </c>
      <c r="C98" s="30"/>
      <c r="D98" s="125">
        <f>D110+D126+D152+D102+D99+D107</f>
        <v>438159950</v>
      </c>
      <c r="E98" s="125">
        <f>E110+E126+E152+E102+E99+E107</f>
        <v>442140912</v>
      </c>
      <c r="F98" s="69">
        <f>D121+D146+D162+D175+D180+D150+D140+D144</f>
        <v>88523319</v>
      </c>
      <c r="G98" s="69">
        <f>E121+E146+E162+E175+E180+E150+E140+E144</f>
        <v>84268599</v>
      </c>
    </row>
    <row r="99" spans="1:5" s="42" customFormat="1" ht="21" customHeight="1">
      <c r="A99" s="10" t="s">
        <v>384</v>
      </c>
      <c r="B99" s="29" t="s">
        <v>385</v>
      </c>
      <c r="C99" s="30"/>
      <c r="D99" s="125">
        <f>D100</f>
        <v>4135443</v>
      </c>
      <c r="E99" s="125">
        <f>E100</f>
        <v>5808812</v>
      </c>
    </row>
    <row r="100" spans="1:5" s="42" customFormat="1" ht="45.75" customHeight="1">
      <c r="A100" s="10" t="s">
        <v>386</v>
      </c>
      <c r="B100" s="29" t="s">
        <v>387</v>
      </c>
      <c r="C100" s="30"/>
      <c r="D100" s="125">
        <f>D101</f>
        <v>4135443</v>
      </c>
      <c r="E100" s="125">
        <f>E101</f>
        <v>5808812</v>
      </c>
    </row>
    <row r="101" spans="1:5" s="42" customFormat="1" ht="26.25">
      <c r="A101" s="35" t="s">
        <v>38</v>
      </c>
      <c r="B101" s="29" t="s">
        <v>387</v>
      </c>
      <c r="C101" s="45" t="s">
        <v>39</v>
      </c>
      <c r="D101" s="31">
        <v>4135443</v>
      </c>
      <c r="E101" s="31">
        <v>5808812</v>
      </c>
    </row>
    <row r="102" spans="1:5" s="42" customFormat="1" ht="15">
      <c r="A102" s="10" t="s">
        <v>451</v>
      </c>
      <c r="B102" s="29" t="s">
        <v>389</v>
      </c>
      <c r="C102" s="45"/>
      <c r="D102" s="31">
        <f>D103+D105</f>
        <v>0</v>
      </c>
      <c r="E102" s="31">
        <f>E103+E105</f>
        <v>3400000</v>
      </c>
    </row>
    <row r="103" spans="1:5" s="42" customFormat="1" ht="38.25">
      <c r="A103" s="103" t="s">
        <v>653</v>
      </c>
      <c r="B103" s="29" t="s">
        <v>391</v>
      </c>
      <c r="C103" s="45"/>
      <c r="D103" s="31">
        <f>D104</f>
        <v>0</v>
      </c>
      <c r="E103" s="31">
        <f>E104</f>
        <v>3400000</v>
      </c>
    </row>
    <row r="104" spans="1:5" s="42" customFormat="1" ht="26.25">
      <c r="A104" s="35" t="s">
        <v>38</v>
      </c>
      <c r="B104" s="29" t="s">
        <v>391</v>
      </c>
      <c r="C104" s="30" t="s">
        <v>39</v>
      </c>
      <c r="D104" s="31"/>
      <c r="E104" s="31">
        <v>3400000</v>
      </c>
    </row>
    <row r="105" spans="1:5" s="42" customFormat="1" ht="25.5" hidden="1">
      <c r="A105" s="59" t="s">
        <v>452</v>
      </c>
      <c r="B105" s="29" t="s">
        <v>453</v>
      </c>
      <c r="C105" s="45"/>
      <c r="D105" s="31">
        <f>D106</f>
        <v>0</v>
      </c>
      <c r="E105" s="31">
        <f>E106</f>
        <v>0</v>
      </c>
    </row>
    <row r="106" spans="1:5" s="42" customFormat="1" ht="26.25" hidden="1">
      <c r="A106" s="35" t="s">
        <v>38</v>
      </c>
      <c r="B106" s="29" t="s">
        <v>453</v>
      </c>
      <c r="C106" s="30" t="s">
        <v>39</v>
      </c>
      <c r="D106" s="31"/>
      <c r="E106" s="31"/>
    </row>
    <row r="107" spans="1:5" s="42" customFormat="1" ht="17.25" customHeight="1">
      <c r="A107" s="10" t="s">
        <v>392</v>
      </c>
      <c r="B107" s="29" t="s">
        <v>393</v>
      </c>
      <c r="C107" s="45"/>
      <c r="D107" s="31">
        <f>D108</f>
        <v>4748817</v>
      </c>
      <c r="E107" s="31">
        <f>E108</f>
        <v>4379960</v>
      </c>
    </row>
    <row r="108" spans="1:5" s="42" customFormat="1" ht="26.25">
      <c r="A108" s="81" t="s">
        <v>394</v>
      </c>
      <c r="B108" s="29" t="s">
        <v>655</v>
      </c>
      <c r="C108" s="45"/>
      <c r="D108" s="31">
        <f>D109</f>
        <v>4748817</v>
      </c>
      <c r="E108" s="31">
        <f>E109</f>
        <v>4379960</v>
      </c>
    </row>
    <row r="109" spans="1:5" s="42" customFormat="1" ht="26.25">
      <c r="A109" s="35" t="s">
        <v>38</v>
      </c>
      <c r="B109" s="29" t="s">
        <v>655</v>
      </c>
      <c r="C109" s="30" t="s">
        <v>39</v>
      </c>
      <c r="D109" s="31">
        <v>4748817</v>
      </c>
      <c r="E109" s="31">
        <v>4379960</v>
      </c>
    </row>
    <row r="110" spans="1:5" ht="25.5">
      <c r="A110" s="10" t="s">
        <v>374</v>
      </c>
      <c r="B110" s="90" t="s">
        <v>375</v>
      </c>
      <c r="C110" s="30"/>
      <c r="D110" s="125">
        <f>D111+D114+D121+D119+D118</f>
        <v>93725033</v>
      </c>
      <c r="E110" s="125">
        <f>E111+E114+E121+E119+E118</f>
        <v>92908070</v>
      </c>
    </row>
    <row r="111" spans="1:5" ht="18.75" customHeight="1">
      <c r="A111" s="8" t="s">
        <v>595</v>
      </c>
      <c r="B111" s="90" t="s">
        <v>596</v>
      </c>
      <c r="C111" s="30"/>
      <c r="D111" s="125">
        <f>D113+D112</f>
        <v>2320643</v>
      </c>
      <c r="E111" s="125">
        <f>E113+E112</f>
        <v>2320643</v>
      </c>
    </row>
    <row r="112" spans="1:5" ht="31.5" customHeight="1" hidden="1">
      <c r="A112" s="35" t="s">
        <v>38</v>
      </c>
      <c r="B112" s="90" t="s">
        <v>596</v>
      </c>
      <c r="C112" s="30" t="s">
        <v>39</v>
      </c>
      <c r="D112" s="31"/>
      <c r="E112" s="31"/>
    </row>
    <row r="113" spans="1:5" ht="17.25" customHeight="1">
      <c r="A113" s="88" t="s">
        <v>211</v>
      </c>
      <c r="B113" s="90" t="s">
        <v>596</v>
      </c>
      <c r="C113" s="30" t="s">
        <v>212</v>
      </c>
      <c r="D113" s="31">
        <v>2320643</v>
      </c>
      <c r="E113" s="31">
        <v>2320643</v>
      </c>
    </row>
    <row r="114" spans="1:6" ht="66" customHeight="1">
      <c r="A114" s="118" t="s">
        <v>376</v>
      </c>
      <c r="B114" s="29" t="s">
        <v>377</v>
      </c>
      <c r="C114" s="30"/>
      <c r="D114" s="125">
        <f>D115+D116</f>
        <v>57617557</v>
      </c>
      <c r="E114" s="125">
        <f>E115+E116</f>
        <v>57617557</v>
      </c>
      <c r="F114" s="21"/>
    </row>
    <row r="115" spans="1:5" ht="42" customHeight="1">
      <c r="A115" s="78" t="s">
        <v>26</v>
      </c>
      <c r="B115" s="29" t="s">
        <v>377</v>
      </c>
      <c r="C115" s="30" t="s">
        <v>27</v>
      </c>
      <c r="D115" s="31">
        <v>57132120</v>
      </c>
      <c r="E115" s="31">
        <v>57132120</v>
      </c>
    </row>
    <row r="116" spans="1:5" ht="25.5" customHeight="1">
      <c r="A116" s="35" t="s">
        <v>38</v>
      </c>
      <c r="B116" s="29" t="s">
        <v>377</v>
      </c>
      <c r="C116" s="30" t="s">
        <v>39</v>
      </c>
      <c r="D116" s="31">
        <v>485437</v>
      </c>
      <c r="E116" s="31">
        <v>485437</v>
      </c>
    </row>
    <row r="117" spans="1:5" ht="26.25" hidden="1">
      <c r="A117" s="118" t="s">
        <v>408</v>
      </c>
      <c r="B117" s="29" t="s">
        <v>686</v>
      </c>
      <c r="C117" s="30"/>
      <c r="D117" s="125">
        <f>D118</f>
        <v>0</v>
      </c>
      <c r="E117" s="125">
        <f>E118</f>
        <v>0</v>
      </c>
    </row>
    <row r="118" spans="1:5" ht="15" hidden="1">
      <c r="A118" s="212" t="s">
        <v>38</v>
      </c>
      <c r="B118" s="29" t="s">
        <v>686</v>
      </c>
      <c r="C118" s="30" t="s">
        <v>39</v>
      </c>
      <c r="D118" s="125"/>
      <c r="E118" s="125"/>
    </row>
    <row r="119" spans="1:5" ht="26.25" hidden="1">
      <c r="A119" s="118" t="s">
        <v>410</v>
      </c>
      <c r="B119" s="29" t="s">
        <v>687</v>
      </c>
      <c r="C119" s="30"/>
      <c r="D119" s="125">
        <f>D120</f>
        <v>0</v>
      </c>
      <c r="E119" s="125">
        <f>E120</f>
        <v>0</v>
      </c>
    </row>
    <row r="120" spans="1:5" ht="15" hidden="1">
      <c r="A120" s="212" t="s">
        <v>38</v>
      </c>
      <c r="B120" s="29" t="s">
        <v>687</v>
      </c>
      <c r="C120" s="30" t="s">
        <v>39</v>
      </c>
      <c r="D120" s="125">
        <f>175343-175343</f>
        <v>0</v>
      </c>
      <c r="E120" s="125">
        <f>175343-175343</f>
        <v>0</v>
      </c>
    </row>
    <row r="121" spans="1:5" ht="17.25" customHeight="1">
      <c r="A121" s="10" t="s">
        <v>201</v>
      </c>
      <c r="B121" s="29" t="s">
        <v>378</v>
      </c>
      <c r="C121" s="30"/>
      <c r="D121" s="125">
        <f>D122+D123+D125+D124</f>
        <v>33786833</v>
      </c>
      <c r="E121" s="125">
        <f>E122+E123+E125+E124</f>
        <v>32969870</v>
      </c>
    </row>
    <row r="122" spans="1:5" ht="44.25" customHeight="1">
      <c r="A122" s="35" t="s">
        <v>26</v>
      </c>
      <c r="B122" s="29" t="s">
        <v>378</v>
      </c>
      <c r="C122" s="30" t="s">
        <v>27</v>
      </c>
      <c r="D122" s="31">
        <v>21420696</v>
      </c>
      <c r="E122" s="31">
        <v>20603733</v>
      </c>
    </row>
    <row r="123" spans="1:5" ht="30" customHeight="1">
      <c r="A123" s="35" t="s">
        <v>38</v>
      </c>
      <c r="B123" s="29" t="s">
        <v>378</v>
      </c>
      <c r="C123" s="30" t="s">
        <v>39</v>
      </c>
      <c r="D123" s="31">
        <v>11142752</v>
      </c>
      <c r="E123" s="31">
        <v>11142752</v>
      </c>
    </row>
    <row r="124" spans="1:5" ht="30" customHeight="1" hidden="1">
      <c r="A124" s="16" t="s">
        <v>271</v>
      </c>
      <c r="B124" s="29" t="s">
        <v>378</v>
      </c>
      <c r="C124" s="30" t="s">
        <v>272</v>
      </c>
      <c r="D124" s="31"/>
      <c r="E124" s="31"/>
    </row>
    <row r="125" spans="1:5" ht="18" customHeight="1">
      <c r="A125" s="10" t="s">
        <v>84</v>
      </c>
      <c r="B125" s="29" t="s">
        <v>378</v>
      </c>
      <c r="C125" s="30" t="s">
        <v>85</v>
      </c>
      <c r="D125" s="31">
        <v>1223385</v>
      </c>
      <c r="E125" s="31">
        <v>1223385</v>
      </c>
    </row>
    <row r="126" spans="1:5" ht="33.75" customHeight="1">
      <c r="A126" s="10" t="s">
        <v>396</v>
      </c>
      <c r="B126" s="90" t="s">
        <v>397</v>
      </c>
      <c r="C126" s="30"/>
      <c r="D126" s="125">
        <f>D131+D138+D140+D142+D144+D146+D150+D127+D134+D136+D129</f>
        <v>313102033</v>
      </c>
      <c r="E126" s="125">
        <f>E131+E138+E140+E142+E144+E146+E150+E127+E134+E136+E129</f>
        <v>313195446</v>
      </c>
    </row>
    <row r="127" spans="1:5" ht="38.25">
      <c r="A127" s="59" t="s">
        <v>398</v>
      </c>
      <c r="B127" s="47" t="s">
        <v>399</v>
      </c>
      <c r="C127" s="30"/>
      <c r="D127" s="31">
        <f>D128</f>
        <v>8206333</v>
      </c>
      <c r="E127" s="31">
        <f>E128</f>
        <v>8454029</v>
      </c>
    </row>
    <row r="128" spans="1:5" ht="26.25">
      <c r="A128" s="35" t="s">
        <v>38</v>
      </c>
      <c r="B128" s="47" t="s">
        <v>399</v>
      </c>
      <c r="C128" s="30" t="s">
        <v>39</v>
      </c>
      <c r="D128" s="31">
        <v>8206333</v>
      </c>
      <c r="E128" s="31">
        <v>8454029</v>
      </c>
    </row>
    <row r="129" spans="1:5" ht="41.25" customHeight="1">
      <c r="A129" s="10" t="s">
        <v>400</v>
      </c>
      <c r="B129" s="29" t="s">
        <v>401</v>
      </c>
      <c r="C129" s="30"/>
      <c r="D129" s="31">
        <f>D130</f>
        <v>16710782</v>
      </c>
      <c r="E129" s="31">
        <f>E130</f>
        <v>16556499</v>
      </c>
    </row>
    <row r="130" spans="1:5" ht="39">
      <c r="A130" s="35" t="s">
        <v>26</v>
      </c>
      <c r="B130" s="29" t="s">
        <v>401</v>
      </c>
      <c r="C130" s="30" t="s">
        <v>27</v>
      </c>
      <c r="D130" s="31">
        <f>16873920-163138</f>
        <v>16710782</v>
      </c>
      <c r="E130" s="31">
        <f>16873920-317421</f>
        <v>16556499</v>
      </c>
    </row>
    <row r="131" spans="1:5" ht="73.5" customHeight="1">
      <c r="A131" s="118" t="s">
        <v>406</v>
      </c>
      <c r="B131" s="29" t="s">
        <v>407</v>
      </c>
      <c r="C131" s="30"/>
      <c r="D131" s="125">
        <f>D132+D133</f>
        <v>257764367</v>
      </c>
      <c r="E131" s="125">
        <f>E132+E133</f>
        <v>257764367</v>
      </c>
    </row>
    <row r="132" spans="1:5" ht="45" customHeight="1">
      <c r="A132" s="35" t="s">
        <v>26</v>
      </c>
      <c r="B132" s="29" t="s">
        <v>407</v>
      </c>
      <c r="C132" s="30" t="s">
        <v>27</v>
      </c>
      <c r="D132" s="31">
        <v>250857973</v>
      </c>
      <c r="E132" s="31">
        <v>250857973</v>
      </c>
    </row>
    <row r="133" spans="1:5" ht="25.5" customHeight="1">
      <c r="A133" s="35" t="s">
        <v>38</v>
      </c>
      <c r="B133" s="29" t="s">
        <v>407</v>
      </c>
      <c r="C133" s="30" t="s">
        <v>39</v>
      </c>
      <c r="D133" s="31">
        <v>6906394</v>
      </c>
      <c r="E133" s="31">
        <v>6906394</v>
      </c>
    </row>
    <row r="134" spans="1:5" ht="26.25" customHeight="1" hidden="1">
      <c r="A134" s="44" t="s">
        <v>408</v>
      </c>
      <c r="B134" s="29" t="s">
        <v>409</v>
      </c>
      <c r="C134" s="30"/>
      <c r="D134" s="31">
        <f>D135</f>
        <v>0</v>
      </c>
      <c r="E134" s="31">
        <f>E135</f>
        <v>0</v>
      </c>
    </row>
    <row r="135" spans="1:5" ht="26.25" customHeight="1" hidden="1">
      <c r="A135" s="35" t="s">
        <v>38</v>
      </c>
      <c r="B135" s="29" t="s">
        <v>409</v>
      </c>
      <c r="C135" s="30" t="s">
        <v>39</v>
      </c>
      <c r="D135" s="31"/>
      <c r="E135" s="31"/>
    </row>
    <row r="136" spans="1:5" ht="26.25" customHeight="1" hidden="1">
      <c r="A136" s="44" t="s">
        <v>410</v>
      </c>
      <c r="B136" s="29" t="s">
        <v>411</v>
      </c>
      <c r="C136" s="30"/>
      <c r="D136" s="31">
        <f>D137</f>
        <v>0</v>
      </c>
      <c r="E136" s="31">
        <f>E137</f>
        <v>0</v>
      </c>
    </row>
    <row r="137" spans="1:5" ht="26.25" customHeight="1" hidden="1">
      <c r="A137" s="35" t="s">
        <v>38</v>
      </c>
      <c r="B137" s="29" t="s">
        <v>411</v>
      </c>
      <c r="C137" s="30" t="s">
        <v>39</v>
      </c>
      <c r="D137" s="31"/>
      <c r="E137" s="31"/>
    </row>
    <row r="138" spans="1:5" ht="38.25">
      <c r="A138" s="59" t="s">
        <v>695</v>
      </c>
      <c r="B138" s="29" t="s">
        <v>413</v>
      </c>
      <c r="C138" s="30"/>
      <c r="D138" s="125">
        <f>D139</f>
        <v>1085644</v>
      </c>
      <c r="E138" s="125">
        <f>E139</f>
        <v>1085644</v>
      </c>
    </row>
    <row r="139" spans="1:5" ht="38.25">
      <c r="A139" s="59" t="s">
        <v>414</v>
      </c>
      <c r="B139" s="29" t="s">
        <v>413</v>
      </c>
      <c r="C139" s="30" t="s">
        <v>39</v>
      </c>
      <c r="D139" s="31">
        <v>1085644</v>
      </c>
      <c r="E139" s="31">
        <v>1085644</v>
      </c>
    </row>
    <row r="140" spans="1:5" ht="38.25">
      <c r="A140" s="59" t="s">
        <v>414</v>
      </c>
      <c r="B140" s="29" t="s">
        <v>415</v>
      </c>
      <c r="C140" s="30"/>
      <c r="D140" s="125">
        <f>D141</f>
        <v>1670986</v>
      </c>
      <c r="E140" s="125">
        <f>E141</f>
        <v>1670986</v>
      </c>
    </row>
    <row r="141" spans="1:5" ht="26.25">
      <c r="A141" s="35" t="s">
        <v>38</v>
      </c>
      <c r="B141" s="29" t="s">
        <v>415</v>
      </c>
      <c r="C141" s="30" t="s">
        <v>39</v>
      </c>
      <c r="D141" s="31">
        <v>1670986</v>
      </c>
      <c r="E141" s="31">
        <v>1670986</v>
      </c>
    </row>
    <row r="142" spans="1:5" ht="51.75">
      <c r="A142" s="118" t="s">
        <v>416</v>
      </c>
      <c r="B142" s="29" t="s">
        <v>417</v>
      </c>
      <c r="C142" s="30"/>
      <c r="D142" s="125">
        <f>D143</f>
        <v>737089</v>
      </c>
      <c r="E142" s="125">
        <f>E143</f>
        <v>737089</v>
      </c>
    </row>
    <row r="143" spans="1:5" ht="26.25">
      <c r="A143" s="35" t="s">
        <v>38</v>
      </c>
      <c r="B143" s="29" t="s">
        <v>417</v>
      </c>
      <c r="C143" s="30" t="s">
        <v>39</v>
      </c>
      <c r="D143" s="31">
        <v>737089</v>
      </c>
      <c r="E143" s="31">
        <v>737089</v>
      </c>
    </row>
    <row r="144" spans="1:5" ht="39">
      <c r="A144" s="118" t="s">
        <v>718</v>
      </c>
      <c r="B144" s="29" t="s">
        <v>419</v>
      </c>
      <c r="C144" s="30"/>
      <c r="D144" s="125">
        <f>D145</f>
        <v>4929639</v>
      </c>
      <c r="E144" s="125">
        <f>E145</f>
        <v>4929639</v>
      </c>
    </row>
    <row r="145" spans="1:5" ht="26.25">
      <c r="A145" s="35" t="s">
        <v>38</v>
      </c>
      <c r="B145" s="29" t="s">
        <v>419</v>
      </c>
      <c r="C145" s="30" t="s">
        <v>39</v>
      </c>
      <c r="D145" s="31">
        <v>4929639</v>
      </c>
      <c r="E145" s="31">
        <v>4929639</v>
      </c>
    </row>
    <row r="146" spans="1:5" ht="17.25" customHeight="1">
      <c r="A146" s="10" t="s">
        <v>201</v>
      </c>
      <c r="B146" s="29" t="s">
        <v>420</v>
      </c>
      <c r="C146" s="30"/>
      <c r="D146" s="125">
        <f>D147+D149+D148</f>
        <v>21897193</v>
      </c>
      <c r="E146" s="125">
        <f>E147+E149+E148</f>
        <v>21897193</v>
      </c>
    </row>
    <row r="147" spans="1:5" ht="25.5" customHeight="1">
      <c r="A147" s="35" t="s">
        <v>38</v>
      </c>
      <c r="B147" s="29" t="s">
        <v>420</v>
      </c>
      <c r="C147" s="30" t="s">
        <v>39</v>
      </c>
      <c r="D147" s="31">
        <v>20333773</v>
      </c>
      <c r="E147" s="31">
        <f>20333773</f>
        <v>20333773</v>
      </c>
    </row>
    <row r="148" spans="1:5" ht="26.25" hidden="1">
      <c r="A148" s="16" t="s">
        <v>271</v>
      </c>
      <c r="B148" s="29" t="s">
        <v>420</v>
      </c>
      <c r="C148" s="30" t="s">
        <v>272</v>
      </c>
      <c r="D148" s="31"/>
      <c r="E148" s="31"/>
    </row>
    <row r="149" spans="1:5" ht="16.5" customHeight="1">
      <c r="A149" s="10" t="s">
        <v>84</v>
      </c>
      <c r="B149" s="29" t="s">
        <v>420</v>
      </c>
      <c r="C149" s="30" t="s">
        <v>85</v>
      </c>
      <c r="D149" s="31">
        <v>1563420</v>
      </c>
      <c r="E149" s="31">
        <v>1563420</v>
      </c>
    </row>
    <row r="150" spans="1:5" ht="15">
      <c r="A150" s="35" t="s">
        <v>421</v>
      </c>
      <c r="B150" s="29" t="s">
        <v>422</v>
      </c>
      <c r="C150" s="30"/>
      <c r="D150" s="31">
        <f>D151</f>
        <v>100000</v>
      </c>
      <c r="E150" s="31">
        <f>E151</f>
        <v>100000</v>
      </c>
    </row>
    <row r="151" spans="1:5" ht="15">
      <c r="A151" s="88" t="s">
        <v>211</v>
      </c>
      <c r="B151" s="29" t="s">
        <v>422</v>
      </c>
      <c r="C151" s="30" t="s">
        <v>212</v>
      </c>
      <c r="D151" s="31">
        <v>100000</v>
      </c>
      <c r="E151" s="31">
        <v>100000</v>
      </c>
    </row>
    <row r="152" spans="1:5" ht="33" customHeight="1">
      <c r="A152" s="10" t="s">
        <v>570</v>
      </c>
      <c r="B152" s="29" t="s">
        <v>571</v>
      </c>
      <c r="C152" s="30"/>
      <c r="D152" s="125">
        <f>D157+D153+D155</f>
        <v>22448624</v>
      </c>
      <c r="E152" s="125">
        <f>E157+E153+E155</f>
        <v>22448624</v>
      </c>
    </row>
    <row r="153" spans="1:5" ht="33" customHeight="1" hidden="1">
      <c r="A153" s="118" t="s">
        <v>719</v>
      </c>
      <c r="B153" s="29" t="s">
        <v>720</v>
      </c>
      <c r="C153" s="30"/>
      <c r="D153" s="125">
        <f>D154</f>
        <v>0</v>
      </c>
      <c r="E153" s="125">
        <f>E154</f>
        <v>0</v>
      </c>
    </row>
    <row r="154" spans="1:5" ht="45" customHeight="1" hidden="1">
      <c r="A154" s="35" t="s">
        <v>26</v>
      </c>
      <c r="B154" s="29" t="s">
        <v>720</v>
      </c>
      <c r="C154" s="30" t="s">
        <v>27</v>
      </c>
      <c r="D154" s="125"/>
      <c r="E154" s="125"/>
    </row>
    <row r="155" spans="1:5" ht="26.25" customHeight="1" hidden="1">
      <c r="A155" s="118" t="s">
        <v>721</v>
      </c>
      <c r="B155" s="29" t="s">
        <v>722</v>
      </c>
      <c r="C155" s="30"/>
      <c r="D155" s="125">
        <f>D156</f>
        <v>0</v>
      </c>
      <c r="E155" s="125">
        <f>E156</f>
        <v>0</v>
      </c>
    </row>
    <row r="156" spans="1:5" ht="44.25" customHeight="1" hidden="1">
      <c r="A156" s="35" t="s">
        <v>26</v>
      </c>
      <c r="B156" s="29" t="s">
        <v>722</v>
      </c>
      <c r="C156" s="30" t="s">
        <v>27</v>
      </c>
      <c r="D156" s="125">
        <f>100000-100000</f>
        <v>0</v>
      </c>
      <c r="E156" s="125">
        <f>100000-100000</f>
        <v>0</v>
      </c>
    </row>
    <row r="157" spans="1:5" ht="58.5" customHeight="1">
      <c r="A157" s="118" t="s">
        <v>572</v>
      </c>
      <c r="B157" s="29" t="s">
        <v>573</v>
      </c>
      <c r="C157" s="30"/>
      <c r="D157" s="125">
        <f>D158+D159</f>
        <v>22448624</v>
      </c>
      <c r="E157" s="125">
        <f>E158+E159</f>
        <v>22448624</v>
      </c>
    </row>
    <row r="158" spans="1:5" ht="33" customHeight="1" hidden="1">
      <c r="A158" s="35" t="s">
        <v>38</v>
      </c>
      <c r="B158" s="29" t="s">
        <v>573</v>
      </c>
      <c r="C158" s="30" t="s">
        <v>39</v>
      </c>
      <c r="D158" s="125"/>
      <c r="E158" s="125"/>
    </row>
    <row r="159" spans="1:5" ht="15.75" customHeight="1">
      <c r="A159" s="88" t="s">
        <v>211</v>
      </c>
      <c r="B159" s="29" t="s">
        <v>573</v>
      </c>
      <c r="C159" s="30" t="s">
        <v>212</v>
      </c>
      <c r="D159" s="31">
        <v>22448624</v>
      </c>
      <c r="E159" s="31">
        <v>22448624</v>
      </c>
    </row>
    <row r="160" spans="1:5" s="42" customFormat="1" ht="48" customHeight="1">
      <c r="A160" s="35" t="s">
        <v>454</v>
      </c>
      <c r="B160" s="29" t="s">
        <v>455</v>
      </c>
      <c r="C160" s="30"/>
      <c r="D160" s="125">
        <f>D161+D171+D168+D174</f>
        <v>19076465</v>
      </c>
      <c r="E160" s="125">
        <f>E161+E171+E168+E174</f>
        <v>17493235</v>
      </c>
    </row>
    <row r="161" spans="1:5" ht="36.75" customHeight="1">
      <c r="A161" s="10" t="s">
        <v>456</v>
      </c>
      <c r="B161" s="29" t="s">
        <v>457</v>
      </c>
      <c r="C161" s="30"/>
      <c r="D161" s="125">
        <f>D162</f>
        <v>9432815</v>
      </c>
      <c r="E161" s="125">
        <f>E162</f>
        <v>8049585</v>
      </c>
    </row>
    <row r="162" spans="1:5" ht="31.5" customHeight="1">
      <c r="A162" s="10" t="s">
        <v>201</v>
      </c>
      <c r="B162" s="29" t="s">
        <v>458</v>
      </c>
      <c r="C162" s="30"/>
      <c r="D162" s="125">
        <f>D163+D164+D167+D165+D166</f>
        <v>9432815</v>
      </c>
      <c r="E162" s="125">
        <f>E163+E164+E167+E165+E166</f>
        <v>8049585</v>
      </c>
    </row>
    <row r="163" spans="1:5" ht="47.25" customHeight="1" hidden="1">
      <c r="A163" s="35" t="s">
        <v>26</v>
      </c>
      <c r="B163" s="29" t="s">
        <v>458</v>
      </c>
      <c r="C163" s="30" t="s">
        <v>27</v>
      </c>
      <c r="D163" s="31">
        <f>18842464-3007404-124166-15710894</f>
        <v>0</v>
      </c>
      <c r="E163" s="31">
        <f>18842464-3614398-127647-15100419</f>
        <v>0</v>
      </c>
    </row>
    <row r="164" spans="1:5" ht="26.25" hidden="1">
      <c r="A164" s="35" t="s">
        <v>38</v>
      </c>
      <c r="B164" s="29" t="s">
        <v>458</v>
      </c>
      <c r="C164" s="30" t="s">
        <v>39</v>
      </c>
      <c r="D164" s="31">
        <f>561263-561263</f>
        <v>0</v>
      </c>
      <c r="E164" s="31">
        <f>561263-561263</f>
        <v>0</v>
      </c>
    </row>
    <row r="165" spans="1:5" ht="26.25" hidden="1">
      <c r="A165" s="16" t="s">
        <v>271</v>
      </c>
      <c r="B165" s="29" t="s">
        <v>458</v>
      </c>
      <c r="C165" s="30" t="s">
        <v>272</v>
      </c>
      <c r="D165" s="31">
        <v>0</v>
      </c>
      <c r="E165" s="31">
        <v>0</v>
      </c>
    </row>
    <row r="166" spans="1:5" ht="25.5" customHeight="1">
      <c r="A166" s="16" t="s">
        <v>140</v>
      </c>
      <c r="B166" s="29" t="s">
        <v>458</v>
      </c>
      <c r="C166" s="30" t="s">
        <v>141</v>
      </c>
      <c r="D166" s="31">
        <f>22357768-11443650-4724340+2500000+743037</f>
        <v>9432815</v>
      </c>
      <c r="E166" s="31">
        <f>22357768-11443650-4724340-700893-139300+2700000</f>
        <v>8049585</v>
      </c>
    </row>
    <row r="167" spans="1:5" ht="18.75" customHeight="1" hidden="1">
      <c r="A167" s="10" t="s">
        <v>84</v>
      </c>
      <c r="B167" s="29" t="s">
        <v>458</v>
      </c>
      <c r="C167" s="30" t="s">
        <v>85</v>
      </c>
      <c r="D167" s="31">
        <f>94609-94609</f>
        <v>0</v>
      </c>
      <c r="E167" s="31">
        <f>94609-94609</f>
        <v>0</v>
      </c>
    </row>
    <row r="168" spans="1:5" ht="20.25" customHeight="1" hidden="1">
      <c r="A168" s="81" t="s">
        <v>388</v>
      </c>
      <c r="B168" s="29" t="s">
        <v>737</v>
      </c>
      <c r="C168" s="45"/>
      <c r="D168" s="31">
        <f>D169</f>
        <v>0</v>
      </c>
      <c r="E168" s="31">
        <f>E169</f>
        <v>0</v>
      </c>
    </row>
    <row r="169" spans="1:5" ht="32.25" customHeight="1" hidden="1">
      <c r="A169" s="59" t="s">
        <v>452</v>
      </c>
      <c r="B169" s="29" t="s">
        <v>738</v>
      </c>
      <c r="C169" s="45"/>
      <c r="D169" s="31">
        <f>D170</f>
        <v>0</v>
      </c>
      <c r="E169" s="31">
        <f>E170</f>
        <v>0</v>
      </c>
    </row>
    <row r="170" spans="1:5" ht="29.25" customHeight="1" hidden="1">
      <c r="A170" s="35" t="s">
        <v>38</v>
      </c>
      <c r="B170" s="29" t="s">
        <v>738</v>
      </c>
      <c r="C170" s="30" t="s">
        <v>39</v>
      </c>
      <c r="D170" s="31"/>
      <c r="E170" s="31"/>
    </row>
    <row r="171" spans="1:5" ht="29.25" customHeight="1">
      <c r="A171" s="9" t="s">
        <v>574</v>
      </c>
      <c r="B171" s="29" t="s">
        <v>575</v>
      </c>
      <c r="C171" s="30"/>
      <c r="D171" s="125">
        <f>D172</f>
        <v>700000</v>
      </c>
      <c r="E171" s="125">
        <f>E172</f>
        <v>700000</v>
      </c>
    </row>
    <row r="172" spans="1:5" ht="57" customHeight="1">
      <c r="A172" s="73" t="s">
        <v>576</v>
      </c>
      <c r="B172" s="29" t="s">
        <v>577</v>
      </c>
      <c r="C172" s="30"/>
      <c r="D172" s="125">
        <f>D173</f>
        <v>700000</v>
      </c>
      <c r="E172" s="125">
        <f>E173</f>
        <v>700000</v>
      </c>
    </row>
    <row r="173" spans="1:5" ht="19.5" customHeight="1">
      <c r="A173" s="88" t="s">
        <v>211</v>
      </c>
      <c r="B173" s="29" t="s">
        <v>577</v>
      </c>
      <c r="C173" s="30" t="s">
        <v>212</v>
      </c>
      <c r="D173" s="65">
        <v>700000</v>
      </c>
      <c r="E173" s="65">
        <v>700000</v>
      </c>
    </row>
    <row r="174" spans="1:5" ht="35.25" customHeight="1">
      <c r="A174" s="10" t="s">
        <v>459</v>
      </c>
      <c r="B174" s="29" t="s">
        <v>460</v>
      </c>
      <c r="C174" s="30"/>
      <c r="D174" s="31">
        <f>D175</f>
        <v>8943650</v>
      </c>
      <c r="E174" s="31">
        <f>E175</f>
        <v>8743650</v>
      </c>
    </row>
    <row r="175" spans="1:5" ht="19.5" customHeight="1">
      <c r="A175" s="10" t="s">
        <v>201</v>
      </c>
      <c r="B175" s="29" t="s">
        <v>461</v>
      </c>
      <c r="C175" s="30"/>
      <c r="D175" s="31">
        <f>D176</f>
        <v>8943650</v>
      </c>
      <c r="E175" s="31">
        <f>E176</f>
        <v>8743650</v>
      </c>
    </row>
    <row r="176" spans="1:5" ht="31.5" customHeight="1">
      <c r="A176" s="16" t="s">
        <v>140</v>
      </c>
      <c r="B176" s="29" t="s">
        <v>461</v>
      </c>
      <c r="C176" s="30" t="s">
        <v>141</v>
      </c>
      <c r="D176" s="31">
        <f>11443650-2500000</f>
        <v>8943650</v>
      </c>
      <c r="E176" s="31">
        <f>11443650-2700000</f>
        <v>8743650</v>
      </c>
    </row>
    <row r="177" spans="1:5" ht="19.5" customHeight="1">
      <c r="A177" s="88"/>
      <c r="B177" s="29"/>
      <c r="C177" s="30"/>
      <c r="D177" s="65"/>
      <c r="E177" s="65"/>
    </row>
    <row r="178" spans="1:5" s="42" customFormat="1" ht="43.5" customHeight="1">
      <c r="A178" s="121" t="s">
        <v>494</v>
      </c>
      <c r="B178" s="29" t="s">
        <v>495</v>
      </c>
      <c r="C178" s="30"/>
      <c r="D178" s="125">
        <f>D179+D184</f>
        <v>8052078</v>
      </c>
      <c r="E178" s="125">
        <f>E179+E184</f>
        <v>6197551</v>
      </c>
    </row>
    <row r="179" spans="1:5" ht="32.25" customHeight="1">
      <c r="A179" s="10" t="s">
        <v>496</v>
      </c>
      <c r="B179" s="29" t="s">
        <v>497</v>
      </c>
      <c r="C179" s="30"/>
      <c r="D179" s="125">
        <f>D180</f>
        <v>7762203</v>
      </c>
      <c r="E179" s="125">
        <f>E180</f>
        <v>5907676</v>
      </c>
    </row>
    <row r="180" spans="1:5" ht="18.75" customHeight="1">
      <c r="A180" s="10" t="s">
        <v>201</v>
      </c>
      <c r="B180" s="29" t="s">
        <v>498</v>
      </c>
      <c r="C180" s="30"/>
      <c r="D180" s="125">
        <f>D181+D182+D183</f>
        <v>7762203</v>
      </c>
      <c r="E180" s="125">
        <f>E181+E182+E183</f>
        <v>5907676</v>
      </c>
    </row>
    <row r="181" spans="1:5" ht="42" customHeight="1">
      <c r="A181" s="35" t="s">
        <v>26</v>
      </c>
      <c r="B181" s="29" t="s">
        <v>498</v>
      </c>
      <c r="C181" s="30" t="s">
        <v>27</v>
      </c>
      <c r="D181" s="31">
        <f>8473000-1860569</f>
        <v>6612431</v>
      </c>
      <c r="E181" s="31">
        <f>8473000-90420-3360981-263695</f>
        <v>4757904</v>
      </c>
    </row>
    <row r="182" spans="1:5" ht="27.75" customHeight="1">
      <c r="A182" s="35" t="s">
        <v>38</v>
      </c>
      <c r="B182" s="29" t="s">
        <v>498</v>
      </c>
      <c r="C182" s="30" t="s">
        <v>39</v>
      </c>
      <c r="D182" s="31">
        <v>1132462</v>
      </c>
      <c r="E182" s="31">
        <v>1132462</v>
      </c>
    </row>
    <row r="183" spans="1:5" ht="16.5" customHeight="1">
      <c r="A183" s="10" t="s">
        <v>84</v>
      </c>
      <c r="B183" s="29" t="s">
        <v>498</v>
      </c>
      <c r="C183" s="30" t="s">
        <v>85</v>
      </c>
      <c r="D183" s="31">
        <v>17310</v>
      </c>
      <c r="E183" s="31">
        <v>17310</v>
      </c>
    </row>
    <row r="184" spans="1:5" ht="27.75" customHeight="1">
      <c r="A184" s="10" t="s">
        <v>499</v>
      </c>
      <c r="B184" s="29" t="s">
        <v>500</v>
      </c>
      <c r="C184" s="30"/>
      <c r="D184" s="125">
        <f>D185</f>
        <v>289875</v>
      </c>
      <c r="E184" s="125">
        <f>E185</f>
        <v>289875</v>
      </c>
    </row>
    <row r="185" spans="1:5" ht="28.5" customHeight="1">
      <c r="A185" s="8" t="s">
        <v>501</v>
      </c>
      <c r="B185" s="29" t="s">
        <v>502</v>
      </c>
      <c r="C185" s="30"/>
      <c r="D185" s="125">
        <f>D186</f>
        <v>289875</v>
      </c>
      <c r="E185" s="125">
        <f>E186</f>
        <v>289875</v>
      </c>
    </row>
    <row r="186" spans="1:5" ht="39" customHeight="1">
      <c r="A186" s="35" t="s">
        <v>26</v>
      </c>
      <c r="B186" s="29" t="s">
        <v>502</v>
      </c>
      <c r="C186" s="30" t="s">
        <v>27</v>
      </c>
      <c r="D186" s="31">
        <v>289875</v>
      </c>
      <c r="E186" s="31">
        <v>289875</v>
      </c>
    </row>
    <row r="187" spans="1:5" ht="43.5" customHeight="1">
      <c r="A187" s="121" t="s">
        <v>284</v>
      </c>
      <c r="B187" s="29" t="s">
        <v>285</v>
      </c>
      <c r="C187" s="30"/>
      <c r="D187" s="125">
        <f>D188</f>
        <v>100000</v>
      </c>
      <c r="E187" s="125">
        <f>E188</f>
        <v>100000</v>
      </c>
    </row>
    <row r="188" spans="1:5" s="42" customFormat="1" ht="54" customHeight="1">
      <c r="A188" s="74" t="s">
        <v>286</v>
      </c>
      <c r="B188" s="29" t="s">
        <v>287</v>
      </c>
      <c r="C188" s="30"/>
      <c r="D188" s="125">
        <f>D189</f>
        <v>100000</v>
      </c>
      <c r="E188" s="125">
        <f>E189</f>
        <v>100000</v>
      </c>
    </row>
    <row r="189" spans="1:5" s="42" customFormat="1" ht="44.25" customHeight="1">
      <c r="A189" s="10" t="s">
        <v>288</v>
      </c>
      <c r="B189" s="29" t="s">
        <v>289</v>
      </c>
      <c r="C189" s="30"/>
      <c r="D189" s="31">
        <f>D190+D192</f>
        <v>100000</v>
      </c>
      <c r="E189" s="31">
        <f>E190+E192</f>
        <v>100000</v>
      </c>
    </row>
    <row r="190" spans="1:5" ht="18" customHeight="1" hidden="1">
      <c r="A190" s="8" t="s">
        <v>290</v>
      </c>
      <c r="B190" s="29" t="s">
        <v>291</v>
      </c>
      <c r="C190" s="30"/>
      <c r="D190" s="31">
        <f>D191</f>
        <v>0</v>
      </c>
      <c r="E190" s="31">
        <f>E191</f>
        <v>0</v>
      </c>
    </row>
    <row r="191" spans="1:5" ht="27" customHeight="1" hidden="1">
      <c r="A191" s="35" t="s">
        <v>38</v>
      </c>
      <c r="B191" s="29" t="s">
        <v>291</v>
      </c>
      <c r="C191" s="30" t="s">
        <v>39</v>
      </c>
      <c r="D191" s="31"/>
      <c r="E191" s="31"/>
    </row>
    <row r="192" spans="1:5" ht="18.75" customHeight="1">
      <c r="A192" s="8" t="s">
        <v>292</v>
      </c>
      <c r="B192" s="29" t="s">
        <v>293</v>
      </c>
      <c r="C192" s="30"/>
      <c r="D192" s="31">
        <f>D193</f>
        <v>100000</v>
      </c>
      <c r="E192" s="31">
        <f>E193</f>
        <v>100000</v>
      </c>
    </row>
    <row r="193" spans="1:5" ht="24.75" customHeight="1">
      <c r="A193" s="35" t="s">
        <v>38</v>
      </c>
      <c r="B193" s="29" t="s">
        <v>293</v>
      </c>
      <c r="C193" s="30" t="s">
        <v>39</v>
      </c>
      <c r="D193" s="31">
        <v>100000</v>
      </c>
      <c r="E193" s="31">
        <v>100000</v>
      </c>
    </row>
    <row r="194" spans="1:5" ht="50.25" customHeight="1" hidden="1">
      <c r="A194" s="75" t="s">
        <v>379</v>
      </c>
      <c r="B194" s="47" t="s">
        <v>295</v>
      </c>
      <c r="C194" s="30"/>
      <c r="D194" s="125">
        <f>D195</f>
        <v>0</v>
      </c>
      <c r="E194" s="125">
        <f>E195</f>
        <v>0</v>
      </c>
    </row>
    <row r="195" spans="1:5" s="42" customFormat="1" ht="51.75" hidden="1">
      <c r="A195" s="73" t="s">
        <v>380</v>
      </c>
      <c r="B195" s="47" t="s">
        <v>297</v>
      </c>
      <c r="C195" s="30"/>
      <c r="D195" s="125">
        <f>D197</f>
        <v>0</v>
      </c>
      <c r="E195" s="125">
        <f>E197</f>
        <v>0</v>
      </c>
    </row>
    <row r="196" spans="1:5" s="42" customFormat="1" ht="15" hidden="1">
      <c r="A196" s="10" t="s">
        <v>382</v>
      </c>
      <c r="B196" s="47" t="s">
        <v>299</v>
      </c>
      <c r="C196" s="30"/>
      <c r="D196" s="125">
        <f>D197</f>
        <v>0</v>
      </c>
      <c r="E196" s="125">
        <f>E197</f>
        <v>0</v>
      </c>
    </row>
    <row r="197" spans="1:5" ht="15" hidden="1">
      <c r="A197" s="80" t="s">
        <v>300</v>
      </c>
      <c r="B197" s="47" t="s">
        <v>301</v>
      </c>
      <c r="C197" s="30"/>
      <c r="D197" s="125">
        <f>D198</f>
        <v>0</v>
      </c>
      <c r="E197" s="125">
        <f>E198</f>
        <v>0</v>
      </c>
    </row>
    <row r="198" spans="1:5" ht="26.25" hidden="1">
      <c r="A198" s="35" t="s">
        <v>38</v>
      </c>
      <c r="B198" s="47" t="s">
        <v>301</v>
      </c>
      <c r="C198" s="30" t="s">
        <v>39</v>
      </c>
      <c r="D198" s="125"/>
      <c r="E198" s="125"/>
    </row>
    <row r="199" spans="1:5" ht="39" customHeight="1" hidden="1">
      <c r="A199" s="15" t="s">
        <v>341</v>
      </c>
      <c r="B199" s="47" t="s">
        <v>342</v>
      </c>
      <c r="C199" s="37"/>
      <c r="D199" s="125">
        <f>D200</f>
        <v>0</v>
      </c>
      <c r="E199" s="125">
        <f>E200</f>
        <v>0</v>
      </c>
    </row>
    <row r="200" spans="1:5" s="42" customFormat="1" ht="51.75" customHeight="1" hidden="1">
      <c r="A200" s="75" t="s">
        <v>343</v>
      </c>
      <c r="B200" s="50" t="s">
        <v>344</v>
      </c>
      <c r="C200" s="37"/>
      <c r="D200" s="125">
        <f>D201</f>
        <v>0</v>
      </c>
      <c r="E200" s="125">
        <f>E201</f>
        <v>0</v>
      </c>
    </row>
    <row r="201" spans="1:5" ht="25.5" customHeight="1" hidden="1">
      <c r="A201" s="10" t="s">
        <v>345</v>
      </c>
      <c r="B201" s="50" t="s">
        <v>674</v>
      </c>
      <c r="C201" s="37"/>
      <c r="D201" s="125">
        <f>D202+D204+D207</f>
        <v>0</v>
      </c>
      <c r="E201" s="125">
        <f>E202+E204+E207</f>
        <v>0</v>
      </c>
    </row>
    <row r="202" spans="1:5" ht="38.25" customHeight="1" hidden="1">
      <c r="A202" s="51" t="s">
        <v>346</v>
      </c>
      <c r="B202" s="50" t="s">
        <v>347</v>
      </c>
      <c r="C202" s="37"/>
      <c r="D202" s="125">
        <f>D203</f>
        <v>0</v>
      </c>
      <c r="E202" s="125">
        <f>E203</f>
        <v>0</v>
      </c>
    </row>
    <row r="203" spans="1:5" ht="15" customHeight="1" hidden="1">
      <c r="A203" s="73" t="s">
        <v>193</v>
      </c>
      <c r="B203" s="50" t="s">
        <v>347</v>
      </c>
      <c r="C203" s="37" t="s">
        <v>194</v>
      </c>
      <c r="D203" s="125"/>
      <c r="E203" s="125"/>
    </row>
    <row r="204" spans="1:5" ht="38.25" customHeight="1" hidden="1">
      <c r="A204" s="51" t="s">
        <v>348</v>
      </c>
      <c r="B204" s="50" t="s">
        <v>349</v>
      </c>
      <c r="C204" s="37"/>
      <c r="D204" s="125">
        <f>D205</f>
        <v>0</v>
      </c>
      <c r="E204" s="125">
        <f>E205</f>
        <v>0</v>
      </c>
    </row>
    <row r="205" spans="1:5" ht="15" customHeight="1" hidden="1">
      <c r="A205" s="73" t="s">
        <v>193</v>
      </c>
      <c r="B205" s="50" t="s">
        <v>349</v>
      </c>
      <c r="C205" s="37" t="s">
        <v>194</v>
      </c>
      <c r="D205" s="31"/>
      <c r="E205" s="31"/>
    </row>
    <row r="206" spans="1:5" ht="25.5" customHeight="1" hidden="1">
      <c r="A206" s="51" t="s">
        <v>350</v>
      </c>
      <c r="B206" s="50" t="s">
        <v>351</v>
      </c>
      <c r="C206" s="37"/>
      <c r="D206" s="31"/>
      <c r="E206" s="31"/>
    </row>
    <row r="207" spans="1:5" ht="15" customHeight="1" hidden="1">
      <c r="A207" s="73" t="s">
        <v>193</v>
      </c>
      <c r="B207" s="50" t="s">
        <v>351</v>
      </c>
      <c r="C207" s="37" t="s">
        <v>194</v>
      </c>
      <c r="D207" s="31"/>
      <c r="E207" s="31"/>
    </row>
    <row r="208" spans="1:5" ht="39">
      <c r="A208" s="75" t="s">
        <v>333</v>
      </c>
      <c r="B208" s="57" t="s">
        <v>303</v>
      </c>
      <c r="C208" s="30"/>
      <c r="D208" s="125">
        <f>D209</f>
        <v>501000</v>
      </c>
      <c r="E208" s="125">
        <f>E209</f>
        <v>1157143</v>
      </c>
    </row>
    <row r="209" spans="1:5" s="42" customFormat="1" ht="49.5" customHeight="1">
      <c r="A209" s="63" t="s">
        <v>725</v>
      </c>
      <c r="B209" s="57" t="s">
        <v>305</v>
      </c>
      <c r="C209" s="30"/>
      <c r="D209" s="125">
        <f>D210+D215+D224+D218</f>
        <v>501000</v>
      </c>
      <c r="E209" s="125">
        <f>E210+E215+E224+E218</f>
        <v>1157143</v>
      </c>
    </row>
    <row r="210" spans="1:5" s="42" customFormat="1" ht="25.5" customHeight="1" hidden="1">
      <c r="A210" s="10" t="s">
        <v>424</v>
      </c>
      <c r="B210" s="47" t="s">
        <v>677</v>
      </c>
      <c r="C210" s="37"/>
      <c r="D210" s="125">
        <f>D211+D213</f>
        <v>0</v>
      </c>
      <c r="E210" s="125">
        <f>E211+E213</f>
        <v>0</v>
      </c>
    </row>
    <row r="211" spans="1:5" s="42" customFormat="1" ht="24" customHeight="1" hidden="1">
      <c r="A211" s="80" t="s">
        <v>426</v>
      </c>
      <c r="B211" s="47" t="s">
        <v>427</v>
      </c>
      <c r="C211" s="37"/>
      <c r="D211" s="125">
        <f>D212</f>
        <v>0</v>
      </c>
      <c r="E211" s="125">
        <f>E212</f>
        <v>0</v>
      </c>
    </row>
    <row r="212" spans="1:5" s="42" customFormat="1" ht="26.25" customHeight="1" hidden="1">
      <c r="A212" s="16" t="s">
        <v>271</v>
      </c>
      <c r="B212" s="47" t="s">
        <v>427</v>
      </c>
      <c r="C212" s="37" t="s">
        <v>272</v>
      </c>
      <c r="D212" s="125"/>
      <c r="E212" s="125"/>
    </row>
    <row r="213" spans="1:5" s="42" customFormat="1" ht="24" customHeight="1" hidden="1">
      <c r="A213" s="80" t="s">
        <v>428</v>
      </c>
      <c r="B213" s="47" t="s">
        <v>429</v>
      </c>
      <c r="C213" s="37"/>
      <c r="D213" s="125">
        <f>D214</f>
        <v>0</v>
      </c>
      <c r="E213" s="125">
        <f>E214</f>
        <v>0</v>
      </c>
    </row>
    <row r="214" spans="1:5" s="42" customFormat="1" ht="26.25" customHeight="1" hidden="1">
      <c r="A214" s="35" t="s">
        <v>271</v>
      </c>
      <c r="B214" s="47" t="s">
        <v>429</v>
      </c>
      <c r="C214" s="37" t="s">
        <v>272</v>
      </c>
      <c r="D214" s="125"/>
      <c r="E214" s="125"/>
    </row>
    <row r="215" spans="1:5" s="42" customFormat="1" ht="38.25" customHeight="1" hidden="1">
      <c r="A215" s="10" t="s">
        <v>352</v>
      </c>
      <c r="B215" s="47" t="s">
        <v>353</v>
      </c>
      <c r="C215" s="37"/>
      <c r="D215" s="125">
        <f>D216</f>
        <v>0</v>
      </c>
      <c r="E215" s="125">
        <f>E216</f>
        <v>0</v>
      </c>
    </row>
    <row r="216" spans="1:5" s="42" customFormat="1" ht="39" customHeight="1" hidden="1">
      <c r="A216" s="8" t="s">
        <v>356</v>
      </c>
      <c r="B216" s="47" t="s">
        <v>357</v>
      </c>
      <c r="C216" s="37"/>
      <c r="D216" s="125">
        <f>D217</f>
        <v>0</v>
      </c>
      <c r="E216" s="125">
        <f>E217</f>
        <v>0</v>
      </c>
    </row>
    <row r="217" spans="1:5" s="42" customFormat="1" ht="15" customHeight="1" hidden="1">
      <c r="A217" s="73" t="s">
        <v>193</v>
      </c>
      <c r="B217" s="47" t="s">
        <v>357</v>
      </c>
      <c r="C217" s="37" t="s">
        <v>194</v>
      </c>
      <c r="D217" s="125"/>
      <c r="E217" s="125"/>
    </row>
    <row r="218" spans="1:5" s="42" customFormat="1" ht="51.75" customHeight="1" hidden="1">
      <c r="A218" s="35" t="s">
        <v>647</v>
      </c>
      <c r="B218" s="29" t="s">
        <v>648</v>
      </c>
      <c r="C218" s="37"/>
      <c r="D218" s="31">
        <f>D219+D221</f>
        <v>0</v>
      </c>
      <c r="E218" s="31">
        <f>E219+E221</f>
        <v>0</v>
      </c>
    </row>
    <row r="219" spans="1:5" s="42" customFormat="1" ht="26.25" customHeight="1" hidden="1">
      <c r="A219" s="35" t="s">
        <v>649</v>
      </c>
      <c r="B219" s="29" t="s">
        <v>650</v>
      </c>
      <c r="C219" s="37"/>
      <c r="D219" s="31">
        <f>D220</f>
        <v>0</v>
      </c>
      <c r="E219" s="31">
        <f>E220</f>
        <v>0</v>
      </c>
    </row>
    <row r="220" spans="1:5" s="42" customFormat="1" ht="15" customHeight="1" hidden="1">
      <c r="A220" s="73" t="s">
        <v>193</v>
      </c>
      <c r="B220" s="29" t="s">
        <v>650</v>
      </c>
      <c r="C220" s="37" t="s">
        <v>194</v>
      </c>
      <c r="D220" s="31"/>
      <c r="E220" s="31"/>
    </row>
    <row r="221" spans="1:5" s="42" customFormat="1" ht="26.25" customHeight="1" hidden="1">
      <c r="A221" s="73" t="s">
        <v>651</v>
      </c>
      <c r="B221" s="29" t="s">
        <v>652</v>
      </c>
      <c r="C221" s="37"/>
      <c r="D221" s="31">
        <f>D223+D222</f>
        <v>0</v>
      </c>
      <c r="E221" s="31">
        <f>E223+E222</f>
        <v>0</v>
      </c>
    </row>
    <row r="222" spans="1:5" s="42" customFormat="1" ht="26.25" customHeight="1" hidden="1">
      <c r="A222" s="35" t="s">
        <v>38</v>
      </c>
      <c r="B222" s="29" t="s">
        <v>652</v>
      </c>
      <c r="C222" s="37" t="s">
        <v>39</v>
      </c>
      <c r="D222" s="31"/>
      <c r="E222" s="31"/>
    </row>
    <row r="223" spans="1:5" s="42" customFormat="1" ht="26.25" customHeight="1" hidden="1">
      <c r="A223" s="73" t="s">
        <v>271</v>
      </c>
      <c r="B223" s="29" t="s">
        <v>652</v>
      </c>
      <c r="C223" s="37" t="s">
        <v>272</v>
      </c>
      <c r="D223" s="31"/>
      <c r="E223" s="31"/>
    </row>
    <row r="224" spans="1:5" s="42" customFormat="1" ht="25.5">
      <c r="A224" s="10" t="s">
        <v>306</v>
      </c>
      <c r="B224" s="47" t="s">
        <v>307</v>
      </c>
      <c r="C224" s="37"/>
      <c r="D224" s="125">
        <f>D230+D225+D227</f>
        <v>501000</v>
      </c>
      <c r="E224" s="125">
        <f>E230+E225+E227</f>
        <v>1157143</v>
      </c>
    </row>
    <row r="225" spans="1:5" s="42" customFormat="1" ht="32.25" customHeight="1">
      <c r="A225" s="10" t="s">
        <v>308</v>
      </c>
      <c r="B225" s="47" t="s">
        <v>309</v>
      </c>
      <c r="C225" s="37"/>
      <c r="D225" s="125">
        <f>D226</f>
        <v>350700</v>
      </c>
      <c r="E225" s="125">
        <f>E226</f>
        <v>810000</v>
      </c>
    </row>
    <row r="226" spans="1:5" s="42" customFormat="1" ht="26.25">
      <c r="A226" s="35" t="s">
        <v>38</v>
      </c>
      <c r="B226" s="47" t="s">
        <v>309</v>
      </c>
      <c r="C226" s="37" t="s">
        <v>39</v>
      </c>
      <c r="D226" s="31">
        <v>350700</v>
      </c>
      <c r="E226" s="31">
        <v>810000</v>
      </c>
    </row>
    <row r="227" spans="1:5" s="42" customFormat="1" ht="30" customHeight="1">
      <c r="A227" s="10" t="s">
        <v>312</v>
      </c>
      <c r="B227" s="47" t="s">
        <v>313</v>
      </c>
      <c r="C227" s="37"/>
      <c r="D227" s="125">
        <f>D229+D228</f>
        <v>150300</v>
      </c>
      <c r="E227" s="125">
        <f>E229+E228</f>
        <v>347143</v>
      </c>
    </row>
    <row r="228" spans="1:5" s="42" customFormat="1" ht="25.5" customHeight="1">
      <c r="A228" s="35" t="s">
        <v>38</v>
      </c>
      <c r="B228" s="47" t="s">
        <v>313</v>
      </c>
      <c r="C228" s="37" t="s">
        <v>39</v>
      </c>
      <c r="D228" s="31">
        <v>150300</v>
      </c>
      <c r="E228" s="31">
        <v>347143</v>
      </c>
    </row>
    <row r="229" spans="1:5" s="42" customFormat="1" ht="15" customHeight="1" hidden="1">
      <c r="A229" s="73" t="s">
        <v>193</v>
      </c>
      <c r="B229" s="47" t="s">
        <v>313</v>
      </c>
      <c r="C229" s="37" t="s">
        <v>194</v>
      </c>
      <c r="D229" s="31"/>
      <c r="E229" s="31"/>
    </row>
    <row r="230" spans="1:5" s="42" customFormat="1" ht="39" customHeight="1" hidden="1">
      <c r="A230" s="73" t="s">
        <v>645</v>
      </c>
      <c r="B230" s="47" t="s">
        <v>646</v>
      </c>
      <c r="C230" s="37"/>
      <c r="D230" s="125">
        <f>D231</f>
        <v>0</v>
      </c>
      <c r="E230" s="125">
        <f>E231</f>
        <v>0</v>
      </c>
    </row>
    <row r="231" spans="1:5" s="42" customFormat="1" ht="15" customHeight="1" hidden="1">
      <c r="A231" s="73" t="s">
        <v>193</v>
      </c>
      <c r="B231" s="47" t="s">
        <v>646</v>
      </c>
      <c r="C231" s="37" t="s">
        <v>194</v>
      </c>
      <c r="D231" s="125"/>
      <c r="E231" s="125"/>
    </row>
    <row r="232" spans="1:5" ht="45" customHeight="1">
      <c r="A232" s="10" t="s">
        <v>463</v>
      </c>
      <c r="B232" s="50" t="s">
        <v>464</v>
      </c>
      <c r="C232" s="30"/>
      <c r="D232" s="125">
        <f>D233+D238+D247</f>
        <v>8873509</v>
      </c>
      <c r="E232" s="125">
        <f>E233+E238+E247</f>
        <v>8661383</v>
      </c>
    </row>
    <row r="233" spans="1:5" s="42" customFormat="1" ht="63" customHeight="1">
      <c r="A233" s="10" t="s">
        <v>465</v>
      </c>
      <c r="B233" s="50" t="s">
        <v>466</v>
      </c>
      <c r="C233" s="56"/>
      <c r="D233" s="125">
        <f>D234</f>
        <v>100000</v>
      </c>
      <c r="E233" s="125">
        <f>E234</f>
        <v>100000</v>
      </c>
    </row>
    <row r="234" spans="1:5" ht="45" customHeight="1">
      <c r="A234" s="10" t="s">
        <v>467</v>
      </c>
      <c r="B234" s="50" t="s">
        <v>468</v>
      </c>
      <c r="C234" s="56"/>
      <c r="D234" s="125">
        <f>D235</f>
        <v>100000</v>
      </c>
      <c r="E234" s="125">
        <f>E235</f>
        <v>100000</v>
      </c>
    </row>
    <row r="235" spans="1:5" ht="15.75" customHeight="1">
      <c r="A235" s="10" t="s">
        <v>469</v>
      </c>
      <c r="B235" s="50" t="s">
        <v>470</v>
      </c>
      <c r="C235" s="56"/>
      <c r="D235" s="125">
        <f>D236+D237</f>
        <v>100000</v>
      </c>
      <c r="E235" s="125">
        <f>E236+E237</f>
        <v>100000</v>
      </c>
    </row>
    <row r="236" spans="1:5" s="42" customFormat="1" ht="24" customHeight="1">
      <c r="A236" s="35" t="s">
        <v>38</v>
      </c>
      <c r="B236" s="50" t="s">
        <v>470</v>
      </c>
      <c r="C236" s="56" t="s">
        <v>39</v>
      </c>
      <c r="D236" s="31">
        <v>100000</v>
      </c>
      <c r="E236" s="31">
        <v>100000</v>
      </c>
    </row>
    <row r="237" spans="1:5" s="42" customFormat="1" ht="15" hidden="1">
      <c r="A237" s="16" t="s">
        <v>211</v>
      </c>
      <c r="B237" s="50" t="s">
        <v>470</v>
      </c>
      <c r="C237" s="56" t="s">
        <v>212</v>
      </c>
      <c r="D237" s="31"/>
      <c r="E237" s="31"/>
    </row>
    <row r="238" spans="1:5" s="42" customFormat="1" ht="68.25" customHeight="1">
      <c r="A238" s="63" t="s">
        <v>602</v>
      </c>
      <c r="B238" s="50" t="s">
        <v>603</v>
      </c>
      <c r="C238" s="30"/>
      <c r="D238" s="125">
        <f>D239+D242</f>
        <v>6324468</v>
      </c>
      <c r="E238" s="125">
        <f>E239+E242</f>
        <v>6112342</v>
      </c>
    </row>
    <row r="239" spans="1:5" s="42" customFormat="1" ht="44.25" customHeight="1">
      <c r="A239" s="63" t="s">
        <v>604</v>
      </c>
      <c r="B239" s="50" t="s">
        <v>605</v>
      </c>
      <c r="C239" s="30"/>
      <c r="D239" s="125">
        <f>D240</f>
        <v>100000</v>
      </c>
      <c r="E239" s="125">
        <f>E240</f>
        <v>100000</v>
      </c>
    </row>
    <row r="240" spans="1:5" ht="39">
      <c r="A240" s="16" t="s">
        <v>606</v>
      </c>
      <c r="B240" s="50" t="s">
        <v>607</v>
      </c>
      <c r="C240" s="30"/>
      <c r="D240" s="125">
        <f>D241</f>
        <v>100000</v>
      </c>
      <c r="E240" s="125">
        <f>E241</f>
        <v>100000</v>
      </c>
    </row>
    <row r="241" spans="1:5" s="42" customFormat="1" ht="25.5" customHeight="1">
      <c r="A241" s="35" t="s">
        <v>38</v>
      </c>
      <c r="B241" s="50" t="s">
        <v>607</v>
      </c>
      <c r="C241" s="30" t="s">
        <v>39</v>
      </c>
      <c r="D241" s="125">
        <v>100000</v>
      </c>
      <c r="E241" s="125">
        <v>100000</v>
      </c>
    </row>
    <row r="242" spans="1:5" s="42" customFormat="1" ht="25.5">
      <c r="A242" s="53" t="s">
        <v>608</v>
      </c>
      <c r="B242" s="50" t="s">
        <v>609</v>
      </c>
      <c r="C242" s="30"/>
      <c r="D242" s="125">
        <f>D243</f>
        <v>6224468</v>
      </c>
      <c r="E242" s="125">
        <f>E243</f>
        <v>6012342</v>
      </c>
    </row>
    <row r="243" spans="1:5" s="42" customFormat="1" ht="25.5">
      <c r="A243" s="10" t="s">
        <v>201</v>
      </c>
      <c r="B243" s="50" t="s">
        <v>610</v>
      </c>
      <c r="C243" s="30"/>
      <c r="D243" s="125">
        <f>D244+D245+D246</f>
        <v>6224468</v>
      </c>
      <c r="E243" s="125">
        <f>E244+E245+E246</f>
        <v>6012342</v>
      </c>
    </row>
    <row r="244" spans="1:5" ht="39">
      <c r="A244" s="35" t="s">
        <v>26</v>
      </c>
      <c r="B244" s="50" t="s">
        <v>610</v>
      </c>
      <c r="C244" s="30" t="s">
        <v>27</v>
      </c>
      <c r="D244" s="31">
        <f>6816000-1496712</f>
        <v>5319288</v>
      </c>
      <c r="E244" s="31">
        <f>6816000-1496712-212126</f>
        <v>5107162</v>
      </c>
    </row>
    <row r="245" spans="1:5" ht="26.25">
      <c r="A245" s="35" t="s">
        <v>38</v>
      </c>
      <c r="B245" s="50" t="s">
        <v>610</v>
      </c>
      <c r="C245" s="30" t="s">
        <v>39</v>
      </c>
      <c r="D245" s="31">
        <v>819400</v>
      </c>
      <c r="E245" s="31">
        <f>819400</f>
        <v>819400</v>
      </c>
    </row>
    <row r="246" spans="1:5" ht="15">
      <c r="A246" s="10" t="s">
        <v>84</v>
      </c>
      <c r="B246" s="50" t="s">
        <v>610</v>
      </c>
      <c r="C246" s="30" t="s">
        <v>85</v>
      </c>
      <c r="D246" s="31">
        <v>85780</v>
      </c>
      <c r="E246" s="31">
        <v>85780</v>
      </c>
    </row>
    <row r="247" spans="1:5" s="42" customFormat="1" ht="51">
      <c r="A247" s="63" t="s">
        <v>471</v>
      </c>
      <c r="B247" s="50" t="s">
        <v>472</v>
      </c>
      <c r="C247" s="56"/>
      <c r="D247" s="125">
        <f>D248+D258+D255</f>
        <v>2449041</v>
      </c>
      <c r="E247" s="125">
        <f>E248+E258+E255</f>
        <v>2449041</v>
      </c>
    </row>
    <row r="248" spans="1:5" ht="24.75" customHeight="1">
      <c r="A248" s="10" t="s">
        <v>473</v>
      </c>
      <c r="B248" s="50" t="s">
        <v>474</v>
      </c>
      <c r="C248" s="56"/>
      <c r="D248" s="125">
        <f>D249+D252</f>
        <v>1785165</v>
      </c>
      <c r="E248" s="125">
        <f>E249+E252</f>
        <v>1785165</v>
      </c>
    </row>
    <row r="249" spans="1:5" ht="15" customHeight="1" hidden="1">
      <c r="A249" s="16" t="s">
        <v>475</v>
      </c>
      <c r="B249" s="50" t="s">
        <v>476</v>
      </c>
      <c r="C249" s="30"/>
      <c r="D249" s="125">
        <f>D250+D251</f>
        <v>0</v>
      </c>
      <c r="E249" s="125">
        <f>E250+E251</f>
        <v>0</v>
      </c>
    </row>
    <row r="250" spans="1:5" ht="26.25" customHeight="1" hidden="1">
      <c r="A250" s="35" t="s">
        <v>38</v>
      </c>
      <c r="B250" s="50" t="s">
        <v>476</v>
      </c>
      <c r="C250" s="56" t="s">
        <v>39</v>
      </c>
      <c r="D250" s="31"/>
      <c r="E250" s="31"/>
    </row>
    <row r="251" spans="1:5" ht="15" customHeight="1" hidden="1">
      <c r="A251" s="16" t="s">
        <v>211</v>
      </c>
      <c r="B251" s="50" t="s">
        <v>476</v>
      </c>
      <c r="C251" s="56" t="s">
        <v>212</v>
      </c>
      <c r="D251" s="31"/>
      <c r="E251" s="31"/>
    </row>
    <row r="252" spans="1:5" ht="15">
      <c r="A252" s="118" t="s">
        <v>477</v>
      </c>
      <c r="B252" s="50" t="s">
        <v>478</v>
      </c>
      <c r="C252" s="30"/>
      <c r="D252" s="125">
        <f>D254+D253</f>
        <v>1785165</v>
      </c>
      <c r="E252" s="125">
        <f>E254+E253</f>
        <v>1785165</v>
      </c>
    </row>
    <row r="253" spans="1:5" ht="26.25">
      <c r="A253" s="35" t="s">
        <v>38</v>
      </c>
      <c r="B253" s="50" t="s">
        <v>478</v>
      </c>
      <c r="C253" s="56" t="s">
        <v>39</v>
      </c>
      <c r="D253" s="31">
        <v>693165</v>
      </c>
      <c r="E253" s="31">
        <v>693165</v>
      </c>
    </row>
    <row r="254" spans="1:5" ht="13.5" customHeight="1">
      <c r="A254" s="16" t="s">
        <v>211</v>
      </c>
      <c r="B254" s="50" t="s">
        <v>478</v>
      </c>
      <c r="C254" s="56" t="s">
        <v>212</v>
      </c>
      <c r="D254" s="31">
        <v>1092000</v>
      </c>
      <c r="E254" s="31">
        <v>1092000</v>
      </c>
    </row>
    <row r="255" spans="1:5" ht="15.75" customHeight="1" hidden="1">
      <c r="A255" s="10" t="s">
        <v>481</v>
      </c>
      <c r="B255" s="50" t="s">
        <v>482</v>
      </c>
      <c r="C255" s="56"/>
      <c r="D255" s="125">
        <f>D256</f>
        <v>0</v>
      </c>
      <c r="E255" s="125">
        <f>E256</f>
        <v>0</v>
      </c>
    </row>
    <row r="256" spans="1:5" ht="15" hidden="1">
      <c r="A256" s="35" t="s">
        <v>479</v>
      </c>
      <c r="B256" s="50" t="s">
        <v>483</v>
      </c>
      <c r="C256" s="56"/>
      <c r="D256" s="125">
        <f>D257</f>
        <v>0</v>
      </c>
      <c r="E256" s="125">
        <f>E257</f>
        <v>0</v>
      </c>
    </row>
    <row r="257" spans="1:5" ht="15" hidden="1">
      <c r="A257" s="212" t="s">
        <v>38</v>
      </c>
      <c r="B257" s="50" t="s">
        <v>483</v>
      </c>
      <c r="C257" s="56" t="s">
        <v>39</v>
      </c>
      <c r="D257" s="125"/>
      <c r="E257" s="125"/>
    </row>
    <row r="258" spans="1:5" ht="39.75" customHeight="1">
      <c r="A258" s="10" t="s">
        <v>484</v>
      </c>
      <c r="B258" s="50" t="s">
        <v>485</v>
      </c>
      <c r="C258" s="56"/>
      <c r="D258" s="125">
        <f>D259</f>
        <v>663876</v>
      </c>
      <c r="E258" s="125">
        <f>E259</f>
        <v>663876</v>
      </c>
    </row>
    <row r="259" spans="1:5" ht="24" customHeight="1">
      <c r="A259" s="8" t="s">
        <v>201</v>
      </c>
      <c r="B259" s="50" t="s">
        <v>490</v>
      </c>
      <c r="C259" s="56"/>
      <c r="D259" s="125">
        <f>D260+D261+D263+D262</f>
        <v>663876</v>
      </c>
      <c r="E259" s="125">
        <f>E260+E261+E263+E262</f>
        <v>663876</v>
      </c>
    </row>
    <row r="260" spans="1:5" ht="30.75" customHeight="1" hidden="1">
      <c r="A260" s="16" t="s">
        <v>491</v>
      </c>
      <c r="B260" s="50" t="s">
        <v>490</v>
      </c>
      <c r="C260" s="30" t="s">
        <v>27</v>
      </c>
      <c r="D260" s="31">
        <f>673681-132195-541486</f>
        <v>0</v>
      </c>
      <c r="E260" s="31">
        <f>673681-120647-553034</f>
        <v>0</v>
      </c>
    </row>
    <row r="261" spans="1:5" ht="27" customHeight="1" hidden="1">
      <c r="A261" s="35" t="s">
        <v>38</v>
      </c>
      <c r="B261" s="50" t="s">
        <v>490</v>
      </c>
      <c r="C261" s="56" t="s">
        <v>39</v>
      </c>
      <c r="D261" s="31">
        <f>683273-683273</f>
        <v>0</v>
      </c>
      <c r="E261" s="31">
        <f>683273-683273</f>
        <v>0</v>
      </c>
    </row>
    <row r="262" spans="1:5" ht="26.25" customHeight="1">
      <c r="A262" s="16" t="s">
        <v>140</v>
      </c>
      <c r="B262" s="50" t="s">
        <v>490</v>
      </c>
      <c r="C262" s="56" t="s">
        <v>141</v>
      </c>
      <c r="D262" s="31">
        <f>884876-221000</f>
        <v>663876</v>
      </c>
      <c r="E262" s="31">
        <f>884876-221000</f>
        <v>663876</v>
      </c>
    </row>
    <row r="263" spans="1:5" ht="18.75" customHeight="1" hidden="1">
      <c r="A263" s="10" t="s">
        <v>84</v>
      </c>
      <c r="B263" s="50" t="s">
        <v>490</v>
      </c>
      <c r="C263" s="56" t="s">
        <v>85</v>
      </c>
      <c r="D263" s="31">
        <f>113-113</f>
        <v>0</v>
      </c>
      <c r="E263" s="31">
        <f>113-113</f>
        <v>0</v>
      </c>
    </row>
    <row r="264" spans="1:5" ht="43.5" customHeight="1">
      <c r="A264" s="121" t="s">
        <v>726</v>
      </c>
      <c r="B264" s="29" t="s">
        <v>147</v>
      </c>
      <c r="C264" s="37"/>
      <c r="D264" s="31">
        <f aca="true" t="shared" si="0" ref="D264:E266">D265</f>
        <v>280000</v>
      </c>
      <c r="E264" s="31">
        <f t="shared" si="0"/>
        <v>280000</v>
      </c>
    </row>
    <row r="265" spans="1:5" s="42" customFormat="1" ht="57.75" customHeight="1">
      <c r="A265" s="63" t="s">
        <v>148</v>
      </c>
      <c r="B265" s="29" t="s">
        <v>149</v>
      </c>
      <c r="C265" s="37"/>
      <c r="D265" s="31">
        <f t="shared" si="0"/>
        <v>280000</v>
      </c>
      <c r="E265" s="31">
        <f t="shared" si="0"/>
        <v>280000</v>
      </c>
    </row>
    <row r="266" spans="1:5" s="42" customFormat="1" ht="27" customHeight="1">
      <c r="A266" s="63" t="s">
        <v>150</v>
      </c>
      <c r="B266" s="29" t="s">
        <v>151</v>
      </c>
      <c r="C266" s="37"/>
      <c r="D266" s="31">
        <f t="shared" si="0"/>
        <v>280000</v>
      </c>
      <c r="E266" s="31">
        <f t="shared" si="0"/>
        <v>280000</v>
      </c>
    </row>
    <row r="267" spans="1:5" ht="16.5" customHeight="1">
      <c r="A267" s="63" t="s">
        <v>152</v>
      </c>
      <c r="B267" s="29" t="s">
        <v>153</v>
      </c>
      <c r="C267" s="37"/>
      <c r="D267" s="31">
        <f>D268</f>
        <v>280000</v>
      </c>
      <c r="E267" s="31">
        <f>E268</f>
        <v>280000</v>
      </c>
    </row>
    <row r="268" spans="1:5" ht="27" customHeight="1">
      <c r="A268" s="35" t="s">
        <v>38</v>
      </c>
      <c r="B268" s="29" t="s">
        <v>153</v>
      </c>
      <c r="C268" s="30" t="s">
        <v>39</v>
      </c>
      <c r="D268" s="31">
        <v>280000</v>
      </c>
      <c r="E268" s="31">
        <v>280000</v>
      </c>
    </row>
    <row r="269" spans="1:5" ht="33" customHeight="1">
      <c r="A269" s="15" t="s">
        <v>59</v>
      </c>
      <c r="B269" s="36" t="s">
        <v>60</v>
      </c>
      <c r="C269" s="30"/>
      <c r="D269" s="125">
        <f>D270</f>
        <v>322552</v>
      </c>
      <c r="E269" s="125">
        <f>E270</f>
        <v>322552</v>
      </c>
    </row>
    <row r="270" spans="1:5" s="42" customFormat="1" ht="60" customHeight="1">
      <c r="A270" s="13" t="s">
        <v>61</v>
      </c>
      <c r="B270" s="36" t="s">
        <v>62</v>
      </c>
      <c r="C270" s="30"/>
      <c r="D270" s="125">
        <f>D271</f>
        <v>322552</v>
      </c>
      <c r="E270" s="125">
        <f>E271</f>
        <v>322552</v>
      </c>
    </row>
    <row r="271" spans="1:5" s="42" customFormat="1" ht="29.25" customHeight="1">
      <c r="A271" s="10" t="s">
        <v>63</v>
      </c>
      <c r="B271" s="36" t="s">
        <v>64</v>
      </c>
      <c r="C271" s="30"/>
      <c r="D271" s="125">
        <f>D272+D275</f>
        <v>322552</v>
      </c>
      <c r="E271" s="125">
        <f>E272+E275</f>
        <v>322552</v>
      </c>
    </row>
    <row r="272" spans="1:5" ht="21" customHeight="1">
      <c r="A272" s="118" t="s">
        <v>65</v>
      </c>
      <c r="B272" s="36" t="s">
        <v>66</v>
      </c>
      <c r="C272" s="30"/>
      <c r="D272" s="125">
        <f>D273+D274</f>
        <v>322552</v>
      </c>
      <c r="E272" s="125">
        <f>E273+E274</f>
        <v>322552</v>
      </c>
    </row>
    <row r="273" spans="1:5" ht="42.75" customHeight="1">
      <c r="A273" s="35" t="s">
        <v>26</v>
      </c>
      <c r="B273" s="36" t="s">
        <v>66</v>
      </c>
      <c r="C273" s="37" t="s">
        <v>27</v>
      </c>
      <c r="D273" s="31">
        <v>318221</v>
      </c>
      <c r="E273" s="31">
        <v>318221</v>
      </c>
    </row>
    <row r="274" spans="1:5" ht="24.75" customHeight="1">
      <c r="A274" s="35" t="s">
        <v>38</v>
      </c>
      <c r="B274" s="36" t="s">
        <v>66</v>
      </c>
      <c r="C274" s="37" t="s">
        <v>39</v>
      </c>
      <c r="D274" s="31">
        <v>4331</v>
      </c>
      <c r="E274" s="31">
        <v>4331</v>
      </c>
    </row>
    <row r="275" spans="1:5" ht="26.25" hidden="1">
      <c r="A275" s="35" t="s">
        <v>155</v>
      </c>
      <c r="B275" s="36" t="s">
        <v>156</v>
      </c>
      <c r="C275" s="30"/>
      <c r="D275" s="31">
        <f>D276</f>
        <v>0</v>
      </c>
      <c r="E275" s="31">
        <f>E276</f>
        <v>0</v>
      </c>
    </row>
    <row r="276" spans="1:5" ht="26.25" hidden="1">
      <c r="A276" s="35" t="s">
        <v>38</v>
      </c>
      <c r="B276" s="36" t="s">
        <v>156</v>
      </c>
      <c r="C276" s="37" t="s">
        <v>39</v>
      </c>
      <c r="D276" s="31"/>
      <c r="E276" s="31"/>
    </row>
    <row r="277" spans="1:5" ht="44.25" customHeight="1">
      <c r="A277" s="62" t="s">
        <v>157</v>
      </c>
      <c r="B277" s="50" t="s">
        <v>158</v>
      </c>
      <c r="C277" s="30"/>
      <c r="D277" s="31">
        <f>D278+D294+D298</f>
        <v>7497620</v>
      </c>
      <c r="E277" s="31">
        <f>E278+E294+E298</f>
        <v>7642580</v>
      </c>
    </row>
    <row r="278" spans="1:5" s="42" customFormat="1" ht="51">
      <c r="A278" s="63" t="s">
        <v>249</v>
      </c>
      <c r="B278" s="50" t="s">
        <v>250</v>
      </c>
      <c r="C278" s="30"/>
      <c r="D278" s="31">
        <f>D279+D285</f>
        <v>5871660</v>
      </c>
      <c r="E278" s="31">
        <f>E279+E285</f>
        <v>6016620</v>
      </c>
    </row>
    <row r="279" spans="1:5" s="42" customFormat="1" ht="25.5">
      <c r="A279" s="10" t="s">
        <v>251</v>
      </c>
      <c r="B279" s="50" t="s">
        <v>252</v>
      </c>
      <c r="C279" s="30"/>
      <c r="D279" s="31">
        <f>D283+D280</f>
        <v>5128623</v>
      </c>
      <c r="E279" s="31">
        <f>E283+E280</f>
        <v>6016620</v>
      </c>
    </row>
    <row r="280" spans="1:5" s="42" customFormat="1" ht="15">
      <c r="A280" s="35" t="s">
        <v>259</v>
      </c>
      <c r="B280" s="50" t="s">
        <v>260</v>
      </c>
      <c r="C280" s="30"/>
      <c r="D280" s="31">
        <f>D281</f>
        <v>2835527</v>
      </c>
      <c r="E280" s="31">
        <f>E281</f>
        <v>0</v>
      </c>
    </row>
    <row r="281" spans="1:5" s="42" customFormat="1" ht="30" customHeight="1">
      <c r="A281" s="64" t="s">
        <v>770</v>
      </c>
      <c r="B281" s="50" t="s">
        <v>261</v>
      </c>
      <c r="C281" s="30"/>
      <c r="D281" s="31">
        <f>D282</f>
        <v>2835527</v>
      </c>
      <c r="E281" s="31">
        <f>E282</f>
        <v>0</v>
      </c>
    </row>
    <row r="282" spans="1:5" s="42" customFormat="1" ht="24" customHeight="1">
      <c r="A282" s="35" t="s">
        <v>92</v>
      </c>
      <c r="B282" s="50" t="s">
        <v>261</v>
      </c>
      <c r="C282" s="30" t="s">
        <v>39</v>
      </c>
      <c r="D282" s="31">
        <v>2835527</v>
      </c>
      <c r="E282" s="31"/>
    </row>
    <row r="283" spans="1:5" ht="26.25">
      <c r="A283" s="35" t="s">
        <v>264</v>
      </c>
      <c r="B283" s="50" t="s">
        <v>265</v>
      </c>
      <c r="C283" s="30"/>
      <c r="D283" s="31">
        <f>D284</f>
        <v>2293096</v>
      </c>
      <c r="E283" s="31">
        <f>E284</f>
        <v>6016620</v>
      </c>
    </row>
    <row r="284" spans="1:5" ht="14.25" customHeight="1">
      <c r="A284" s="35" t="s">
        <v>92</v>
      </c>
      <c r="B284" s="50" t="s">
        <v>265</v>
      </c>
      <c r="C284" s="30" t="s">
        <v>39</v>
      </c>
      <c r="D284" s="31">
        <f>5871660-743037-2835527</f>
        <v>2293096</v>
      </c>
      <c r="E284" s="31">
        <f>6016620</f>
        <v>6016620</v>
      </c>
    </row>
    <row r="285" spans="1:5" ht="24" customHeight="1">
      <c r="A285" s="10" t="s">
        <v>267</v>
      </c>
      <c r="B285" s="50" t="s">
        <v>268</v>
      </c>
      <c r="C285" s="30"/>
      <c r="D285" s="31">
        <f>D292+D290+D286+D288</f>
        <v>743037</v>
      </c>
      <c r="E285" s="31">
        <f>E292+E290+E286+E288</f>
        <v>0</v>
      </c>
    </row>
    <row r="286" spans="1:5" ht="25.5" hidden="1">
      <c r="A286" s="10" t="s">
        <v>273</v>
      </c>
      <c r="B286" s="50" t="s">
        <v>274</v>
      </c>
      <c r="C286" s="30"/>
      <c r="D286" s="31">
        <f>D287</f>
        <v>0</v>
      </c>
      <c r="E286" s="31">
        <f>E287</f>
        <v>0</v>
      </c>
    </row>
    <row r="287" spans="1:5" ht="30" hidden="1">
      <c r="A287" s="66" t="s">
        <v>271</v>
      </c>
      <c r="B287" s="50" t="s">
        <v>274</v>
      </c>
      <c r="C287" s="30" t="s">
        <v>272</v>
      </c>
      <c r="D287" s="31"/>
      <c r="E287" s="31"/>
    </row>
    <row r="288" spans="1:5" ht="25.5" hidden="1">
      <c r="A288" s="10" t="s">
        <v>273</v>
      </c>
      <c r="B288" s="50" t="s">
        <v>274</v>
      </c>
      <c r="C288" s="30"/>
      <c r="D288" s="31">
        <f>D289</f>
        <v>0</v>
      </c>
      <c r="E288" s="31">
        <f>E289</f>
        <v>0</v>
      </c>
    </row>
    <row r="289" spans="1:5" ht="26.25" hidden="1">
      <c r="A289" s="16" t="s">
        <v>271</v>
      </c>
      <c r="B289" s="50" t="s">
        <v>274</v>
      </c>
      <c r="C289" s="30" t="s">
        <v>272</v>
      </c>
      <c r="D289" s="31">
        <f>36408803-36408803</f>
        <v>0</v>
      </c>
      <c r="E289" s="31"/>
    </row>
    <row r="290" spans="1:5" ht="45">
      <c r="A290" s="213" t="s">
        <v>275</v>
      </c>
      <c r="B290" s="50" t="s">
        <v>276</v>
      </c>
      <c r="C290" s="30"/>
      <c r="D290" s="31">
        <f>D291</f>
        <v>743037</v>
      </c>
      <c r="E290" s="31">
        <f>E291</f>
        <v>0</v>
      </c>
    </row>
    <row r="291" spans="1:5" ht="30">
      <c r="A291" s="66" t="s">
        <v>271</v>
      </c>
      <c r="B291" s="50" t="s">
        <v>276</v>
      </c>
      <c r="C291" s="30" t="s">
        <v>272</v>
      </c>
      <c r="D291" s="31">
        <v>743037</v>
      </c>
      <c r="E291" s="31"/>
    </row>
    <row r="292" spans="1:5" ht="26.25" hidden="1">
      <c r="A292" s="35" t="s">
        <v>269</v>
      </c>
      <c r="B292" s="50" t="s">
        <v>270</v>
      </c>
      <c r="C292" s="30"/>
      <c r="D292" s="31">
        <f>D293</f>
        <v>0</v>
      </c>
      <c r="E292" s="31">
        <f>E293</f>
        <v>0</v>
      </c>
    </row>
    <row r="293" spans="1:5" ht="30" hidden="1">
      <c r="A293" s="66" t="s">
        <v>271</v>
      </c>
      <c r="B293" s="50" t="s">
        <v>270</v>
      </c>
      <c r="C293" s="30" t="s">
        <v>272</v>
      </c>
      <c r="D293" s="31"/>
      <c r="E293" s="31"/>
    </row>
    <row r="294" spans="1:5" s="42" customFormat="1" ht="57.75" customHeight="1">
      <c r="A294" s="67" t="s">
        <v>241</v>
      </c>
      <c r="B294" s="50" t="s">
        <v>242</v>
      </c>
      <c r="C294" s="30"/>
      <c r="D294" s="125">
        <f aca="true" t="shared" si="1" ref="D294:E296">D295</f>
        <v>1589000</v>
      </c>
      <c r="E294" s="125">
        <f t="shared" si="1"/>
        <v>1589000</v>
      </c>
    </row>
    <row r="295" spans="1:5" s="42" customFormat="1" ht="30" customHeight="1">
      <c r="A295" s="10" t="s">
        <v>243</v>
      </c>
      <c r="B295" s="50" t="s">
        <v>244</v>
      </c>
      <c r="C295" s="30"/>
      <c r="D295" s="125">
        <f t="shared" si="1"/>
        <v>1589000</v>
      </c>
      <c r="E295" s="125">
        <f t="shared" si="1"/>
        <v>1589000</v>
      </c>
    </row>
    <row r="296" spans="1:5" ht="15">
      <c r="A296" s="16" t="s">
        <v>245</v>
      </c>
      <c r="B296" s="50" t="s">
        <v>246</v>
      </c>
      <c r="C296" s="30"/>
      <c r="D296" s="125">
        <f t="shared" si="1"/>
        <v>1589000</v>
      </c>
      <c r="E296" s="125">
        <f t="shared" si="1"/>
        <v>1589000</v>
      </c>
    </row>
    <row r="297" spans="1:5" ht="15">
      <c r="A297" s="35" t="s">
        <v>84</v>
      </c>
      <c r="B297" s="50" t="s">
        <v>246</v>
      </c>
      <c r="C297" s="30" t="s">
        <v>85</v>
      </c>
      <c r="D297" s="31">
        <v>1589000</v>
      </c>
      <c r="E297" s="31">
        <v>1589000</v>
      </c>
    </row>
    <row r="298" spans="1:5" s="42" customFormat="1" ht="62.25" customHeight="1">
      <c r="A298" s="67" t="s">
        <v>159</v>
      </c>
      <c r="B298" s="50" t="s">
        <v>160</v>
      </c>
      <c r="C298" s="30"/>
      <c r="D298" s="125">
        <f>D299+D302</f>
        <v>36960</v>
      </c>
      <c r="E298" s="125">
        <f>E299+E302</f>
        <v>36960</v>
      </c>
    </row>
    <row r="299" spans="1:5" ht="25.5" customHeight="1" hidden="1">
      <c r="A299" s="55" t="s">
        <v>277</v>
      </c>
      <c r="B299" s="50" t="s">
        <v>278</v>
      </c>
      <c r="C299" s="30"/>
      <c r="D299" s="125">
        <f>D300</f>
        <v>0</v>
      </c>
      <c r="E299" s="125">
        <f>E300</f>
        <v>0</v>
      </c>
    </row>
    <row r="300" spans="1:5" ht="15" customHeight="1" hidden="1">
      <c r="A300" s="10" t="s">
        <v>280</v>
      </c>
      <c r="B300" s="50" t="s">
        <v>281</v>
      </c>
      <c r="C300" s="30"/>
      <c r="D300" s="125">
        <f>D301</f>
        <v>0</v>
      </c>
      <c r="E300" s="125">
        <f>E301</f>
        <v>0</v>
      </c>
    </row>
    <row r="301" spans="1:5" ht="26.25" customHeight="1" hidden="1">
      <c r="A301" s="35" t="s">
        <v>38</v>
      </c>
      <c r="B301" s="50" t="s">
        <v>281</v>
      </c>
      <c r="C301" s="30" t="s">
        <v>39</v>
      </c>
      <c r="D301" s="125"/>
      <c r="E301" s="125"/>
    </row>
    <row r="302" spans="1:5" ht="57.75" customHeight="1">
      <c r="A302" s="74" t="s">
        <v>432</v>
      </c>
      <c r="B302" s="50" t="s">
        <v>433</v>
      </c>
      <c r="C302" s="30"/>
      <c r="D302" s="125">
        <f>D303</f>
        <v>36960</v>
      </c>
      <c r="E302" s="125">
        <f>E303</f>
        <v>36960</v>
      </c>
    </row>
    <row r="303" spans="1:5" ht="31.5" customHeight="1">
      <c r="A303" s="10" t="s">
        <v>163</v>
      </c>
      <c r="B303" s="50" t="s">
        <v>434</v>
      </c>
      <c r="C303" s="30"/>
      <c r="D303" s="125">
        <f>D304</f>
        <v>36960</v>
      </c>
      <c r="E303" s="125">
        <f>E304</f>
        <v>36960</v>
      </c>
    </row>
    <row r="304" spans="1:5" ht="27.75" customHeight="1">
      <c r="A304" s="35" t="s">
        <v>38</v>
      </c>
      <c r="B304" s="50" t="s">
        <v>434</v>
      </c>
      <c r="C304" s="30" t="s">
        <v>39</v>
      </c>
      <c r="D304" s="31">
        <v>36960</v>
      </c>
      <c r="E304" s="31">
        <v>36960</v>
      </c>
    </row>
    <row r="305" spans="1:5" ht="43.5" customHeight="1">
      <c r="A305" s="16" t="s">
        <v>67</v>
      </c>
      <c r="B305" s="36" t="s">
        <v>68</v>
      </c>
      <c r="C305" s="37"/>
      <c r="D305" s="125">
        <f>D312+D306</f>
        <v>1281400</v>
      </c>
      <c r="E305" s="125">
        <f>E312+E306</f>
        <v>1281400</v>
      </c>
    </row>
    <row r="306" spans="1:5" ht="69" customHeight="1">
      <c r="A306" s="55" t="s">
        <v>165</v>
      </c>
      <c r="B306" s="36" t="s">
        <v>166</v>
      </c>
      <c r="C306" s="30"/>
      <c r="D306" s="31">
        <f>D307</f>
        <v>612000</v>
      </c>
      <c r="E306" s="31">
        <f>E307</f>
        <v>612000</v>
      </c>
    </row>
    <row r="307" spans="1:5" ht="31.5" customHeight="1">
      <c r="A307" s="13" t="s">
        <v>167</v>
      </c>
      <c r="B307" s="47" t="s">
        <v>168</v>
      </c>
      <c r="C307" s="30"/>
      <c r="D307" s="31">
        <f>D308+D310</f>
        <v>612000</v>
      </c>
      <c r="E307" s="31">
        <f>E308+E310</f>
        <v>612000</v>
      </c>
    </row>
    <row r="308" spans="1:5" ht="32.25" customHeight="1">
      <c r="A308" s="35" t="s">
        <v>169</v>
      </c>
      <c r="B308" s="47" t="s">
        <v>170</v>
      </c>
      <c r="C308" s="30"/>
      <c r="D308" s="31">
        <f>D309</f>
        <v>547000</v>
      </c>
      <c r="E308" s="31">
        <f>E309</f>
        <v>547000</v>
      </c>
    </row>
    <row r="309" spans="1:5" ht="28.5" customHeight="1">
      <c r="A309" s="35" t="s">
        <v>38</v>
      </c>
      <c r="B309" s="47" t="s">
        <v>170</v>
      </c>
      <c r="C309" s="30" t="s">
        <v>39</v>
      </c>
      <c r="D309" s="31">
        <v>547000</v>
      </c>
      <c r="E309" s="31">
        <v>547000</v>
      </c>
    </row>
    <row r="310" spans="1:5" ht="31.5" customHeight="1">
      <c r="A310" s="35" t="s">
        <v>171</v>
      </c>
      <c r="B310" s="47" t="s">
        <v>172</v>
      </c>
      <c r="C310" s="30"/>
      <c r="D310" s="31">
        <f>D311</f>
        <v>65000</v>
      </c>
      <c r="E310" s="31">
        <f>E311</f>
        <v>65000</v>
      </c>
    </row>
    <row r="311" spans="1:5" ht="28.5" customHeight="1">
      <c r="A311" s="35" t="s">
        <v>38</v>
      </c>
      <c r="B311" s="47" t="s">
        <v>172</v>
      </c>
      <c r="C311" s="30" t="s">
        <v>39</v>
      </c>
      <c r="D311" s="31">
        <v>65000</v>
      </c>
      <c r="E311" s="31">
        <v>65000</v>
      </c>
    </row>
    <row r="312" spans="1:5" s="42" customFormat="1" ht="59.25" customHeight="1">
      <c r="A312" s="16" t="s">
        <v>69</v>
      </c>
      <c r="B312" s="36" t="s">
        <v>70</v>
      </c>
      <c r="C312" s="37"/>
      <c r="D312" s="125">
        <f>D314+D317</f>
        <v>669400</v>
      </c>
      <c r="E312" s="125">
        <f>E314+E317</f>
        <v>669400</v>
      </c>
    </row>
    <row r="313" spans="1:5" ht="45.75" customHeight="1">
      <c r="A313" s="13" t="s">
        <v>71</v>
      </c>
      <c r="B313" s="36" t="s">
        <v>72</v>
      </c>
      <c r="C313" s="37"/>
      <c r="D313" s="125">
        <f>D314+D317</f>
        <v>669400</v>
      </c>
      <c r="E313" s="125">
        <f>E314+E317</f>
        <v>669400</v>
      </c>
    </row>
    <row r="314" spans="1:5" ht="40.5" customHeight="1">
      <c r="A314" s="118" t="s">
        <v>73</v>
      </c>
      <c r="B314" s="29" t="s">
        <v>74</v>
      </c>
      <c r="C314" s="30"/>
      <c r="D314" s="125">
        <f>D315+D316</f>
        <v>334700</v>
      </c>
      <c r="E314" s="125">
        <f>E315+E316</f>
        <v>334700</v>
      </c>
    </row>
    <row r="315" spans="1:5" ht="42.75" customHeight="1">
      <c r="A315" s="35" t="s">
        <v>26</v>
      </c>
      <c r="B315" s="29" t="s">
        <v>74</v>
      </c>
      <c r="C315" s="37" t="s">
        <v>27</v>
      </c>
      <c r="D315" s="31">
        <v>306472</v>
      </c>
      <c r="E315" s="31">
        <v>306472</v>
      </c>
    </row>
    <row r="316" spans="1:5" ht="26.25">
      <c r="A316" s="35" t="s">
        <v>38</v>
      </c>
      <c r="B316" s="29" t="s">
        <v>74</v>
      </c>
      <c r="C316" s="37" t="s">
        <v>39</v>
      </c>
      <c r="D316" s="31">
        <f>28228</f>
        <v>28228</v>
      </c>
      <c r="E316" s="31">
        <f>28228</f>
        <v>28228</v>
      </c>
    </row>
    <row r="317" spans="1:5" ht="33.75" customHeight="1">
      <c r="A317" s="118" t="s">
        <v>75</v>
      </c>
      <c r="B317" s="29" t="s">
        <v>76</v>
      </c>
      <c r="C317" s="30"/>
      <c r="D317" s="125">
        <f>D318+D319</f>
        <v>334700</v>
      </c>
      <c r="E317" s="125">
        <f>E318+E319</f>
        <v>334700</v>
      </c>
    </row>
    <row r="318" spans="1:5" ht="39">
      <c r="A318" s="35" t="s">
        <v>26</v>
      </c>
      <c r="B318" s="29" t="s">
        <v>76</v>
      </c>
      <c r="C318" s="37" t="s">
        <v>27</v>
      </c>
      <c r="D318" s="31">
        <v>306472</v>
      </c>
      <c r="E318" s="31">
        <v>306472</v>
      </c>
    </row>
    <row r="319" spans="1:5" ht="26.25">
      <c r="A319" s="35" t="s">
        <v>38</v>
      </c>
      <c r="B319" s="29" t="s">
        <v>76</v>
      </c>
      <c r="C319" s="37" t="s">
        <v>39</v>
      </c>
      <c r="D319" s="31">
        <v>28228</v>
      </c>
      <c r="E319" s="31">
        <v>28228</v>
      </c>
    </row>
    <row r="320" spans="1:5" ht="59.25" customHeight="1">
      <c r="A320" s="13" t="s">
        <v>217</v>
      </c>
      <c r="B320" s="50" t="s">
        <v>218</v>
      </c>
      <c r="C320" s="37"/>
      <c r="D320" s="125">
        <f>D321</f>
        <v>51000</v>
      </c>
      <c r="E320" s="125">
        <f>E321</f>
        <v>0</v>
      </c>
    </row>
    <row r="321" spans="1:5" ht="84.75" customHeight="1">
      <c r="A321" s="59" t="s">
        <v>219</v>
      </c>
      <c r="B321" s="50" t="s">
        <v>220</v>
      </c>
      <c r="C321" s="37"/>
      <c r="D321" s="125">
        <f>D322+D325+D328+D331</f>
        <v>51000</v>
      </c>
      <c r="E321" s="125">
        <f>E322+E325+E328+E331</f>
        <v>0</v>
      </c>
    </row>
    <row r="322" spans="1:5" ht="25.5" customHeight="1" hidden="1">
      <c r="A322" s="59" t="s">
        <v>221</v>
      </c>
      <c r="B322" s="50" t="s">
        <v>222</v>
      </c>
      <c r="C322" s="37"/>
      <c r="D322" s="125">
        <f>D323</f>
        <v>0</v>
      </c>
      <c r="E322" s="125">
        <f>E323</f>
        <v>0</v>
      </c>
    </row>
    <row r="323" spans="1:5" ht="26.25" customHeight="1" hidden="1">
      <c r="A323" s="35" t="s">
        <v>223</v>
      </c>
      <c r="B323" s="50" t="s">
        <v>224</v>
      </c>
      <c r="C323" s="37"/>
      <c r="D323" s="125">
        <f>D324</f>
        <v>0</v>
      </c>
      <c r="E323" s="125">
        <f>E324</f>
        <v>0</v>
      </c>
    </row>
    <row r="324" spans="1:5" ht="26.25" customHeight="1" hidden="1">
      <c r="A324" s="35" t="s">
        <v>38</v>
      </c>
      <c r="B324" s="50" t="s">
        <v>224</v>
      </c>
      <c r="C324" s="37" t="s">
        <v>39</v>
      </c>
      <c r="D324" s="125"/>
      <c r="E324" s="125"/>
    </row>
    <row r="325" spans="1:5" ht="57" customHeight="1">
      <c r="A325" s="59" t="s">
        <v>225</v>
      </c>
      <c r="B325" s="50" t="s">
        <v>226</v>
      </c>
      <c r="C325" s="37"/>
      <c r="D325" s="125">
        <f>D326</f>
        <v>51000</v>
      </c>
      <c r="E325" s="125">
        <f>E326</f>
        <v>0</v>
      </c>
    </row>
    <row r="326" spans="1:5" ht="26.25">
      <c r="A326" s="35" t="s">
        <v>223</v>
      </c>
      <c r="B326" s="50" t="s">
        <v>227</v>
      </c>
      <c r="C326" s="37"/>
      <c r="D326" s="125">
        <f>D327</f>
        <v>51000</v>
      </c>
      <c r="E326" s="125">
        <f>E327</f>
        <v>0</v>
      </c>
    </row>
    <row r="327" spans="1:5" ht="26.25">
      <c r="A327" s="35" t="s">
        <v>38</v>
      </c>
      <c r="B327" s="50" t="s">
        <v>227</v>
      </c>
      <c r="C327" s="37" t="s">
        <v>39</v>
      </c>
      <c r="D327" s="31">
        <v>51000</v>
      </c>
      <c r="E327" s="31"/>
    </row>
    <row r="328" spans="1:5" ht="38.25" customHeight="1" hidden="1">
      <c r="A328" s="59" t="s">
        <v>228</v>
      </c>
      <c r="B328" s="50" t="s">
        <v>229</v>
      </c>
      <c r="C328" s="37"/>
      <c r="D328" s="125">
        <f>D329</f>
        <v>0</v>
      </c>
      <c r="E328" s="125">
        <f>E329</f>
        <v>0</v>
      </c>
    </row>
    <row r="329" spans="1:5" ht="26.25" customHeight="1" hidden="1">
      <c r="A329" s="35" t="s">
        <v>223</v>
      </c>
      <c r="B329" s="50" t="s">
        <v>230</v>
      </c>
      <c r="C329" s="37"/>
      <c r="D329" s="125">
        <f>D330</f>
        <v>0</v>
      </c>
      <c r="E329" s="125">
        <f>E330</f>
        <v>0</v>
      </c>
    </row>
    <row r="330" spans="1:5" ht="26.25" customHeight="1" hidden="1">
      <c r="A330" s="35" t="s">
        <v>38</v>
      </c>
      <c r="B330" s="50" t="s">
        <v>230</v>
      </c>
      <c r="C330" s="37" t="s">
        <v>39</v>
      </c>
      <c r="D330" s="125"/>
      <c r="E330" s="125"/>
    </row>
    <row r="331" spans="1:5" ht="25.5" customHeight="1" hidden="1">
      <c r="A331" s="59" t="s">
        <v>231</v>
      </c>
      <c r="B331" s="50" t="s">
        <v>232</v>
      </c>
      <c r="C331" s="37"/>
      <c r="D331" s="125">
        <f>D332</f>
        <v>0</v>
      </c>
      <c r="E331" s="125">
        <f>E332</f>
        <v>0</v>
      </c>
    </row>
    <row r="332" spans="1:5" ht="26.25" customHeight="1" hidden="1">
      <c r="A332" s="35" t="s">
        <v>223</v>
      </c>
      <c r="B332" s="50" t="s">
        <v>233</v>
      </c>
      <c r="C332" s="37"/>
      <c r="D332" s="125">
        <f>D333</f>
        <v>0</v>
      </c>
      <c r="E332" s="125">
        <f>E333</f>
        <v>0</v>
      </c>
    </row>
    <row r="333" spans="1:5" ht="26.25" customHeight="1" hidden="1">
      <c r="A333" s="35" t="s">
        <v>38</v>
      </c>
      <c r="B333" s="50" t="s">
        <v>233</v>
      </c>
      <c r="C333" s="37" t="s">
        <v>39</v>
      </c>
      <c r="D333" s="125"/>
      <c r="E333" s="125"/>
    </row>
    <row r="334" spans="1:5" ht="39.75" customHeight="1">
      <c r="A334" s="13" t="s">
        <v>617</v>
      </c>
      <c r="B334" s="47" t="s">
        <v>618</v>
      </c>
      <c r="C334" s="30"/>
      <c r="D334" s="125">
        <f>D335+D339</f>
        <v>9894675</v>
      </c>
      <c r="E334" s="125">
        <f>E335+E339</f>
        <v>9098793</v>
      </c>
    </row>
    <row r="335" spans="1:5" s="42" customFormat="1" ht="51.75">
      <c r="A335" s="15" t="s">
        <v>619</v>
      </c>
      <c r="B335" s="47" t="s">
        <v>620</v>
      </c>
      <c r="C335" s="30"/>
      <c r="D335" s="125">
        <f aca="true" t="shared" si="2" ref="D335:E337">D336</f>
        <v>3000</v>
      </c>
      <c r="E335" s="125">
        <f t="shared" si="2"/>
        <v>3000</v>
      </c>
    </row>
    <row r="336" spans="1:5" ht="39">
      <c r="A336" s="15" t="s">
        <v>621</v>
      </c>
      <c r="B336" s="47" t="s">
        <v>622</v>
      </c>
      <c r="C336" s="30"/>
      <c r="D336" s="125">
        <f t="shared" si="2"/>
        <v>3000</v>
      </c>
      <c r="E336" s="125">
        <f t="shared" si="2"/>
        <v>3000</v>
      </c>
    </row>
    <row r="337" spans="1:5" ht="15">
      <c r="A337" s="16" t="s">
        <v>623</v>
      </c>
      <c r="B337" s="47" t="s">
        <v>624</v>
      </c>
      <c r="C337" s="30"/>
      <c r="D337" s="125">
        <f t="shared" si="2"/>
        <v>3000</v>
      </c>
      <c r="E337" s="125">
        <f t="shared" si="2"/>
        <v>3000</v>
      </c>
    </row>
    <row r="338" spans="1:5" ht="15">
      <c r="A338" s="15" t="s">
        <v>625</v>
      </c>
      <c r="B338" s="47" t="s">
        <v>624</v>
      </c>
      <c r="C338" s="30" t="s">
        <v>626</v>
      </c>
      <c r="D338" s="125">
        <v>3000</v>
      </c>
      <c r="E338" s="125">
        <v>3000</v>
      </c>
    </row>
    <row r="339" spans="1:5" s="42" customFormat="1" ht="60" customHeight="1">
      <c r="A339" s="15" t="s">
        <v>630</v>
      </c>
      <c r="B339" s="29" t="s">
        <v>631</v>
      </c>
      <c r="C339" s="30"/>
      <c r="D339" s="125">
        <f aca="true" t="shared" si="3" ref="D339:E341">D340</f>
        <v>9891675</v>
      </c>
      <c r="E339" s="125">
        <f t="shared" si="3"/>
        <v>9095793</v>
      </c>
    </row>
    <row r="340" spans="1:5" s="42" customFormat="1" ht="36" customHeight="1">
      <c r="A340" s="13" t="s">
        <v>632</v>
      </c>
      <c r="B340" s="29" t="s">
        <v>633</v>
      </c>
      <c r="C340" s="30"/>
      <c r="D340" s="125">
        <f t="shared" si="3"/>
        <v>9891675</v>
      </c>
      <c r="E340" s="125">
        <f t="shared" si="3"/>
        <v>9095793</v>
      </c>
    </row>
    <row r="341" spans="1:5" ht="29.25" customHeight="1">
      <c r="A341" s="13" t="s">
        <v>634</v>
      </c>
      <c r="B341" s="29" t="s">
        <v>635</v>
      </c>
      <c r="C341" s="30"/>
      <c r="D341" s="125">
        <f t="shared" si="3"/>
        <v>9891675</v>
      </c>
      <c r="E341" s="125">
        <f t="shared" si="3"/>
        <v>9095793</v>
      </c>
    </row>
    <row r="342" spans="1:5" s="42" customFormat="1" ht="15">
      <c r="A342" s="73" t="s">
        <v>193</v>
      </c>
      <c r="B342" s="29" t="s">
        <v>635</v>
      </c>
      <c r="C342" s="37" t="s">
        <v>194</v>
      </c>
      <c r="D342" s="31">
        <v>9891675</v>
      </c>
      <c r="E342" s="31">
        <v>9095793</v>
      </c>
    </row>
    <row r="343" spans="1:5" ht="25.5">
      <c r="A343" s="63" t="s">
        <v>315</v>
      </c>
      <c r="B343" s="29" t="s">
        <v>316</v>
      </c>
      <c r="C343" s="37"/>
      <c r="D343" s="125">
        <f>D344+D348</f>
        <v>20000</v>
      </c>
      <c r="E343" s="125">
        <f>E344+E348</f>
        <v>20000</v>
      </c>
    </row>
    <row r="344" spans="1:5" s="42" customFormat="1" ht="54.75" customHeight="1">
      <c r="A344" s="74" t="s">
        <v>317</v>
      </c>
      <c r="B344" s="29" t="s">
        <v>318</v>
      </c>
      <c r="C344" s="37"/>
      <c r="D344" s="125">
        <f aca="true" t="shared" si="4" ref="D344:E346">D345</f>
        <v>20000</v>
      </c>
      <c r="E344" s="125">
        <f t="shared" si="4"/>
        <v>20000</v>
      </c>
    </row>
    <row r="345" spans="1:5" ht="25.5">
      <c r="A345" s="13" t="s">
        <v>319</v>
      </c>
      <c r="B345" s="29" t="s">
        <v>320</v>
      </c>
      <c r="C345" s="37"/>
      <c r="D345" s="125">
        <f t="shared" si="4"/>
        <v>20000</v>
      </c>
      <c r="E345" s="125">
        <f t="shared" si="4"/>
        <v>20000</v>
      </c>
    </row>
    <row r="346" spans="1:5" ht="26.25">
      <c r="A346" s="8" t="s">
        <v>321</v>
      </c>
      <c r="B346" s="29" t="s">
        <v>322</v>
      </c>
      <c r="C346" s="37"/>
      <c r="D346" s="125">
        <f t="shared" si="4"/>
        <v>20000</v>
      </c>
      <c r="E346" s="125">
        <f t="shared" si="4"/>
        <v>20000</v>
      </c>
    </row>
    <row r="347" spans="1:5" ht="24.75" customHeight="1">
      <c r="A347" s="35" t="s">
        <v>38</v>
      </c>
      <c r="B347" s="29" t="s">
        <v>322</v>
      </c>
      <c r="C347" s="37" t="s">
        <v>39</v>
      </c>
      <c r="D347" s="125">
        <v>20000</v>
      </c>
      <c r="E347" s="125">
        <v>20000</v>
      </c>
    </row>
    <row r="348" spans="1:5" ht="51" hidden="1">
      <c r="A348" s="13" t="s">
        <v>323</v>
      </c>
      <c r="B348" s="29" t="s">
        <v>324</v>
      </c>
      <c r="C348" s="37"/>
      <c r="D348" s="125">
        <f aca="true" t="shared" si="5" ref="D348:E350">D349</f>
        <v>0</v>
      </c>
      <c r="E348" s="125">
        <f t="shared" si="5"/>
        <v>0</v>
      </c>
    </row>
    <row r="349" spans="1:5" ht="38.25" hidden="1">
      <c r="A349" s="13" t="s">
        <v>325</v>
      </c>
      <c r="B349" s="29" t="s">
        <v>326</v>
      </c>
      <c r="C349" s="37"/>
      <c r="D349" s="125">
        <f t="shared" si="5"/>
        <v>0</v>
      </c>
      <c r="E349" s="125">
        <f t="shared" si="5"/>
        <v>0</v>
      </c>
    </row>
    <row r="350" spans="1:5" ht="26.25" hidden="1">
      <c r="A350" s="35" t="s">
        <v>327</v>
      </c>
      <c r="B350" s="29" t="s">
        <v>328</v>
      </c>
      <c r="C350" s="37"/>
      <c r="D350" s="125">
        <f t="shared" si="5"/>
        <v>0</v>
      </c>
      <c r="E350" s="125">
        <f t="shared" si="5"/>
        <v>0</v>
      </c>
    </row>
    <row r="351" spans="1:5" ht="26.25" hidden="1">
      <c r="A351" s="35" t="s">
        <v>38</v>
      </c>
      <c r="B351" s="29" t="s">
        <v>328</v>
      </c>
      <c r="C351" s="37" t="s">
        <v>39</v>
      </c>
      <c r="D351" s="125"/>
      <c r="E351" s="125"/>
    </row>
    <row r="352" spans="1:5" ht="29.25" customHeight="1">
      <c r="A352" s="121" t="s">
        <v>435</v>
      </c>
      <c r="B352" s="29" t="s">
        <v>436</v>
      </c>
      <c r="C352" s="37"/>
      <c r="D352" s="125">
        <f aca="true" t="shared" si="6" ref="D352:E355">D353</f>
        <v>30000</v>
      </c>
      <c r="E352" s="125">
        <f t="shared" si="6"/>
        <v>30000</v>
      </c>
    </row>
    <row r="353" spans="1:5" ht="45.75" customHeight="1">
      <c r="A353" s="13" t="s">
        <v>437</v>
      </c>
      <c r="B353" s="29" t="s">
        <v>438</v>
      </c>
      <c r="C353" s="37"/>
      <c r="D353" s="125">
        <f t="shared" si="6"/>
        <v>30000</v>
      </c>
      <c r="E353" s="125">
        <f t="shared" si="6"/>
        <v>30000</v>
      </c>
    </row>
    <row r="354" spans="1:5" ht="28.5" customHeight="1">
      <c r="A354" s="59" t="s">
        <v>439</v>
      </c>
      <c r="B354" s="29" t="s">
        <v>440</v>
      </c>
      <c r="C354" s="37"/>
      <c r="D354" s="125">
        <f t="shared" si="6"/>
        <v>30000</v>
      </c>
      <c r="E354" s="125">
        <f t="shared" si="6"/>
        <v>30000</v>
      </c>
    </row>
    <row r="355" spans="1:5" ht="20.25" customHeight="1">
      <c r="A355" s="59" t="s">
        <v>441</v>
      </c>
      <c r="B355" s="29" t="s">
        <v>442</v>
      </c>
      <c r="C355" s="37"/>
      <c r="D355" s="125">
        <f t="shared" si="6"/>
        <v>30000</v>
      </c>
      <c r="E355" s="125">
        <f t="shared" si="6"/>
        <v>30000</v>
      </c>
    </row>
    <row r="356" spans="1:5" ht="30" customHeight="1">
      <c r="A356" s="212" t="s">
        <v>38</v>
      </c>
      <c r="B356" s="29" t="s">
        <v>442</v>
      </c>
      <c r="C356" s="30" t="s">
        <v>39</v>
      </c>
      <c r="D356" s="125">
        <v>30000</v>
      </c>
      <c r="E356" s="125">
        <v>30000</v>
      </c>
    </row>
    <row r="357" spans="1:5" ht="30.75" customHeight="1">
      <c r="A357" s="14" t="s">
        <v>173</v>
      </c>
      <c r="B357" s="50" t="s">
        <v>174</v>
      </c>
      <c r="C357" s="30"/>
      <c r="D357" s="31">
        <f>D358+D362</f>
        <v>100000</v>
      </c>
      <c r="E357" s="31">
        <f>E358+E362</f>
        <v>100000</v>
      </c>
    </row>
    <row r="358" spans="1:5" ht="38.25" customHeight="1" hidden="1">
      <c r="A358" s="59" t="s">
        <v>175</v>
      </c>
      <c r="B358" s="50" t="s">
        <v>176</v>
      </c>
      <c r="C358" s="30"/>
      <c r="D358" s="31">
        <f aca="true" t="shared" si="7" ref="D358:E360">D359</f>
        <v>0</v>
      </c>
      <c r="E358" s="31">
        <f t="shared" si="7"/>
        <v>0</v>
      </c>
    </row>
    <row r="359" spans="1:5" ht="25.5" customHeight="1" hidden="1">
      <c r="A359" s="59" t="s">
        <v>177</v>
      </c>
      <c r="B359" s="50" t="s">
        <v>178</v>
      </c>
      <c r="C359" s="30"/>
      <c r="D359" s="31">
        <f t="shared" si="7"/>
        <v>0</v>
      </c>
      <c r="E359" s="31">
        <f t="shared" si="7"/>
        <v>0</v>
      </c>
    </row>
    <row r="360" spans="1:5" ht="26.25" customHeight="1" hidden="1">
      <c r="A360" s="35" t="s">
        <v>179</v>
      </c>
      <c r="B360" s="50" t="s">
        <v>180</v>
      </c>
      <c r="C360" s="30"/>
      <c r="D360" s="31">
        <f t="shared" si="7"/>
        <v>0</v>
      </c>
      <c r="E360" s="31">
        <f t="shared" si="7"/>
        <v>0</v>
      </c>
    </row>
    <row r="361" spans="1:5" ht="26.25" customHeight="1" hidden="1">
      <c r="A361" s="35" t="s">
        <v>38</v>
      </c>
      <c r="B361" s="50" t="s">
        <v>180</v>
      </c>
      <c r="C361" s="30" t="s">
        <v>39</v>
      </c>
      <c r="D361" s="31">
        <f>15000-15000</f>
        <v>0</v>
      </c>
      <c r="E361" s="31">
        <f>15000-15000</f>
        <v>0</v>
      </c>
    </row>
    <row r="362" spans="1:5" ht="57.75" customHeight="1">
      <c r="A362" s="59" t="s">
        <v>181</v>
      </c>
      <c r="B362" s="50" t="s">
        <v>182</v>
      </c>
      <c r="C362" s="30"/>
      <c r="D362" s="31">
        <f aca="true" t="shared" si="8" ref="D362:E364">D363</f>
        <v>100000</v>
      </c>
      <c r="E362" s="31">
        <f t="shared" si="8"/>
        <v>100000</v>
      </c>
    </row>
    <row r="363" spans="1:5" ht="19.5" customHeight="1">
      <c r="A363" s="59" t="s">
        <v>183</v>
      </c>
      <c r="B363" s="50" t="s">
        <v>184</v>
      </c>
      <c r="C363" s="30"/>
      <c r="D363" s="31">
        <f t="shared" si="8"/>
        <v>100000</v>
      </c>
      <c r="E363" s="31">
        <f t="shared" si="8"/>
        <v>100000</v>
      </c>
    </row>
    <row r="364" spans="1:5" ht="15">
      <c r="A364" s="59" t="s">
        <v>144</v>
      </c>
      <c r="B364" s="50" t="s">
        <v>185</v>
      </c>
      <c r="C364" s="30"/>
      <c r="D364" s="31">
        <f t="shared" si="8"/>
        <v>100000</v>
      </c>
      <c r="E364" s="31">
        <f t="shared" si="8"/>
        <v>100000</v>
      </c>
    </row>
    <row r="365" spans="1:5" ht="26.25">
      <c r="A365" s="35" t="s">
        <v>38</v>
      </c>
      <c r="B365" s="50" t="s">
        <v>185</v>
      </c>
      <c r="C365" s="30" t="s">
        <v>39</v>
      </c>
      <c r="D365" s="31">
        <v>100000</v>
      </c>
      <c r="E365" s="31">
        <v>100000</v>
      </c>
    </row>
    <row r="366" spans="1:5" ht="15">
      <c r="A366" s="35" t="s">
        <v>20</v>
      </c>
      <c r="B366" s="36" t="s">
        <v>21</v>
      </c>
      <c r="C366" s="30"/>
      <c r="D366" s="125">
        <f aca="true" t="shared" si="9" ref="D366:E368">D367</f>
        <v>1280100</v>
      </c>
      <c r="E366" s="125">
        <f t="shared" si="9"/>
        <v>1229100</v>
      </c>
    </row>
    <row r="367" spans="1:5" s="42" customFormat="1" ht="15">
      <c r="A367" s="16" t="s">
        <v>22</v>
      </c>
      <c r="B367" s="36" t="s">
        <v>23</v>
      </c>
      <c r="C367" s="30"/>
      <c r="D367" s="125">
        <f t="shared" si="9"/>
        <v>1280100</v>
      </c>
      <c r="E367" s="125">
        <f t="shared" si="9"/>
        <v>1229100</v>
      </c>
    </row>
    <row r="368" spans="1:5" ht="26.25">
      <c r="A368" s="8" t="s">
        <v>24</v>
      </c>
      <c r="B368" s="36" t="s">
        <v>25</v>
      </c>
      <c r="C368" s="30"/>
      <c r="D368" s="125">
        <f t="shared" si="9"/>
        <v>1280100</v>
      </c>
      <c r="E368" s="125">
        <f t="shared" si="9"/>
        <v>1229100</v>
      </c>
    </row>
    <row r="369" spans="1:5" ht="39">
      <c r="A369" s="35" t="s">
        <v>26</v>
      </c>
      <c r="B369" s="36" t="s">
        <v>25</v>
      </c>
      <c r="C369" s="37" t="s">
        <v>27</v>
      </c>
      <c r="D369" s="31">
        <f>1639500-359400</f>
        <v>1280100</v>
      </c>
      <c r="E369" s="31">
        <f>1639500-359400-51000</f>
        <v>1229100</v>
      </c>
    </row>
    <row r="370" spans="1:5" ht="15" customHeight="1">
      <c r="A370" s="35" t="s">
        <v>77</v>
      </c>
      <c r="B370" s="29" t="s">
        <v>78</v>
      </c>
      <c r="C370" s="30"/>
      <c r="D370" s="125">
        <f>D371</f>
        <v>14326995</v>
      </c>
      <c r="E370" s="125">
        <f>E371</f>
        <v>13757394</v>
      </c>
    </row>
    <row r="371" spans="1:5" s="42" customFormat="1" ht="15.75" customHeight="1">
      <c r="A371" s="8" t="s">
        <v>79</v>
      </c>
      <c r="B371" s="29" t="s">
        <v>80</v>
      </c>
      <c r="C371" s="30"/>
      <c r="D371" s="125">
        <f>D376+D374+D372</f>
        <v>14326995</v>
      </c>
      <c r="E371" s="125">
        <f>E376+E374+E372</f>
        <v>13757394</v>
      </c>
    </row>
    <row r="372" spans="1:5" ht="27.75" customHeight="1">
      <c r="A372" s="8" t="s">
        <v>81</v>
      </c>
      <c r="B372" s="29" t="s">
        <v>82</v>
      </c>
      <c r="C372" s="30"/>
      <c r="D372" s="31">
        <f>D373</f>
        <v>12000</v>
      </c>
      <c r="E372" s="31">
        <f>E373</f>
        <v>12000</v>
      </c>
    </row>
    <row r="373" spans="1:5" ht="38.25" customHeight="1">
      <c r="A373" s="35" t="s">
        <v>26</v>
      </c>
      <c r="B373" s="29" t="s">
        <v>82</v>
      </c>
      <c r="C373" s="30" t="s">
        <v>27</v>
      </c>
      <c r="D373" s="31">
        <f>31100-19100</f>
        <v>12000</v>
      </c>
      <c r="E373" s="31">
        <f>31100-19100</f>
        <v>12000</v>
      </c>
    </row>
    <row r="374" spans="1:5" ht="27.75" customHeight="1" hidden="1">
      <c r="A374" s="9" t="s">
        <v>186</v>
      </c>
      <c r="B374" s="29" t="s">
        <v>187</v>
      </c>
      <c r="C374" s="56"/>
      <c r="D374" s="31">
        <f>D375</f>
        <v>0</v>
      </c>
      <c r="E374" s="31">
        <f>E375</f>
        <v>0</v>
      </c>
    </row>
    <row r="375" spans="1:5" ht="39" hidden="1">
      <c r="A375" s="35" t="s">
        <v>26</v>
      </c>
      <c r="B375" s="29" t="s">
        <v>187</v>
      </c>
      <c r="C375" s="56" t="s">
        <v>27</v>
      </c>
      <c r="D375" s="31"/>
      <c r="E375" s="31"/>
    </row>
    <row r="376" spans="1:5" ht="27.75" customHeight="1">
      <c r="A376" s="8" t="s">
        <v>24</v>
      </c>
      <c r="B376" s="29" t="s">
        <v>83</v>
      </c>
      <c r="C376" s="30"/>
      <c r="D376" s="125">
        <f>D377+D378+D379</f>
        <v>14314995</v>
      </c>
      <c r="E376" s="125">
        <f>E377+E378+E379</f>
        <v>13745394</v>
      </c>
    </row>
    <row r="377" spans="1:5" ht="39">
      <c r="A377" s="35" t="s">
        <v>26</v>
      </c>
      <c r="B377" s="29" t="s">
        <v>83</v>
      </c>
      <c r="C377" s="37" t="s">
        <v>27</v>
      </c>
      <c r="D377" s="31">
        <f>18304500-4019505</f>
        <v>14284995</v>
      </c>
      <c r="E377" s="31">
        <f>18304500-4019505-569601</f>
        <v>13715394</v>
      </c>
    </row>
    <row r="378" spans="1:5" ht="24" customHeight="1">
      <c r="A378" s="35" t="s">
        <v>38</v>
      </c>
      <c r="B378" s="29" t="s">
        <v>83</v>
      </c>
      <c r="C378" s="37" t="s">
        <v>39</v>
      </c>
      <c r="D378" s="46">
        <v>30000</v>
      </c>
      <c r="E378" s="46">
        <v>30000</v>
      </c>
    </row>
    <row r="379" spans="1:5" ht="15" hidden="1">
      <c r="A379" s="10" t="s">
        <v>84</v>
      </c>
      <c r="B379" s="29" t="s">
        <v>83</v>
      </c>
      <c r="C379" s="37" t="s">
        <v>85</v>
      </c>
      <c r="D379" s="31"/>
      <c r="E379" s="31"/>
    </row>
    <row r="380" spans="1:5" ht="26.25">
      <c r="A380" s="35" t="s">
        <v>103</v>
      </c>
      <c r="B380" s="47" t="s">
        <v>104</v>
      </c>
      <c r="C380" s="37"/>
      <c r="D380" s="125">
        <f>D381</f>
        <v>424700</v>
      </c>
      <c r="E380" s="125">
        <f>E381</f>
        <v>407700</v>
      </c>
    </row>
    <row r="381" spans="1:5" s="42" customFormat="1" ht="17.25" customHeight="1">
      <c r="A381" s="35" t="s">
        <v>105</v>
      </c>
      <c r="B381" s="47" t="s">
        <v>106</v>
      </c>
      <c r="C381" s="37"/>
      <c r="D381" s="125">
        <f>D382</f>
        <v>424700</v>
      </c>
      <c r="E381" s="125">
        <f>E382</f>
        <v>407700</v>
      </c>
    </row>
    <row r="382" spans="1:5" ht="26.25">
      <c r="A382" s="8" t="s">
        <v>24</v>
      </c>
      <c r="B382" s="47" t="s">
        <v>107</v>
      </c>
      <c r="C382" s="30"/>
      <c r="D382" s="125">
        <f>D383+D384+D385</f>
        <v>424700</v>
      </c>
      <c r="E382" s="125">
        <f>E383+E384+E385</f>
        <v>407700</v>
      </c>
    </row>
    <row r="383" spans="1:5" ht="37.5" customHeight="1">
      <c r="A383" s="35" t="s">
        <v>26</v>
      </c>
      <c r="B383" s="47" t="s">
        <v>107</v>
      </c>
      <c r="C383" s="37" t="s">
        <v>27</v>
      </c>
      <c r="D383" s="31">
        <f>544200-119500</f>
        <v>424700</v>
      </c>
      <c r="E383" s="31">
        <f>544200-119500-17000</f>
        <v>407700</v>
      </c>
    </row>
    <row r="384" spans="1:5" ht="15" customHeight="1" hidden="1">
      <c r="A384" s="35" t="s">
        <v>92</v>
      </c>
      <c r="B384" s="47" t="s">
        <v>107</v>
      </c>
      <c r="C384" s="37" t="s">
        <v>39</v>
      </c>
      <c r="D384" s="31"/>
      <c r="E384" s="31"/>
    </row>
    <row r="385" spans="1:5" ht="15" customHeight="1" hidden="1">
      <c r="A385" s="10" t="s">
        <v>84</v>
      </c>
      <c r="B385" s="47" t="s">
        <v>107</v>
      </c>
      <c r="C385" s="37" t="s">
        <v>85</v>
      </c>
      <c r="D385" s="125"/>
      <c r="E385" s="125"/>
    </row>
    <row r="386" spans="1:5" ht="28.5" customHeight="1">
      <c r="A386" s="35" t="s">
        <v>30</v>
      </c>
      <c r="B386" s="36" t="s">
        <v>31</v>
      </c>
      <c r="C386" s="30"/>
      <c r="D386" s="125">
        <f>D387+D390</f>
        <v>1995800</v>
      </c>
      <c r="E386" s="125">
        <f>E387+E390</f>
        <v>1916200</v>
      </c>
    </row>
    <row r="387" spans="1:5" s="42" customFormat="1" ht="19.5" customHeight="1">
      <c r="A387" s="16" t="s">
        <v>32</v>
      </c>
      <c r="B387" s="36" t="s">
        <v>33</v>
      </c>
      <c r="C387" s="30"/>
      <c r="D387" s="125">
        <f>D388</f>
        <v>716600</v>
      </c>
      <c r="E387" s="125">
        <f>E388</f>
        <v>688000</v>
      </c>
    </row>
    <row r="388" spans="1:5" ht="30.75" customHeight="1">
      <c r="A388" s="8" t="s">
        <v>24</v>
      </c>
      <c r="B388" s="36" t="s">
        <v>34</v>
      </c>
      <c r="C388" s="37"/>
      <c r="D388" s="125">
        <f>D389</f>
        <v>716600</v>
      </c>
      <c r="E388" s="125">
        <f>E389</f>
        <v>688000</v>
      </c>
    </row>
    <row r="389" spans="1:5" ht="39.75" customHeight="1">
      <c r="A389" s="35" t="s">
        <v>26</v>
      </c>
      <c r="B389" s="36" t="s">
        <v>34</v>
      </c>
      <c r="C389" s="37" t="s">
        <v>27</v>
      </c>
      <c r="D389" s="31">
        <f>918600-202000</f>
        <v>716600</v>
      </c>
      <c r="E389" s="31">
        <f>918600-202000-28600</f>
        <v>688000</v>
      </c>
    </row>
    <row r="390" spans="1:5" s="42" customFormat="1" ht="15.75" customHeight="1">
      <c r="A390" s="16" t="s">
        <v>35</v>
      </c>
      <c r="B390" s="36" t="s">
        <v>36</v>
      </c>
      <c r="C390" s="37"/>
      <c r="D390" s="125">
        <f>D391</f>
        <v>1279200</v>
      </c>
      <c r="E390" s="125">
        <f>E391</f>
        <v>1228200</v>
      </c>
    </row>
    <row r="391" spans="1:5" ht="28.5" customHeight="1">
      <c r="A391" s="8" t="s">
        <v>24</v>
      </c>
      <c r="B391" s="36" t="s">
        <v>37</v>
      </c>
      <c r="C391" s="37"/>
      <c r="D391" s="125">
        <f>D392+D393</f>
        <v>1279200</v>
      </c>
      <c r="E391" s="125">
        <f>E392+E393</f>
        <v>1228200</v>
      </c>
    </row>
    <row r="392" spans="1:5" ht="39">
      <c r="A392" s="35" t="s">
        <v>26</v>
      </c>
      <c r="B392" s="36" t="s">
        <v>37</v>
      </c>
      <c r="C392" s="37" t="s">
        <v>27</v>
      </c>
      <c r="D392" s="31">
        <f>1638200-360000</f>
        <v>1278200</v>
      </c>
      <c r="E392" s="31">
        <f>1638200-360000-51000</f>
        <v>1227200</v>
      </c>
    </row>
    <row r="393" spans="1:5" ht="15">
      <c r="A393" s="35" t="s">
        <v>92</v>
      </c>
      <c r="B393" s="36" t="s">
        <v>37</v>
      </c>
      <c r="C393" s="37" t="s">
        <v>39</v>
      </c>
      <c r="D393" s="31">
        <v>1000</v>
      </c>
      <c r="E393" s="31">
        <v>1000</v>
      </c>
    </row>
    <row r="394" spans="1:5" ht="26.25" customHeight="1">
      <c r="A394" s="35" t="s">
        <v>188</v>
      </c>
      <c r="B394" s="36" t="s">
        <v>189</v>
      </c>
      <c r="C394" s="56"/>
      <c r="D394" s="125">
        <f>D395</f>
        <v>61025</v>
      </c>
      <c r="E394" s="125">
        <f>E395</f>
        <v>58525</v>
      </c>
    </row>
    <row r="395" spans="1:5" s="42" customFormat="1" ht="17.25" customHeight="1">
      <c r="A395" s="35" t="s">
        <v>190</v>
      </c>
      <c r="B395" s="36" t="s">
        <v>191</v>
      </c>
      <c r="C395" s="56"/>
      <c r="D395" s="125">
        <f>D396</f>
        <v>61025</v>
      </c>
      <c r="E395" s="125">
        <f>E396</f>
        <v>58525</v>
      </c>
    </row>
    <row r="396" spans="1:5" ht="17.25" customHeight="1">
      <c r="A396" s="16" t="s">
        <v>144</v>
      </c>
      <c r="B396" s="36" t="s">
        <v>192</v>
      </c>
      <c r="C396" s="56"/>
      <c r="D396" s="125">
        <f>D397+D399+D398</f>
        <v>61025</v>
      </c>
      <c r="E396" s="125">
        <f>E397+E399+E398</f>
        <v>58525</v>
      </c>
    </row>
    <row r="397" spans="1:5" ht="15.75" customHeight="1">
      <c r="A397" s="35" t="s">
        <v>92</v>
      </c>
      <c r="B397" s="36" t="s">
        <v>192</v>
      </c>
      <c r="C397" s="56" t="s">
        <v>39</v>
      </c>
      <c r="D397" s="31">
        <f>4983</f>
        <v>4983</v>
      </c>
      <c r="E397" s="31">
        <v>2483</v>
      </c>
    </row>
    <row r="398" spans="1:5" ht="15" hidden="1">
      <c r="A398" s="73" t="s">
        <v>193</v>
      </c>
      <c r="B398" s="36" t="s">
        <v>192</v>
      </c>
      <c r="C398" s="56" t="s">
        <v>194</v>
      </c>
      <c r="D398" s="31"/>
      <c r="E398" s="31"/>
    </row>
    <row r="399" spans="1:5" ht="17.25" customHeight="1">
      <c r="A399" s="10" t="s">
        <v>84</v>
      </c>
      <c r="B399" s="36" t="s">
        <v>192</v>
      </c>
      <c r="C399" s="56" t="s">
        <v>85</v>
      </c>
      <c r="D399" s="31">
        <f>6042+50000</f>
        <v>56042</v>
      </c>
      <c r="E399" s="31">
        <f>6042+50000</f>
        <v>56042</v>
      </c>
    </row>
    <row r="400" spans="1:5" ht="18.75" customHeight="1">
      <c r="A400" s="16" t="s">
        <v>86</v>
      </c>
      <c r="B400" s="47" t="s">
        <v>87</v>
      </c>
      <c r="C400" s="37"/>
      <c r="D400" s="125">
        <f>D401+D408+D429</f>
        <v>10436416</v>
      </c>
      <c r="E400" s="125">
        <f>E401+E408+E429</f>
        <v>10224695</v>
      </c>
    </row>
    <row r="401" spans="1:5" s="42" customFormat="1" ht="30" customHeight="1">
      <c r="A401" s="13" t="s">
        <v>88</v>
      </c>
      <c r="B401" s="29" t="s">
        <v>89</v>
      </c>
      <c r="C401" s="30"/>
      <c r="D401" s="125">
        <f>D405+D402</f>
        <v>1275700</v>
      </c>
      <c r="E401" s="125">
        <f>E405+E402</f>
        <v>1313700</v>
      </c>
    </row>
    <row r="402" spans="1:5" s="42" customFormat="1" ht="30" customHeight="1">
      <c r="A402" s="8" t="s">
        <v>195</v>
      </c>
      <c r="B402" s="47" t="s">
        <v>196</v>
      </c>
      <c r="C402" s="37"/>
      <c r="D402" s="31">
        <f>D403+D404</f>
        <v>941000</v>
      </c>
      <c r="E402" s="31">
        <f>E403+E404</f>
        <v>979000</v>
      </c>
    </row>
    <row r="403" spans="1:5" s="42" customFormat="1" ht="48.75" customHeight="1">
      <c r="A403" s="35" t="s">
        <v>26</v>
      </c>
      <c r="B403" s="47" t="s">
        <v>196</v>
      </c>
      <c r="C403" s="37" t="s">
        <v>27</v>
      </c>
      <c r="D403" s="31">
        <v>855178</v>
      </c>
      <c r="E403" s="31">
        <v>855178</v>
      </c>
    </row>
    <row r="404" spans="1:5" s="42" customFormat="1" ht="27.75" customHeight="1">
      <c r="A404" s="35" t="s">
        <v>38</v>
      </c>
      <c r="B404" s="47" t="s">
        <v>196</v>
      </c>
      <c r="C404" s="37" t="s">
        <v>39</v>
      </c>
      <c r="D404" s="31">
        <v>85822</v>
      </c>
      <c r="E404" s="31">
        <v>123822</v>
      </c>
    </row>
    <row r="405" spans="1:5" ht="26.25">
      <c r="A405" s="8" t="s">
        <v>90</v>
      </c>
      <c r="B405" s="29" t="s">
        <v>91</v>
      </c>
      <c r="C405" s="30"/>
      <c r="D405" s="125">
        <f>D406+D407</f>
        <v>334700</v>
      </c>
      <c r="E405" s="125">
        <f>E406+E407</f>
        <v>334700</v>
      </c>
    </row>
    <row r="406" spans="1:5" ht="38.25" customHeight="1">
      <c r="A406" s="35" t="s">
        <v>26</v>
      </c>
      <c r="B406" s="29" t="s">
        <v>91</v>
      </c>
      <c r="C406" s="37" t="s">
        <v>27</v>
      </c>
      <c r="D406" s="31">
        <v>334700</v>
      </c>
      <c r="E406" s="31">
        <v>334700</v>
      </c>
    </row>
    <row r="407" spans="1:5" ht="15" customHeight="1" hidden="1">
      <c r="A407" s="35" t="s">
        <v>92</v>
      </c>
      <c r="B407" s="29" t="s">
        <v>91</v>
      </c>
      <c r="C407" s="37" t="s">
        <v>39</v>
      </c>
      <c r="D407" s="31">
        <f>20967-20967</f>
        <v>0</v>
      </c>
      <c r="E407" s="31">
        <f>20967-20967</f>
        <v>0</v>
      </c>
    </row>
    <row r="408" spans="1:5" ht="18" customHeight="1">
      <c r="A408" s="35" t="s">
        <v>93</v>
      </c>
      <c r="B408" s="29" t="s">
        <v>94</v>
      </c>
      <c r="C408" s="37"/>
      <c r="D408" s="125">
        <f>D409+D411+D413+D415+D421+D425+D417+D427+D419</f>
        <v>9160716</v>
      </c>
      <c r="E408" s="125">
        <f>E409+E411+E413+E415+E421+E425+E417+E427+E419</f>
        <v>8910995</v>
      </c>
    </row>
    <row r="409" spans="1:5" ht="36.75" customHeight="1">
      <c r="A409" s="12" t="s">
        <v>542</v>
      </c>
      <c r="B409" s="29" t="s">
        <v>543</v>
      </c>
      <c r="C409" s="30"/>
      <c r="D409" s="125">
        <f>D410</f>
        <v>851087</v>
      </c>
      <c r="E409" s="125">
        <f>E410</f>
        <v>851087</v>
      </c>
    </row>
    <row r="410" spans="1:5" ht="26.25" customHeight="1">
      <c r="A410" s="35" t="s">
        <v>38</v>
      </c>
      <c r="B410" s="29" t="s">
        <v>543</v>
      </c>
      <c r="C410" s="37" t="s">
        <v>39</v>
      </c>
      <c r="D410" s="31">
        <v>851087</v>
      </c>
      <c r="E410" s="31">
        <v>851087</v>
      </c>
    </row>
    <row r="411" spans="1:5" ht="44.25" customHeight="1">
      <c r="A411" s="12" t="s">
        <v>95</v>
      </c>
      <c r="B411" s="29" t="s">
        <v>96</v>
      </c>
      <c r="C411" s="30"/>
      <c r="D411" s="125">
        <f>D412</f>
        <v>33470</v>
      </c>
      <c r="E411" s="125">
        <f>E412</f>
        <v>33470</v>
      </c>
    </row>
    <row r="412" spans="1:5" ht="24" customHeight="1">
      <c r="A412" s="35" t="s">
        <v>38</v>
      </c>
      <c r="B412" s="29" t="s">
        <v>96</v>
      </c>
      <c r="C412" s="37" t="s">
        <v>27</v>
      </c>
      <c r="D412" s="31">
        <v>33470</v>
      </c>
      <c r="E412" s="31">
        <v>33470</v>
      </c>
    </row>
    <row r="413" spans="1:5" ht="39" customHeight="1" hidden="1">
      <c r="A413" s="118" t="s">
        <v>99</v>
      </c>
      <c r="B413" s="29" t="s">
        <v>100</v>
      </c>
      <c r="C413" s="37"/>
      <c r="D413" s="125">
        <f>D414</f>
        <v>0</v>
      </c>
      <c r="E413" s="125">
        <f>E414</f>
        <v>0</v>
      </c>
    </row>
    <row r="414" spans="1:5" ht="15.75" customHeight="1" hidden="1">
      <c r="A414" s="35" t="s">
        <v>92</v>
      </c>
      <c r="B414" s="29" t="s">
        <v>100</v>
      </c>
      <c r="C414" s="37" t="s">
        <v>39</v>
      </c>
      <c r="D414" s="125"/>
      <c r="E414" s="125"/>
    </row>
    <row r="415" spans="1:5" ht="15" customHeight="1" hidden="1">
      <c r="A415" s="10" t="s">
        <v>728</v>
      </c>
      <c r="B415" s="29" t="s">
        <v>729</v>
      </c>
      <c r="C415" s="30"/>
      <c r="D415" s="125"/>
      <c r="E415" s="125"/>
    </row>
    <row r="416" spans="1:5" ht="26.25" customHeight="1" hidden="1">
      <c r="A416" s="35" t="s">
        <v>38</v>
      </c>
      <c r="B416" s="29" t="s">
        <v>729</v>
      </c>
      <c r="C416" s="37" t="s">
        <v>39</v>
      </c>
      <c r="D416" s="125"/>
      <c r="E416" s="125"/>
    </row>
    <row r="417" spans="1:5" ht="26.25" customHeight="1" hidden="1">
      <c r="A417" s="35" t="s">
        <v>739</v>
      </c>
      <c r="B417" s="29" t="s">
        <v>740</v>
      </c>
      <c r="C417" s="37"/>
      <c r="D417" s="125">
        <f>D418</f>
        <v>0</v>
      </c>
      <c r="E417" s="125">
        <f>E418</f>
        <v>0</v>
      </c>
    </row>
    <row r="418" spans="1:5" ht="15" hidden="1">
      <c r="A418" s="35" t="s">
        <v>193</v>
      </c>
      <c r="B418" s="29" t="s">
        <v>740</v>
      </c>
      <c r="C418" s="37" t="s">
        <v>194</v>
      </c>
      <c r="D418" s="31"/>
      <c r="E418" s="31"/>
    </row>
    <row r="419" spans="1:6" ht="44.25" customHeight="1" hidden="1">
      <c r="A419" s="44" t="s">
        <v>598</v>
      </c>
      <c r="B419" s="29" t="s">
        <v>599</v>
      </c>
      <c r="C419" s="30"/>
      <c r="D419" s="125">
        <f>D420</f>
        <v>0</v>
      </c>
      <c r="E419" s="125">
        <f>E420</f>
        <v>0</v>
      </c>
      <c r="F419" s="146"/>
    </row>
    <row r="420" spans="1:6" ht="25.5" customHeight="1" hidden="1">
      <c r="A420" s="16" t="s">
        <v>271</v>
      </c>
      <c r="B420" s="29" t="s">
        <v>599</v>
      </c>
      <c r="C420" s="37" t="s">
        <v>272</v>
      </c>
      <c r="D420" s="31"/>
      <c r="E420" s="11"/>
      <c r="F420" s="146"/>
    </row>
    <row r="421" spans="1:5" ht="25.5">
      <c r="A421" s="10" t="s">
        <v>201</v>
      </c>
      <c r="B421" s="29" t="s">
        <v>202</v>
      </c>
      <c r="C421" s="30"/>
      <c r="D421" s="125">
        <f>D422+D423+D424</f>
        <v>8226159</v>
      </c>
      <c r="E421" s="125">
        <f>E422+E423+E424</f>
        <v>7976438</v>
      </c>
    </row>
    <row r="422" spans="1:5" ht="39">
      <c r="A422" s="35" t="s">
        <v>26</v>
      </c>
      <c r="B422" s="29" t="s">
        <v>202</v>
      </c>
      <c r="C422" s="37" t="s">
        <v>27</v>
      </c>
      <c r="D422" s="31">
        <f>8024000-1761973</f>
        <v>6262027</v>
      </c>
      <c r="E422" s="31">
        <f>8024000-1761973-249721</f>
        <v>6012306</v>
      </c>
    </row>
    <row r="423" spans="1:5" ht="26.25">
      <c r="A423" s="35" t="s">
        <v>38</v>
      </c>
      <c r="B423" s="29" t="s">
        <v>202</v>
      </c>
      <c r="C423" s="37" t="s">
        <v>39</v>
      </c>
      <c r="D423" s="31">
        <f>1999647-80000</f>
        <v>1919647</v>
      </c>
      <c r="E423" s="31">
        <f>1999647-80000</f>
        <v>1919647</v>
      </c>
    </row>
    <row r="424" spans="1:5" ht="15">
      <c r="A424" s="10" t="s">
        <v>84</v>
      </c>
      <c r="B424" s="29" t="s">
        <v>202</v>
      </c>
      <c r="C424" s="37" t="s">
        <v>85</v>
      </c>
      <c r="D424" s="31">
        <v>44485</v>
      </c>
      <c r="E424" s="31">
        <v>44485</v>
      </c>
    </row>
    <row r="425" spans="1:5" ht="15">
      <c r="A425" s="63" t="s">
        <v>204</v>
      </c>
      <c r="B425" s="29" t="s">
        <v>205</v>
      </c>
      <c r="C425" s="37"/>
      <c r="D425" s="125">
        <f>D426</f>
        <v>50000</v>
      </c>
      <c r="E425" s="125">
        <f>E426</f>
        <v>50000</v>
      </c>
    </row>
    <row r="426" spans="1:5" ht="24.75" customHeight="1">
      <c r="A426" s="35" t="s">
        <v>38</v>
      </c>
      <c r="B426" s="29" t="s">
        <v>205</v>
      </c>
      <c r="C426" s="37" t="s">
        <v>39</v>
      </c>
      <c r="D426" s="125">
        <v>50000</v>
      </c>
      <c r="E426" s="125">
        <v>50000</v>
      </c>
    </row>
    <row r="427" spans="1:5" ht="25.5" customHeight="1" hidden="1">
      <c r="A427" s="16" t="s">
        <v>366</v>
      </c>
      <c r="B427" s="29" t="s">
        <v>741</v>
      </c>
      <c r="C427" s="37"/>
      <c r="D427" s="125">
        <f>D428</f>
        <v>0</v>
      </c>
      <c r="E427" s="125">
        <f>E428</f>
        <v>0</v>
      </c>
    </row>
    <row r="428" spans="1:5" ht="25.5" customHeight="1" hidden="1">
      <c r="A428" s="35" t="s">
        <v>38</v>
      </c>
      <c r="B428" s="29" t="s">
        <v>741</v>
      </c>
      <c r="C428" s="37" t="s">
        <v>39</v>
      </c>
      <c r="D428" s="125"/>
      <c r="E428" s="125"/>
    </row>
    <row r="429" spans="1:5" s="42" customFormat="1" ht="15" customHeight="1" hidden="1">
      <c r="A429" s="88" t="s">
        <v>110</v>
      </c>
      <c r="B429" s="29" t="s">
        <v>111</v>
      </c>
      <c r="C429" s="30"/>
      <c r="D429" s="125">
        <f>D430</f>
        <v>0</v>
      </c>
      <c r="E429" s="125">
        <f>E430</f>
        <v>0</v>
      </c>
    </row>
    <row r="430" spans="1:5" ht="15" customHeight="1" hidden="1">
      <c r="A430" s="16" t="s">
        <v>112</v>
      </c>
      <c r="B430" s="29" t="s">
        <v>730</v>
      </c>
      <c r="C430" s="30"/>
      <c r="D430" s="125">
        <f>D431</f>
        <v>0</v>
      </c>
      <c r="E430" s="125">
        <f>E431</f>
        <v>0</v>
      </c>
    </row>
    <row r="431" spans="1:5" ht="15" customHeight="1" hidden="1">
      <c r="A431" s="35" t="s">
        <v>92</v>
      </c>
      <c r="B431" s="29" t="s">
        <v>730</v>
      </c>
      <c r="C431" s="30" t="s">
        <v>85</v>
      </c>
      <c r="D431" s="125"/>
      <c r="E431" s="125"/>
    </row>
    <row r="432" spans="1:5" ht="15">
      <c r="A432" s="35" t="s">
        <v>116</v>
      </c>
      <c r="B432" s="36" t="s">
        <v>117</v>
      </c>
      <c r="C432" s="49" t="s">
        <v>118</v>
      </c>
      <c r="D432" s="125">
        <f aca="true" t="shared" si="10" ref="D432:E434">D433</f>
        <v>100000</v>
      </c>
      <c r="E432" s="125">
        <f t="shared" si="10"/>
        <v>100000</v>
      </c>
    </row>
    <row r="433" spans="1:5" s="42" customFormat="1" ht="15">
      <c r="A433" s="35" t="s">
        <v>114</v>
      </c>
      <c r="B433" s="36" t="s">
        <v>119</v>
      </c>
      <c r="C433" s="49" t="s">
        <v>118</v>
      </c>
      <c r="D433" s="125">
        <f t="shared" si="10"/>
        <v>100000</v>
      </c>
      <c r="E433" s="125">
        <f t="shared" si="10"/>
        <v>100000</v>
      </c>
    </row>
    <row r="434" spans="1:5" ht="15">
      <c r="A434" s="8" t="s">
        <v>120</v>
      </c>
      <c r="B434" s="36" t="s">
        <v>121</v>
      </c>
      <c r="C434" s="49" t="s">
        <v>118</v>
      </c>
      <c r="D434" s="125">
        <f t="shared" si="10"/>
        <v>100000</v>
      </c>
      <c r="E434" s="125">
        <f t="shared" si="10"/>
        <v>100000</v>
      </c>
    </row>
    <row r="435" spans="1:5" ht="15.75" customHeight="1">
      <c r="A435" s="35" t="s">
        <v>84</v>
      </c>
      <c r="B435" s="36" t="s">
        <v>121</v>
      </c>
      <c r="C435" s="49" t="s">
        <v>85</v>
      </c>
      <c r="D435" s="125">
        <v>100000</v>
      </c>
      <c r="E435" s="125">
        <v>100000</v>
      </c>
    </row>
    <row r="436" spans="1:5" ht="25.5" customHeight="1" hidden="1">
      <c r="A436" s="195" t="s">
        <v>504</v>
      </c>
      <c r="B436" s="196" t="s">
        <v>505</v>
      </c>
      <c r="C436" s="197"/>
      <c r="D436" s="214">
        <f aca="true" t="shared" si="11" ref="D436:E438">D437</f>
        <v>0</v>
      </c>
      <c r="E436" s="190">
        <f t="shared" si="11"/>
        <v>0</v>
      </c>
    </row>
    <row r="437" spans="1:5" ht="25.5" customHeight="1" hidden="1">
      <c r="A437" s="84" t="s">
        <v>506</v>
      </c>
      <c r="B437" s="36" t="s">
        <v>507</v>
      </c>
      <c r="C437" s="49"/>
      <c r="D437" s="125">
        <f t="shared" si="11"/>
        <v>0</v>
      </c>
      <c r="E437" s="143">
        <f t="shared" si="11"/>
        <v>0</v>
      </c>
    </row>
    <row r="438" spans="1:5" ht="15" customHeight="1" hidden="1">
      <c r="A438" s="148" t="s">
        <v>742</v>
      </c>
      <c r="B438" s="36" t="s">
        <v>743</v>
      </c>
      <c r="C438" s="49"/>
      <c r="D438" s="125">
        <f t="shared" si="11"/>
        <v>0</v>
      </c>
      <c r="E438" s="143">
        <f t="shared" si="11"/>
        <v>0</v>
      </c>
    </row>
    <row r="439" spans="1:5" ht="26.25" customHeight="1" hidden="1">
      <c r="A439" s="148" t="s">
        <v>38</v>
      </c>
      <c r="B439" s="36" t="s">
        <v>743</v>
      </c>
      <c r="C439" s="49">
        <v>200</v>
      </c>
      <c r="D439" s="125"/>
      <c r="E439" s="143"/>
    </row>
    <row r="440" spans="1:5" ht="15" customHeight="1" hidden="1">
      <c r="A440" s="145" t="s">
        <v>206</v>
      </c>
      <c r="B440" s="47" t="s">
        <v>207</v>
      </c>
      <c r="C440" s="37"/>
      <c r="D440" s="125">
        <f aca="true" t="shared" si="12" ref="D440:E442">D441</f>
        <v>0</v>
      </c>
      <c r="E440" s="143">
        <f t="shared" si="12"/>
        <v>0</v>
      </c>
    </row>
    <row r="441" spans="1:5" s="42" customFormat="1" ht="15" customHeight="1" hidden="1">
      <c r="A441" s="148" t="s">
        <v>114</v>
      </c>
      <c r="B441" s="47" t="s">
        <v>208</v>
      </c>
      <c r="C441" s="37"/>
      <c r="D441" s="125">
        <f t="shared" si="12"/>
        <v>0</v>
      </c>
      <c r="E441" s="143">
        <f t="shared" si="12"/>
        <v>0</v>
      </c>
    </row>
    <row r="442" spans="1:5" ht="15" customHeight="1" hidden="1">
      <c r="A442" s="148" t="s">
        <v>209</v>
      </c>
      <c r="B442" s="47" t="s">
        <v>210</v>
      </c>
      <c r="C442" s="37"/>
      <c r="D442" s="125">
        <f t="shared" si="12"/>
        <v>0</v>
      </c>
      <c r="E442" s="143">
        <f t="shared" si="12"/>
        <v>0</v>
      </c>
    </row>
    <row r="443" spans="1:5" ht="15.75" customHeight="1" hidden="1">
      <c r="A443" s="198" t="s">
        <v>211</v>
      </c>
      <c r="B443" s="215" t="s">
        <v>210</v>
      </c>
      <c r="C443" s="216" t="s">
        <v>212</v>
      </c>
      <c r="D443" s="217"/>
      <c r="E443" s="194"/>
    </row>
    <row r="444" spans="1:3" ht="15">
      <c r="A444" s="98"/>
      <c r="B444" s="206"/>
      <c r="C444" s="1"/>
    </row>
    <row r="445" spans="1:3" ht="15">
      <c r="A445" s="98"/>
      <c r="B445" s="206"/>
      <c r="C445" s="1"/>
    </row>
    <row r="446" spans="1:3" ht="15">
      <c r="A446" s="98"/>
      <c r="B446" s="206"/>
      <c r="C446" s="1"/>
    </row>
    <row r="447" spans="1:3" ht="15">
      <c r="A447" s="98"/>
      <c r="B447" s="206"/>
      <c r="C447" s="1"/>
    </row>
  </sheetData>
  <sheetProtection/>
  <mergeCells count="4">
    <mergeCell ref="B2:E2"/>
    <mergeCell ref="B3:E3"/>
    <mergeCell ref="A4:E4"/>
    <mergeCell ref="F4:I4"/>
  </mergeCells>
  <hyperlinks>
    <hyperlink ref="A200" r:id="rId1" display="consultantplus://offline/ref=C6EF3AE28B6C46D1117CBBA251A07B11C6C7C5768D606C8B0E322DA1BBA42282C9440EEF08E6CC43400230U6VFM"/>
  </hyperlinks>
  <printOptions/>
  <pageMargins left="0.47" right="0.25" top="0.42" bottom="0.33" header="0.31496062992125984" footer="0.31496062992125984"/>
  <pageSetup horizontalDpi="600" verticalDpi="600" orientation="portrait" paperSize="9" scale="79" r:id="rId2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H30" sqref="H30"/>
    </sheetView>
  </sheetViews>
  <sheetFormatPr defaultColWidth="9.00390625" defaultRowHeight="21.75" customHeight="1"/>
  <cols>
    <col min="1" max="1" width="28.125" style="0" customWidth="1"/>
    <col min="2" max="2" width="44.625" style="0" customWidth="1"/>
    <col min="3" max="3" width="14.625" style="334" customWidth="1"/>
    <col min="4" max="4" width="0.12890625" style="0" hidden="1" customWidth="1"/>
    <col min="5" max="5" width="14.375" style="0" customWidth="1"/>
    <col min="6" max="6" width="9.125" style="0" hidden="1" customWidth="1"/>
    <col min="7" max="7" width="10.125" style="0" hidden="1" customWidth="1"/>
    <col min="8" max="8" width="15.375" style="0" customWidth="1"/>
    <col min="9" max="9" width="16.375" style="289" customWidth="1"/>
    <col min="10" max="10" width="19.375" style="0" customWidth="1"/>
    <col min="11" max="11" width="18.125" style="289" customWidth="1"/>
    <col min="12" max="12" width="11.875" style="0" customWidth="1"/>
  </cols>
  <sheetData>
    <row r="1" spans="1:11" s="279" customFormat="1" ht="15.75">
      <c r="A1" s="277" t="s">
        <v>861</v>
      </c>
      <c r="B1" s="277"/>
      <c r="C1" s="277"/>
      <c r="D1" s="277"/>
      <c r="E1" s="277"/>
      <c r="I1" s="280"/>
      <c r="K1" s="280"/>
    </row>
    <row r="2" spans="1:11" s="279" customFormat="1" ht="12.75">
      <c r="A2" s="286" t="s">
        <v>862</v>
      </c>
      <c r="B2" s="286"/>
      <c r="C2" s="286"/>
      <c r="D2" s="286"/>
      <c r="E2" s="286"/>
      <c r="I2" s="280"/>
      <c r="K2" s="280"/>
    </row>
    <row r="3" spans="1:11" s="279" customFormat="1" ht="12.75">
      <c r="A3" s="286" t="s">
        <v>863</v>
      </c>
      <c r="B3" s="286"/>
      <c r="C3" s="286"/>
      <c r="D3" s="286"/>
      <c r="E3" s="286"/>
      <c r="I3" s="280"/>
      <c r="K3" s="280"/>
    </row>
    <row r="4" spans="1:11" s="284" customFormat="1" ht="9" customHeight="1">
      <c r="A4" s="282"/>
      <c r="B4" s="336"/>
      <c r="C4" s="336"/>
      <c r="D4" s="336"/>
      <c r="E4" s="336"/>
      <c r="I4" s="285"/>
      <c r="K4" s="285"/>
    </row>
    <row r="5" spans="1:11" s="284" customFormat="1" ht="28.5" customHeight="1" hidden="1">
      <c r="A5" s="282"/>
      <c r="B5" s="283" t="s">
        <v>782</v>
      </c>
      <c r="C5" s="283"/>
      <c r="D5" s="282"/>
      <c r="I5" s="285"/>
      <c r="K5" s="285"/>
    </row>
    <row r="6" spans="1:11" s="284" customFormat="1" ht="12.75" customHeight="1" hidden="1">
      <c r="A6" s="282"/>
      <c r="B6" s="286" t="s">
        <v>864</v>
      </c>
      <c r="C6" s="286"/>
      <c r="I6" s="285"/>
      <c r="K6" s="285"/>
    </row>
    <row r="7" spans="1:5" ht="33.75" customHeight="1">
      <c r="A7" s="287"/>
      <c r="B7" s="337" t="s">
        <v>781</v>
      </c>
      <c r="C7" s="337"/>
      <c r="D7" s="337"/>
      <c r="E7" s="337"/>
    </row>
    <row r="8" spans="1:5" ht="36.75" customHeight="1">
      <c r="A8" s="338" t="s">
        <v>783</v>
      </c>
      <c r="B8" s="288" t="s">
        <v>868</v>
      </c>
      <c r="C8" s="288"/>
      <c r="D8" s="288"/>
      <c r="E8" s="288"/>
    </row>
    <row r="9" spans="1:5" ht="38.25" customHeight="1">
      <c r="A9" s="339" t="s">
        <v>784</v>
      </c>
      <c r="B9" s="339"/>
      <c r="C9" s="339"/>
      <c r="D9" s="339"/>
      <c r="E9" s="339"/>
    </row>
    <row r="10" spans="1:5" ht="15.75" customHeight="1">
      <c r="A10" s="290" t="s">
        <v>865</v>
      </c>
      <c r="B10" s="290"/>
      <c r="C10" s="290"/>
      <c r="D10" s="290"/>
      <c r="E10" s="290"/>
    </row>
    <row r="11" spans="3:5" ht="13.5" customHeight="1">
      <c r="C11" s="293"/>
      <c r="E11" t="s">
        <v>786</v>
      </c>
    </row>
    <row r="12" spans="1:5" ht="38.25" customHeight="1">
      <c r="A12" s="294" t="s">
        <v>787</v>
      </c>
      <c r="B12" s="294" t="s">
        <v>788</v>
      </c>
      <c r="C12" s="340" t="s">
        <v>866</v>
      </c>
      <c r="D12" s="341"/>
      <c r="E12" s="331">
        <v>2024</v>
      </c>
    </row>
    <row r="13" spans="1:5" ht="12.75" customHeight="1">
      <c r="A13" s="342">
        <v>1</v>
      </c>
      <c r="B13" s="342">
        <v>2</v>
      </c>
      <c r="C13" s="343">
        <v>3</v>
      </c>
      <c r="D13" s="287"/>
      <c r="E13" s="344">
        <v>4</v>
      </c>
    </row>
    <row r="14" spans="1:11" s="301" customFormat="1" ht="1.5" customHeight="1" hidden="1">
      <c r="A14" s="297" t="s">
        <v>789</v>
      </c>
      <c r="B14" s="298" t="s">
        <v>790</v>
      </c>
      <c r="C14" s="299">
        <f>C15+C38</f>
        <v>0</v>
      </c>
      <c r="D14" s="345">
        <f>D15</f>
        <v>21657</v>
      </c>
      <c r="E14" s="346"/>
      <c r="I14" s="302"/>
      <c r="K14" s="302"/>
    </row>
    <row r="15" spans="1:5" ht="24.75" customHeight="1">
      <c r="A15" s="303" t="s">
        <v>791</v>
      </c>
      <c r="B15" s="304" t="s">
        <v>792</v>
      </c>
      <c r="C15" s="305">
        <f>C21+C29+C16</f>
        <v>0</v>
      </c>
      <c r="D15" s="305">
        <f>D21+D29+D16</f>
        <v>21657</v>
      </c>
      <c r="E15" s="305">
        <f>E21+E29+E16</f>
        <v>-2063000</v>
      </c>
    </row>
    <row r="16" spans="1:5" ht="24.75" customHeight="1" hidden="1">
      <c r="A16" s="297" t="s">
        <v>793</v>
      </c>
      <c r="B16" s="307" t="s">
        <v>794</v>
      </c>
      <c r="C16" s="305">
        <f>C17+C20</f>
        <v>0</v>
      </c>
      <c r="D16" s="305">
        <f>D17+D20</f>
        <v>0</v>
      </c>
      <c r="E16" s="305">
        <f>E17+E20</f>
        <v>0</v>
      </c>
    </row>
    <row r="17" spans="1:5" ht="1.5" customHeight="1" hidden="1">
      <c r="A17" s="303" t="s">
        <v>795</v>
      </c>
      <c r="B17" s="304" t="s">
        <v>796</v>
      </c>
      <c r="C17" s="305">
        <f>C18</f>
        <v>0</v>
      </c>
      <c r="D17" s="305">
        <f>D18</f>
        <v>0</v>
      </c>
      <c r="E17" s="305">
        <f>E18</f>
        <v>0</v>
      </c>
    </row>
    <row r="18" spans="1:5" ht="39" customHeight="1" hidden="1">
      <c r="A18" s="308" t="s">
        <v>797</v>
      </c>
      <c r="B18" s="304" t="s">
        <v>798</v>
      </c>
      <c r="C18" s="305">
        <v>0</v>
      </c>
      <c r="D18" s="305">
        <v>0</v>
      </c>
      <c r="E18" s="305">
        <v>0</v>
      </c>
    </row>
    <row r="19" spans="1:5" ht="39" customHeight="1" hidden="1">
      <c r="A19" s="308" t="s">
        <v>799</v>
      </c>
      <c r="B19" s="309" t="s">
        <v>800</v>
      </c>
      <c r="C19" s="305">
        <v>0</v>
      </c>
      <c r="D19" s="305">
        <v>0</v>
      </c>
      <c r="E19" s="305">
        <v>0</v>
      </c>
    </row>
    <row r="20" spans="1:5" ht="39" customHeight="1" hidden="1">
      <c r="A20" s="308" t="s">
        <v>801</v>
      </c>
      <c r="B20" s="309" t="s">
        <v>802</v>
      </c>
      <c r="C20" s="305">
        <v>0</v>
      </c>
      <c r="D20" s="305">
        <v>0</v>
      </c>
      <c r="E20" s="305">
        <v>0</v>
      </c>
    </row>
    <row r="21" spans="1:11" ht="37.5" customHeight="1">
      <c r="A21" s="297" t="s">
        <v>803</v>
      </c>
      <c r="B21" s="310" t="s">
        <v>804</v>
      </c>
      <c r="C21" s="299">
        <f>C22+C25</f>
        <v>0</v>
      </c>
      <c r="D21" s="299">
        <f>D22+D25</f>
        <v>21657</v>
      </c>
      <c r="E21" s="299">
        <f>E22+E25</f>
        <v>-2063000</v>
      </c>
      <c r="J21" s="288"/>
      <c r="K21" s="288"/>
    </row>
    <row r="22" spans="1:11" ht="38.25" hidden="1">
      <c r="A22" s="308" t="s">
        <v>805</v>
      </c>
      <c r="B22" s="311" t="s">
        <v>806</v>
      </c>
      <c r="C22" s="305">
        <f>C23</f>
        <v>0</v>
      </c>
      <c r="D22" s="305">
        <f>D23</f>
        <v>21657</v>
      </c>
      <c r="E22" s="305">
        <f>E23</f>
        <v>0</v>
      </c>
      <c r="J22" s="312"/>
      <c r="K22" s="312"/>
    </row>
    <row r="23" spans="1:12" ht="51" hidden="1">
      <c r="A23" s="308" t="s">
        <v>807</v>
      </c>
      <c r="B23" s="311" t="s">
        <v>808</v>
      </c>
      <c r="C23" s="305">
        <v>0</v>
      </c>
      <c r="D23" s="347">
        <v>21657</v>
      </c>
      <c r="E23" s="348">
        <v>0</v>
      </c>
      <c r="G23" s="313"/>
      <c r="H23" s="289"/>
      <c r="I23" s="314"/>
      <c r="J23" s="314"/>
      <c r="K23" s="314"/>
      <c r="L23" s="287"/>
    </row>
    <row r="24" spans="1:12" ht="42.75" customHeight="1" hidden="1">
      <c r="A24" s="308" t="s">
        <v>809</v>
      </c>
      <c r="B24" s="311" t="s">
        <v>810</v>
      </c>
      <c r="C24" s="305">
        <v>0</v>
      </c>
      <c r="D24" s="347"/>
      <c r="E24" s="348">
        <v>0</v>
      </c>
      <c r="G24" s="313"/>
      <c r="H24" s="289"/>
      <c r="I24" s="314"/>
      <c r="J24" s="314"/>
      <c r="K24" s="314"/>
      <c r="L24" s="287"/>
    </row>
    <row r="25" spans="1:10" ht="51">
      <c r="A25" s="308" t="s">
        <v>811</v>
      </c>
      <c r="B25" s="311" t="s">
        <v>812</v>
      </c>
      <c r="C25" s="305">
        <f aca="true" t="shared" si="0" ref="C25:E27">C26</f>
        <v>0</v>
      </c>
      <c r="D25" s="305">
        <f t="shared" si="0"/>
        <v>0</v>
      </c>
      <c r="E25" s="305">
        <f t="shared" si="0"/>
        <v>-2063000</v>
      </c>
      <c r="H25" s="289"/>
      <c r="J25" s="289"/>
    </row>
    <row r="26" spans="1:11" ht="51">
      <c r="A26" s="308" t="s">
        <v>813</v>
      </c>
      <c r="B26" s="315" t="s">
        <v>814</v>
      </c>
      <c r="C26" s="305">
        <f t="shared" si="0"/>
        <v>0</v>
      </c>
      <c r="D26" s="305">
        <f t="shared" si="0"/>
        <v>0</v>
      </c>
      <c r="E26" s="305">
        <f t="shared" si="0"/>
        <v>-2063000</v>
      </c>
      <c r="H26" s="289"/>
      <c r="I26" s="316"/>
      <c r="J26" s="316"/>
      <c r="K26"/>
    </row>
    <row r="27" spans="1:11" ht="36" customHeight="1">
      <c r="A27" s="308" t="s">
        <v>815</v>
      </c>
      <c r="B27" s="311" t="s">
        <v>816</v>
      </c>
      <c r="C27" s="305">
        <f t="shared" si="0"/>
        <v>0</v>
      </c>
      <c r="D27" s="305">
        <f t="shared" si="0"/>
        <v>0</v>
      </c>
      <c r="E27" s="305">
        <v>-2063000</v>
      </c>
      <c r="H27" s="289"/>
      <c r="I27" s="316"/>
      <c r="J27" s="316"/>
      <c r="K27"/>
    </row>
    <row r="28" spans="1:11" ht="67.5" customHeight="1">
      <c r="A28" s="308" t="s">
        <v>817</v>
      </c>
      <c r="B28" s="311" t="s">
        <v>818</v>
      </c>
      <c r="C28" s="305">
        <v>0</v>
      </c>
      <c r="D28" s="347"/>
      <c r="E28" s="348">
        <v>-2063000</v>
      </c>
      <c r="H28" s="289"/>
      <c r="I28" s="316"/>
      <c r="J28" s="316"/>
      <c r="K28"/>
    </row>
    <row r="29" spans="1:10" ht="25.5" customHeight="1">
      <c r="A29" s="297" t="s">
        <v>819</v>
      </c>
      <c r="B29" s="298" t="s">
        <v>820</v>
      </c>
      <c r="C29" s="299">
        <f>C30+C34</f>
        <v>0</v>
      </c>
      <c r="D29" s="299">
        <f>D30+D34</f>
        <v>0</v>
      </c>
      <c r="E29" s="299">
        <f>E30+E34</f>
        <v>0</v>
      </c>
      <c r="H29" s="289"/>
      <c r="J29" s="289"/>
    </row>
    <row r="30" spans="1:8" ht="12.75">
      <c r="A30" s="303" t="s">
        <v>821</v>
      </c>
      <c r="B30" s="315" t="s">
        <v>822</v>
      </c>
      <c r="C30" s="305">
        <f aca="true" t="shared" si="1" ref="C30:E32">C31</f>
        <v>-652210898</v>
      </c>
      <c r="D30" s="305">
        <f t="shared" si="1"/>
        <v>0</v>
      </c>
      <c r="E30" s="305">
        <f t="shared" si="1"/>
        <v>-656388556</v>
      </c>
      <c r="H30" s="289"/>
    </row>
    <row r="31" spans="1:8" ht="21" customHeight="1">
      <c r="A31" s="303" t="s">
        <v>823</v>
      </c>
      <c r="B31" s="317" t="s">
        <v>824</v>
      </c>
      <c r="C31" s="305">
        <f t="shared" si="1"/>
        <v>-652210898</v>
      </c>
      <c r="D31" s="305">
        <f t="shared" si="1"/>
        <v>0</v>
      </c>
      <c r="E31" s="305">
        <f t="shared" si="1"/>
        <v>-656388556</v>
      </c>
      <c r="H31" s="313"/>
    </row>
    <row r="32" spans="1:5" ht="25.5">
      <c r="A32" s="303" t="s">
        <v>825</v>
      </c>
      <c r="B32" s="315" t="s">
        <v>826</v>
      </c>
      <c r="C32" s="305">
        <f t="shared" si="1"/>
        <v>-652210898</v>
      </c>
      <c r="D32" s="305">
        <f t="shared" si="1"/>
        <v>0</v>
      </c>
      <c r="E32" s="305">
        <f t="shared" si="1"/>
        <v>-656388556</v>
      </c>
    </row>
    <row r="33" spans="1:8" ht="25.5">
      <c r="A33" s="303" t="s">
        <v>827</v>
      </c>
      <c r="B33" s="315" t="s">
        <v>828</v>
      </c>
      <c r="C33" s="305">
        <f>-651710898-C42</f>
        <v>-652210898</v>
      </c>
      <c r="D33" s="305"/>
      <c r="E33" s="305">
        <f>-655888556-E42</f>
        <v>-656388556</v>
      </c>
      <c r="H33" s="313"/>
    </row>
    <row r="34" spans="1:5" ht="14.25" customHeight="1">
      <c r="A34" s="303" t="s">
        <v>830</v>
      </c>
      <c r="B34" s="315" t="s">
        <v>831</v>
      </c>
      <c r="C34" s="305">
        <f aca="true" t="shared" si="2" ref="C34:E36">C35</f>
        <v>652210898</v>
      </c>
      <c r="D34" s="305">
        <f t="shared" si="2"/>
        <v>0</v>
      </c>
      <c r="E34" s="305">
        <f t="shared" si="2"/>
        <v>656388556</v>
      </c>
    </row>
    <row r="35" spans="1:8" ht="12.75">
      <c r="A35" s="303" t="s">
        <v>832</v>
      </c>
      <c r="B35" s="318" t="s">
        <v>833</v>
      </c>
      <c r="C35" s="305">
        <f t="shared" si="2"/>
        <v>652210898</v>
      </c>
      <c r="D35" s="305">
        <f t="shared" si="2"/>
        <v>0</v>
      </c>
      <c r="E35" s="305">
        <f t="shared" si="2"/>
        <v>656388556</v>
      </c>
      <c r="H35" s="313"/>
    </row>
    <row r="36" spans="1:5" ht="25.5">
      <c r="A36" s="303" t="s">
        <v>834</v>
      </c>
      <c r="B36" s="315" t="s">
        <v>835</v>
      </c>
      <c r="C36" s="305">
        <f t="shared" si="2"/>
        <v>652210898</v>
      </c>
      <c r="D36" s="305">
        <f t="shared" si="2"/>
        <v>0</v>
      </c>
      <c r="E36" s="305">
        <f t="shared" si="2"/>
        <v>656388556</v>
      </c>
    </row>
    <row r="37" spans="1:10" ht="25.5">
      <c r="A37" s="303" t="s">
        <v>836</v>
      </c>
      <c r="B37" s="315" t="s">
        <v>837</v>
      </c>
      <c r="C37" s="305">
        <f>651710898-C45</f>
        <v>652210898</v>
      </c>
      <c r="D37" s="305"/>
      <c r="E37" s="349">
        <f>655888556-E45</f>
        <v>656388556</v>
      </c>
      <c r="H37" s="313"/>
      <c r="J37" s="301"/>
    </row>
    <row r="38" spans="1:7" ht="25.5">
      <c r="A38" s="319" t="s">
        <v>838</v>
      </c>
      <c r="B38" s="320" t="s">
        <v>839</v>
      </c>
      <c r="C38" s="321">
        <f>C39</f>
        <v>0</v>
      </c>
      <c r="D38" s="321">
        <f>D39</f>
        <v>0</v>
      </c>
      <c r="E38" s="321">
        <f>E39</f>
        <v>0</v>
      </c>
      <c r="F38" s="321">
        <f>F39</f>
        <v>0</v>
      </c>
      <c r="G38" s="321">
        <f>G39</f>
        <v>0</v>
      </c>
    </row>
    <row r="39" spans="1:5" ht="25.5">
      <c r="A39" s="322" t="s">
        <v>840</v>
      </c>
      <c r="B39" s="323" t="s">
        <v>841</v>
      </c>
      <c r="C39" s="321">
        <f>C40+C43</f>
        <v>0</v>
      </c>
      <c r="D39" s="321">
        <f>D40+D43</f>
        <v>0</v>
      </c>
      <c r="E39" s="321">
        <f>E40+E43</f>
        <v>0</v>
      </c>
    </row>
    <row r="40" spans="1:5" ht="25.5">
      <c r="A40" s="325" t="s">
        <v>842</v>
      </c>
      <c r="B40" s="326" t="s">
        <v>843</v>
      </c>
      <c r="C40" s="333">
        <f aca="true" t="shared" si="3" ref="C40:E41">C41</f>
        <v>500000</v>
      </c>
      <c r="D40" s="333">
        <f t="shared" si="3"/>
        <v>0</v>
      </c>
      <c r="E40" s="333">
        <f t="shared" si="3"/>
        <v>500000</v>
      </c>
    </row>
    <row r="41" spans="1:5" ht="63.75">
      <c r="A41" s="325" t="s">
        <v>844</v>
      </c>
      <c r="B41" s="326" t="s">
        <v>845</v>
      </c>
      <c r="C41" s="333">
        <f t="shared" si="3"/>
        <v>500000</v>
      </c>
      <c r="D41" s="333">
        <f t="shared" si="3"/>
        <v>0</v>
      </c>
      <c r="E41" s="333">
        <f t="shared" si="3"/>
        <v>500000</v>
      </c>
    </row>
    <row r="42" spans="1:5" ht="63.75">
      <c r="A42" s="325" t="s">
        <v>846</v>
      </c>
      <c r="B42" s="326" t="s">
        <v>847</v>
      </c>
      <c r="C42" s="333">
        <v>500000</v>
      </c>
      <c r="D42" s="333"/>
      <c r="E42" s="333">
        <v>500000</v>
      </c>
    </row>
    <row r="43" spans="1:5" ht="25.5">
      <c r="A43" s="325" t="s">
        <v>852</v>
      </c>
      <c r="B43" s="326" t="s">
        <v>853</v>
      </c>
      <c r="C43" s="333">
        <f aca="true" t="shared" si="4" ref="C43:E44">C44</f>
        <v>-500000</v>
      </c>
      <c r="D43" s="333">
        <f t="shared" si="4"/>
        <v>0</v>
      </c>
      <c r="E43" s="333">
        <f t="shared" si="4"/>
        <v>-500000</v>
      </c>
    </row>
    <row r="44" spans="1:5" ht="51">
      <c r="A44" s="325" t="s">
        <v>854</v>
      </c>
      <c r="B44" s="326" t="s">
        <v>855</v>
      </c>
      <c r="C44" s="333">
        <f t="shared" si="4"/>
        <v>-500000</v>
      </c>
      <c r="D44" s="333">
        <f t="shared" si="4"/>
        <v>0</v>
      </c>
      <c r="E44" s="333">
        <f t="shared" si="4"/>
        <v>-500000</v>
      </c>
    </row>
    <row r="45" spans="1:5" ht="63.75">
      <c r="A45" s="325" t="s">
        <v>856</v>
      </c>
      <c r="B45" s="326" t="s">
        <v>857</v>
      </c>
      <c r="C45" s="333">
        <v>-500000</v>
      </c>
      <c r="D45" s="333"/>
      <c r="E45" s="333">
        <v>-500000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>
      <c r="B56" s="301"/>
    </row>
    <row r="57" ht="12.75">
      <c r="B57" s="301"/>
    </row>
    <row r="58" ht="12.75"/>
    <row r="59" ht="12.75"/>
    <row r="60" ht="12.75"/>
    <row r="61" ht="12.75"/>
    <row r="62" ht="12.75"/>
    <row r="63" ht="12.75"/>
    <row r="64" ht="12.75">
      <c r="B64" s="301"/>
    </row>
  </sheetData>
  <sheetProtection/>
  <mergeCells count="11">
    <mergeCell ref="B8:E8"/>
    <mergeCell ref="A9:E9"/>
    <mergeCell ref="A10:E10"/>
    <mergeCell ref="J21:K21"/>
    <mergeCell ref="J22:K22"/>
    <mergeCell ref="A1:E1"/>
    <mergeCell ref="A2:E2"/>
    <mergeCell ref="A3:E3"/>
    <mergeCell ref="B5:C5"/>
    <mergeCell ref="B6:C6"/>
    <mergeCell ref="B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5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18.375" style="0" customWidth="1"/>
    <col min="2" max="2" width="61.375" style="0" customWidth="1"/>
    <col min="3" max="3" width="13.00390625" style="549" customWidth="1"/>
  </cols>
  <sheetData>
    <row r="1" spans="1:3" ht="14.25" customHeight="1">
      <c r="A1" s="287"/>
      <c r="B1" s="352" t="s">
        <v>869</v>
      </c>
      <c r="C1" s="352"/>
    </row>
    <row r="2" spans="1:3" ht="11.25" customHeight="1">
      <c r="A2" s="287"/>
      <c r="B2" s="352" t="s">
        <v>870</v>
      </c>
      <c r="C2" s="352"/>
    </row>
    <row r="3" spans="1:3" ht="12.75" customHeight="1">
      <c r="A3" s="287"/>
      <c r="B3" s="352" t="s">
        <v>871</v>
      </c>
      <c r="C3" s="352"/>
    </row>
    <row r="4" spans="1:3" ht="12.75">
      <c r="A4" s="287"/>
      <c r="B4" s="352" t="s">
        <v>872</v>
      </c>
      <c r="C4" s="352"/>
    </row>
    <row r="5" spans="1:3" ht="12.75">
      <c r="A5" s="287"/>
      <c r="B5" s="353" t="s">
        <v>873</v>
      </c>
      <c r="C5" s="353"/>
    </row>
    <row r="6" spans="1:3" ht="13.5" customHeight="1">
      <c r="A6" s="287"/>
      <c r="B6" s="352" t="s">
        <v>874</v>
      </c>
      <c r="C6" s="352"/>
    </row>
    <row r="7" spans="1:3" ht="12.75">
      <c r="A7" s="287"/>
      <c r="B7" s="352" t="s">
        <v>875</v>
      </c>
      <c r="C7" s="352"/>
    </row>
    <row r="8" spans="1:3" ht="12.75">
      <c r="A8" s="287"/>
      <c r="B8" s="352" t="s">
        <v>876</v>
      </c>
      <c r="C8" s="352"/>
    </row>
    <row r="9" spans="1:3" ht="12.75">
      <c r="A9" s="287"/>
      <c r="B9" s="352" t="s">
        <v>877</v>
      </c>
      <c r="C9" s="352"/>
    </row>
    <row r="10" spans="1:3" ht="12" customHeight="1">
      <c r="A10" s="354"/>
      <c r="B10" s="354"/>
      <c r="C10" s="354"/>
    </row>
    <row r="11" spans="2:3" ht="12.75" hidden="1">
      <c r="B11" s="341"/>
      <c r="C11" s="341"/>
    </row>
    <row r="12" spans="1:3" ht="15" customHeight="1">
      <c r="A12" s="355" t="s">
        <v>878</v>
      </c>
      <c r="B12" s="355"/>
      <c r="C12" s="355"/>
    </row>
    <row r="13" spans="1:3" ht="14.25" customHeight="1">
      <c r="A13" s="355" t="s">
        <v>879</v>
      </c>
      <c r="B13" s="355"/>
      <c r="C13" s="355"/>
    </row>
    <row r="14" spans="1:3" ht="15" customHeight="1">
      <c r="A14" s="356" t="s">
        <v>880</v>
      </c>
      <c r="B14" s="356"/>
      <c r="C14" s="356"/>
    </row>
    <row r="15" spans="1:3" ht="12.75" hidden="1">
      <c r="A15" s="357"/>
      <c r="B15" s="358"/>
      <c r="C15" s="359"/>
    </row>
    <row r="16" spans="1:3" ht="13.5" customHeight="1">
      <c r="A16" s="357"/>
      <c r="B16" s="358"/>
      <c r="C16" s="360" t="s">
        <v>881</v>
      </c>
    </row>
    <row r="17" spans="1:3" ht="38.25" customHeight="1">
      <c r="A17" s="361" t="s">
        <v>787</v>
      </c>
      <c r="B17" s="362" t="s">
        <v>882</v>
      </c>
      <c r="C17" s="363" t="s">
        <v>883</v>
      </c>
    </row>
    <row r="18" spans="1:3" ht="12" customHeight="1">
      <c r="A18" s="364">
        <v>1</v>
      </c>
      <c r="B18" s="364">
        <v>2</v>
      </c>
      <c r="C18" s="365">
        <v>3</v>
      </c>
    </row>
    <row r="19" spans="1:3" ht="16.5" customHeight="1">
      <c r="A19" s="366" t="s">
        <v>884</v>
      </c>
      <c r="B19" s="367"/>
      <c r="C19" s="368">
        <f>C20+C161</f>
        <v>727670565.07</v>
      </c>
    </row>
    <row r="20" spans="1:3" ht="17.25" customHeight="1">
      <c r="A20" s="369" t="s">
        <v>885</v>
      </c>
      <c r="B20" s="370" t="s">
        <v>886</v>
      </c>
      <c r="C20" s="371">
        <f>C21+C38+C53+C61+C83+C91+C98+C118+C121+C156+C59+C28</f>
        <v>171426143</v>
      </c>
    </row>
    <row r="21" spans="1:3" ht="16.5" customHeight="1">
      <c r="A21" s="369" t="s">
        <v>887</v>
      </c>
      <c r="B21" s="370" t="s">
        <v>888</v>
      </c>
      <c r="C21" s="371">
        <f>C22</f>
        <v>147820733</v>
      </c>
    </row>
    <row r="22" spans="1:3" ht="16.5" customHeight="1">
      <c r="A22" s="369" t="s">
        <v>889</v>
      </c>
      <c r="B22" s="372" t="s">
        <v>890</v>
      </c>
      <c r="C22" s="371">
        <f>C23+C24+C25+C26+C27</f>
        <v>147820733</v>
      </c>
    </row>
    <row r="23" spans="1:3" ht="47.25" customHeight="1">
      <c r="A23" s="373" t="s">
        <v>891</v>
      </c>
      <c r="B23" s="374" t="s">
        <v>892</v>
      </c>
      <c r="C23" s="375">
        <f>145033033-910000-250000</f>
        <v>143873033</v>
      </c>
    </row>
    <row r="24" spans="1:3" ht="73.5" customHeight="1">
      <c r="A24" s="373" t="s">
        <v>893</v>
      </c>
      <c r="B24" s="374" t="s">
        <v>894</v>
      </c>
      <c r="C24" s="376">
        <v>1247346</v>
      </c>
    </row>
    <row r="25" spans="1:3" ht="25.5" customHeight="1">
      <c r="A25" s="7" t="s">
        <v>895</v>
      </c>
      <c r="B25" s="374" t="s">
        <v>896</v>
      </c>
      <c r="C25" s="377">
        <v>1540354</v>
      </c>
    </row>
    <row r="26" spans="1:3" ht="48" customHeight="1" hidden="1">
      <c r="A26" s="373" t="s">
        <v>897</v>
      </c>
      <c r="B26" s="374" t="s">
        <v>898</v>
      </c>
      <c r="C26" s="375"/>
    </row>
    <row r="27" spans="1:3" ht="60">
      <c r="A27" s="373" t="s">
        <v>899</v>
      </c>
      <c r="B27" s="378" t="s">
        <v>900</v>
      </c>
      <c r="C27" s="375">
        <f>910000+250000</f>
        <v>1160000</v>
      </c>
    </row>
    <row r="28" spans="1:3" s="381" customFormat="1" ht="26.25" customHeight="1">
      <c r="A28" s="379" t="s">
        <v>901</v>
      </c>
      <c r="B28" s="380" t="s">
        <v>902</v>
      </c>
      <c r="C28" s="371">
        <f>C29</f>
        <v>5865160</v>
      </c>
    </row>
    <row r="29" spans="1:3" s="381" customFormat="1" ht="27" customHeight="1">
      <c r="A29" s="379" t="s">
        <v>903</v>
      </c>
      <c r="B29" s="382" t="s">
        <v>904</v>
      </c>
      <c r="C29" s="371">
        <f>C30+C32+C34+C36</f>
        <v>5865160</v>
      </c>
    </row>
    <row r="30" spans="1:3" ht="48.75" customHeight="1">
      <c r="A30" s="379" t="s">
        <v>905</v>
      </c>
      <c r="B30" s="383" t="s">
        <v>906</v>
      </c>
      <c r="C30" s="371">
        <f>C31</f>
        <v>2651820</v>
      </c>
    </row>
    <row r="31" spans="1:3" ht="71.25" customHeight="1">
      <c r="A31" s="384" t="s">
        <v>907</v>
      </c>
      <c r="B31" s="385" t="s">
        <v>908</v>
      </c>
      <c r="C31" s="375">
        <v>2651820</v>
      </c>
    </row>
    <row r="32" spans="1:3" ht="60" customHeight="1">
      <c r="A32" s="379" t="s">
        <v>909</v>
      </c>
      <c r="B32" s="383" t="s">
        <v>910</v>
      </c>
      <c r="C32" s="371">
        <f>C33</f>
        <v>14680</v>
      </c>
    </row>
    <row r="33" spans="1:3" ht="72.75" customHeight="1">
      <c r="A33" s="384" t="s">
        <v>911</v>
      </c>
      <c r="B33" s="386" t="s">
        <v>912</v>
      </c>
      <c r="C33" s="375">
        <v>14680</v>
      </c>
    </row>
    <row r="34" spans="1:3" ht="48.75" customHeight="1">
      <c r="A34" s="379" t="s">
        <v>913</v>
      </c>
      <c r="B34" s="383" t="s">
        <v>914</v>
      </c>
      <c r="C34" s="371">
        <f>C35</f>
        <v>3531180</v>
      </c>
    </row>
    <row r="35" spans="1:3" ht="72" customHeight="1">
      <c r="A35" s="384" t="s">
        <v>915</v>
      </c>
      <c r="B35" s="386" t="s">
        <v>916</v>
      </c>
      <c r="C35" s="375">
        <v>3531180</v>
      </c>
    </row>
    <row r="36" spans="1:3" ht="47.25" customHeight="1">
      <c r="A36" s="379" t="s">
        <v>917</v>
      </c>
      <c r="B36" s="383" t="s">
        <v>918</v>
      </c>
      <c r="C36" s="371">
        <f>C37</f>
        <v>-332520</v>
      </c>
    </row>
    <row r="37" spans="1:3" ht="70.5" customHeight="1">
      <c r="A37" s="384" t="s">
        <v>919</v>
      </c>
      <c r="B37" s="385" t="s">
        <v>920</v>
      </c>
      <c r="C37" s="375">
        <v>-332520</v>
      </c>
    </row>
    <row r="38" spans="1:3" ht="18" customHeight="1">
      <c r="A38" s="387" t="s">
        <v>921</v>
      </c>
      <c r="B38" s="388" t="s">
        <v>922</v>
      </c>
      <c r="C38" s="371">
        <f>C45+C48+C51+C39</f>
        <v>3395504</v>
      </c>
    </row>
    <row r="39" spans="1:3" ht="25.5" customHeight="1">
      <c r="A39" s="389" t="s">
        <v>923</v>
      </c>
      <c r="B39" s="390" t="s">
        <v>924</v>
      </c>
      <c r="C39" s="391">
        <f>C40+C42+C44</f>
        <v>584564</v>
      </c>
    </row>
    <row r="40" spans="1:3" ht="26.25" customHeight="1">
      <c r="A40" s="389" t="s">
        <v>925</v>
      </c>
      <c r="B40" s="392" t="s">
        <v>926</v>
      </c>
      <c r="C40" s="391">
        <f>C41</f>
        <v>575443</v>
      </c>
    </row>
    <row r="41" spans="1:3" ht="27" customHeight="1">
      <c r="A41" s="389" t="s">
        <v>927</v>
      </c>
      <c r="B41" s="392" t="s">
        <v>926</v>
      </c>
      <c r="C41" s="377">
        <f>1804643-5000-350000-874200</f>
        <v>575443</v>
      </c>
    </row>
    <row r="42" spans="1:3" ht="27" customHeight="1">
      <c r="A42" s="389" t="s">
        <v>928</v>
      </c>
      <c r="B42" s="393" t="s">
        <v>929</v>
      </c>
      <c r="C42" s="394">
        <f>C43</f>
        <v>9121</v>
      </c>
    </row>
    <row r="43" spans="1:3" ht="36.75" customHeight="1">
      <c r="A43" s="395" t="s">
        <v>930</v>
      </c>
      <c r="B43" s="396" t="s">
        <v>931</v>
      </c>
      <c r="C43" s="375">
        <f>259357+350000-600236</f>
        <v>9121</v>
      </c>
    </row>
    <row r="44" spans="1:3" ht="22.5" hidden="1">
      <c r="A44" s="397" t="s">
        <v>932</v>
      </c>
      <c r="B44" s="398" t="s">
        <v>933</v>
      </c>
      <c r="C44" s="375"/>
    </row>
    <row r="45" spans="1:3" s="301" customFormat="1" ht="16.5" customHeight="1">
      <c r="A45" s="387" t="s">
        <v>934</v>
      </c>
      <c r="B45" s="388" t="s">
        <v>935</v>
      </c>
      <c r="C45" s="399">
        <f>C46+C47</f>
        <v>91400</v>
      </c>
    </row>
    <row r="46" spans="1:3" ht="15.75" customHeight="1">
      <c r="A46" s="373" t="s">
        <v>936</v>
      </c>
      <c r="B46" s="400" t="s">
        <v>935</v>
      </c>
      <c r="C46" s="377">
        <f>5000+15965+68000+2400</f>
        <v>91365</v>
      </c>
    </row>
    <row r="47" spans="1:3" ht="25.5">
      <c r="A47" s="373" t="s">
        <v>937</v>
      </c>
      <c r="B47" s="382" t="s">
        <v>938</v>
      </c>
      <c r="C47" s="377">
        <v>35</v>
      </c>
    </row>
    <row r="48" spans="1:3" s="301" customFormat="1" ht="15.75" customHeight="1">
      <c r="A48" s="387" t="s">
        <v>939</v>
      </c>
      <c r="B48" s="370" t="s">
        <v>940</v>
      </c>
      <c r="C48" s="399">
        <f>C49+C50</f>
        <v>456027</v>
      </c>
    </row>
    <row r="49" spans="1:3" ht="16.5" customHeight="1">
      <c r="A49" s="373" t="s">
        <v>941</v>
      </c>
      <c r="B49" s="401" t="s">
        <v>940</v>
      </c>
      <c r="C49" s="375">
        <f>540027-16000-68000</f>
        <v>456027</v>
      </c>
    </row>
    <row r="50" spans="1:3" ht="25.5" hidden="1">
      <c r="A50" s="373" t="s">
        <v>942</v>
      </c>
      <c r="B50" s="382" t="s">
        <v>943</v>
      </c>
      <c r="C50" s="375"/>
    </row>
    <row r="51" spans="1:3" s="301" customFormat="1" ht="25.5">
      <c r="A51" s="387" t="s">
        <v>944</v>
      </c>
      <c r="B51" s="390" t="s">
        <v>945</v>
      </c>
      <c r="C51" s="399">
        <f>C52</f>
        <v>2263513</v>
      </c>
    </row>
    <row r="52" spans="1:3" ht="25.5">
      <c r="A52" s="373" t="s">
        <v>946</v>
      </c>
      <c r="B52" s="390" t="s">
        <v>947</v>
      </c>
      <c r="C52" s="375">
        <v>2263513</v>
      </c>
    </row>
    <row r="53" spans="1:3" ht="15.75" customHeight="1">
      <c r="A53" s="387" t="s">
        <v>948</v>
      </c>
      <c r="B53" s="388" t="s">
        <v>949</v>
      </c>
      <c r="C53" s="399">
        <f>C54+C56</f>
        <v>1457009</v>
      </c>
    </row>
    <row r="54" spans="1:3" ht="23.25" customHeight="1">
      <c r="A54" s="387" t="s">
        <v>950</v>
      </c>
      <c r="B54" s="383" t="s">
        <v>951</v>
      </c>
      <c r="C54" s="399">
        <f>C55</f>
        <v>1457009</v>
      </c>
    </row>
    <row r="55" spans="1:3" ht="38.25" customHeight="1">
      <c r="A55" s="373" t="s">
        <v>952</v>
      </c>
      <c r="B55" s="382" t="s">
        <v>953</v>
      </c>
      <c r="C55" s="375">
        <v>1457009</v>
      </c>
    </row>
    <row r="56" spans="1:3" s="350" customFormat="1" ht="24.75" customHeight="1" hidden="1">
      <c r="A56" s="402" t="s">
        <v>954</v>
      </c>
      <c r="B56" s="403" t="s">
        <v>955</v>
      </c>
      <c r="C56" s="394">
        <f>C57+C58</f>
        <v>0</v>
      </c>
    </row>
    <row r="57" spans="1:3" ht="51" hidden="1">
      <c r="A57" s="373" t="s">
        <v>956</v>
      </c>
      <c r="B57" s="382" t="s">
        <v>957</v>
      </c>
      <c r="C57" s="377"/>
    </row>
    <row r="58" spans="1:3" ht="24.75" customHeight="1" hidden="1">
      <c r="A58" s="373" t="s">
        <v>958</v>
      </c>
      <c r="B58" s="382" t="s">
        <v>959</v>
      </c>
      <c r="C58" s="375"/>
    </row>
    <row r="59" spans="1:3" ht="25.5" hidden="1">
      <c r="A59" s="404" t="s">
        <v>960</v>
      </c>
      <c r="B59" s="405" t="s">
        <v>961</v>
      </c>
      <c r="C59" s="399">
        <f>C60</f>
        <v>0</v>
      </c>
    </row>
    <row r="60" spans="1:3" s="358" customFormat="1" ht="51" hidden="1">
      <c r="A60" s="406" t="s">
        <v>962</v>
      </c>
      <c r="B60" s="407" t="s">
        <v>963</v>
      </c>
      <c r="C60" s="375"/>
    </row>
    <row r="61" spans="1:3" ht="24.75" customHeight="1">
      <c r="A61" s="387" t="s">
        <v>964</v>
      </c>
      <c r="B61" s="408" t="s">
        <v>965</v>
      </c>
      <c r="C61" s="399">
        <f>C62+C64+C66+C68+C76+C78+C80</f>
        <v>7498141</v>
      </c>
    </row>
    <row r="62" spans="1:3" ht="51" hidden="1">
      <c r="A62" s="409" t="s">
        <v>966</v>
      </c>
      <c r="B62" s="410" t="s">
        <v>967</v>
      </c>
      <c r="C62" s="399">
        <f>C63</f>
        <v>0</v>
      </c>
    </row>
    <row r="63" spans="1:3" ht="38.25" hidden="1">
      <c r="A63" s="411" t="s">
        <v>968</v>
      </c>
      <c r="B63" s="412" t="s">
        <v>969</v>
      </c>
      <c r="C63" s="375"/>
    </row>
    <row r="64" spans="1:3" ht="12.75" hidden="1">
      <c r="A64" s="409" t="s">
        <v>970</v>
      </c>
      <c r="B64" s="410" t="s">
        <v>971</v>
      </c>
      <c r="C64" s="399">
        <f>C65</f>
        <v>0</v>
      </c>
    </row>
    <row r="65" spans="1:3" ht="0.75" customHeight="1" hidden="1">
      <c r="A65" s="411" t="s">
        <v>972</v>
      </c>
      <c r="B65" s="382" t="s">
        <v>973</v>
      </c>
      <c r="C65" s="375"/>
    </row>
    <row r="66" spans="1:3" ht="3" customHeight="1" hidden="1">
      <c r="A66" s="387" t="s">
        <v>974</v>
      </c>
      <c r="B66" s="410" t="s">
        <v>975</v>
      </c>
      <c r="C66" s="399">
        <f>C67</f>
        <v>0</v>
      </c>
    </row>
    <row r="67" spans="1:3" ht="25.5" hidden="1">
      <c r="A67" s="373" t="s">
        <v>976</v>
      </c>
      <c r="B67" s="382" t="s">
        <v>977</v>
      </c>
      <c r="C67" s="377"/>
    </row>
    <row r="68" spans="1:3" ht="57.75" customHeight="1">
      <c r="A68" s="387" t="s">
        <v>978</v>
      </c>
      <c r="B68" s="383" t="s">
        <v>979</v>
      </c>
      <c r="C68" s="399">
        <f>C69+C72+C74</f>
        <v>7498141</v>
      </c>
    </row>
    <row r="69" spans="1:3" ht="47.25" customHeight="1">
      <c r="A69" s="387" t="s">
        <v>980</v>
      </c>
      <c r="B69" s="383" t="s">
        <v>981</v>
      </c>
      <c r="C69" s="399">
        <f>C70+C71</f>
        <v>6127230</v>
      </c>
    </row>
    <row r="70" spans="1:3" ht="59.25" customHeight="1">
      <c r="A70" s="373" t="s">
        <v>982</v>
      </c>
      <c r="B70" s="386" t="s">
        <v>983</v>
      </c>
      <c r="C70" s="413">
        <f>4168664-100000+1194000</f>
        <v>5262664</v>
      </c>
    </row>
    <row r="71" spans="1:3" ht="45.75" customHeight="1">
      <c r="A71" s="373" t="s">
        <v>984</v>
      </c>
      <c r="B71" s="374" t="s">
        <v>985</v>
      </c>
      <c r="C71" s="414">
        <f>864566</f>
        <v>864566</v>
      </c>
    </row>
    <row r="72" spans="1:3" ht="15.75" customHeight="1" hidden="1">
      <c r="A72" s="415" t="s">
        <v>986</v>
      </c>
      <c r="B72" s="410" t="s">
        <v>987</v>
      </c>
      <c r="C72" s="375">
        <f>C73</f>
        <v>0</v>
      </c>
    </row>
    <row r="73" spans="1:3" ht="15.75" customHeight="1" hidden="1">
      <c r="A73" s="373" t="s">
        <v>988</v>
      </c>
      <c r="B73" s="382" t="s">
        <v>989</v>
      </c>
      <c r="C73" s="375"/>
    </row>
    <row r="74" spans="1:3" ht="59.25" customHeight="1">
      <c r="A74" s="387" t="s">
        <v>990</v>
      </c>
      <c r="B74" s="383" t="s">
        <v>991</v>
      </c>
      <c r="C74" s="399">
        <f>C75</f>
        <v>1370911</v>
      </c>
    </row>
    <row r="75" spans="1:3" ht="39" customHeight="1">
      <c r="A75" s="373" t="s">
        <v>992</v>
      </c>
      <c r="B75" s="374" t="s">
        <v>993</v>
      </c>
      <c r="C75" s="375">
        <f>1570911-200000</f>
        <v>1370911</v>
      </c>
    </row>
    <row r="76" spans="1:3" ht="25.5" hidden="1">
      <c r="A76" s="415" t="s">
        <v>994</v>
      </c>
      <c r="B76" s="410" t="s">
        <v>995</v>
      </c>
      <c r="C76" s="399">
        <f>C77</f>
        <v>0</v>
      </c>
    </row>
    <row r="77" spans="1:3" ht="38.25" hidden="1">
      <c r="A77" s="373" t="s">
        <v>996</v>
      </c>
      <c r="B77" s="382" t="s">
        <v>997</v>
      </c>
      <c r="C77" s="375"/>
    </row>
    <row r="78" spans="1:3" ht="63.75" hidden="1">
      <c r="A78" s="415" t="s">
        <v>998</v>
      </c>
      <c r="B78" s="410" t="s">
        <v>999</v>
      </c>
      <c r="C78" s="399">
        <f>C79</f>
        <v>0</v>
      </c>
    </row>
    <row r="79" spans="1:3" ht="63.75" hidden="1">
      <c r="A79" s="373" t="s">
        <v>1000</v>
      </c>
      <c r="B79" s="382" t="s">
        <v>1001</v>
      </c>
      <c r="C79" s="375"/>
    </row>
    <row r="80" spans="1:3" ht="3.75" customHeight="1" hidden="1">
      <c r="A80" s="415" t="s">
        <v>1002</v>
      </c>
      <c r="B80" s="410" t="s">
        <v>1003</v>
      </c>
      <c r="C80" s="399">
        <f>C81</f>
        <v>0</v>
      </c>
    </row>
    <row r="81" spans="1:3" ht="63.75" hidden="1">
      <c r="A81" s="373" t="s">
        <v>1004</v>
      </c>
      <c r="B81" s="382" t="s">
        <v>1005</v>
      </c>
      <c r="C81" s="375">
        <f>C82</f>
        <v>0</v>
      </c>
    </row>
    <row r="82" spans="1:3" ht="51" hidden="1">
      <c r="A82" s="373" t="s">
        <v>1006</v>
      </c>
      <c r="B82" s="382" t="s">
        <v>1007</v>
      </c>
      <c r="C82" s="375"/>
    </row>
    <row r="83" spans="1:3" ht="16.5" customHeight="1">
      <c r="A83" s="387" t="s">
        <v>1008</v>
      </c>
      <c r="B83" s="388" t="s">
        <v>1009</v>
      </c>
      <c r="C83" s="399">
        <f>C84</f>
        <v>186420</v>
      </c>
    </row>
    <row r="84" spans="1:3" ht="15.75" customHeight="1">
      <c r="A84" s="373" t="s">
        <v>1010</v>
      </c>
      <c r="B84" s="400" t="s">
        <v>1011</v>
      </c>
      <c r="C84" s="399">
        <f>SUM(C85:C88)</f>
        <v>186420</v>
      </c>
    </row>
    <row r="85" spans="1:3" ht="26.25" customHeight="1">
      <c r="A85" s="373" t="s">
        <v>1012</v>
      </c>
      <c r="B85" s="390" t="s">
        <v>1013</v>
      </c>
      <c r="C85" s="377">
        <f>129000+50000</f>
        <v>179000</v>
      </c>
    </row>
    <row r="86" spans="1:3" ht="12.75" hidden="1">
      <c r="A86" s="373" t="s">
        <v>1014</v>
      </c>
      <c r="B86" s="392" t="s">
        <v>1015</v>
      </c>
      <c r="C86" s="375"/>
    </row>
    <row r="87" spans="1:3" ht="16.5" customHeight="1">
      <c r="A87" s="373" t="s">
        <v>1016</v>
      </c>
      <c r="B87" s="392" t="s">
        <v>1015</v>
      </c>
      <c r="C87" s="375">
        <f>57420-50500-20</f>
        <v>6900</v>
      </c>
    </row>
    <row r="88" spans="1:3" s="417" customFormat="1" ht="15">
      <c r="A88" s="387" t="s">
        <v>1017</v>
      </c>
      <c r="B88" s="416" t="s">
        <v>1018</v>
      </c>
      <c r="C88" s="399">
        <f>C89+C90</f>
        <v>520</v>
      </c>
    </row>
    <row r="89" spans="1:3" s="417" customFormat="1" ht="15">
      <c r="A89" s="7" t="s">
        <v>1019</v>
      </c>
      <c r="B89" s="418" t="s">
        <v>1020</v>
      </c>
      <c r="C89" s="375">
        <f>500+20</f>
        <v>520</v>
      </c>
    </row>
    <row r="90" spans="1:3" s="350" customFormat="1" ht="12.75" hidden="1">
      <c r="A90" s="7" t="s">
        <v>1021</v>
      </c>
      <c r="B90" s="419" t="s">
        <v>1022</v>
      </c>
      <c r="C90" s="377"/>
    </row>
    <row r="91" spans="1:3" ht="24" customHeight="1">
      <c r="A91" s="387" t="s">
        <v>1023</v>
      </c>
      <c r="B91" s="420" t="s">
        <v>1024</v>
      </c>
      <c r="C91" s="399">
        <f>C92+C95</f>
        <v>4177436</v>
      </c>
    </row>
    <row r="92" spans="1:3" ht="15.75" customHeight="1">
      <c r="A92" s="387" t="s">
        <v>1025</v>
      </c>
      <c r="B92" s="421" t="s">
        <v>1026</v>
      </c>
      <c r="C92" s="399">
        <f>C93</f>
        <v>4095400</v>
      </c>
    </row>
    <row r="93" spans="1:3" ht="15.75" customHeight="1">
      <c r="A93" s="387" t="s">
        <v>1027</v>
      </c>
      <c r="B93" s="421" t="s">
        <v>1028</v>
      </c>
      <c r="C93" s="399">
        <f>C94</f>
        <v>4095400</v>
      </c>
    </row>
    <row r="94" spans="1:3" ht="27" customHeight="1">
      <c r="A94" s="373" t="s">
        <v>1029</v>
      </c>
      <c r="B94" s="390" t="s">
        <v>1030</v>
      </c>
      <c r="C94" s="377">
        <v>4095400</v>
      </c>
    </row>
    <row r="95" spans="1:3" s="423" customFormat="1" ht="14.25" customHeight="1">
      <c r="A95" s="369" t="s">
        <v>1031</v>
      </c>
      <c r="B95" s="422" t="s">
        <v>1032</v>
      </c>
      <c r="C95" s="391">
        <f>C96</f>
        <v>82036</v>
      </c>
    </row>
    <row r="96" spans="1:3" s="423" customFormat="1" ht="14.25" customHeight="1">
      <c r="A96" s="369" t="s">
        <v>1033</v>
      </c>
      <c r="B96" s="422" t="s">
        <v>1034</v>
      </c>
      <c r="C96" s="391">
        <f>C97</f>
        <v>82036</v>
      </c>
    </row>
    <row r="97" spans="1:3" ht="16.5" customHeight="1">
      <c r="A97" s="424" t="s">
        <v>1035</v>
      </c>
      <c r="B97" s="392" t="s">
        <v>1036</v>
      </c>
      <c r="C97" s="377">
        <v>82036</v>
      </c>
    </row>
    <row r="98" spans="1:3" ht="22.5" customHeight="1">
      <c r="A98" s="387" t="s">
        <v>1037</v>
      </c>
      <c r="B98" s="425" t="s">
        <v>1038</v>
      </c>
      <c r="C98" s="399">
        <f>C99+C101+C106+C107+C110+C112</f>
        <v>518000</v>
      </c>
    </row>
    <row r="99" spans="1:3" ht="12.75" hidden="1">
      <c r="A99" s="409" t="s">
        <v>1039</v>
      </c>
      <c r="B99" s="410" t="s">
        <v>1040</v>
      </c>
      <c r="C99" s="399">
        <f>C100</f>
        <v>0</v>
      </c>
    </row>
    <row r="100" spans="1:3" ht="25.5" hidden="1">
      <c r="A100" s="411" t="s">
        <v>1041</v>
      </c>
      <c r="B100" s="382" t="s">
        <v>1042</v>
      </c>
      <c r="C100" s="375"/>
    </row>
    <row r="101" spans="1:3" ht="51" hidden="1">
      <c r="A101" s="409" t="s">
        <v>1043</v>
      </c>
      <c r="B101" s="410" t="s">
        <v>1044</v>
      </c>
      <c r="C101" s="399">
        <f>C102+C103+C104+C105</f>
        <v>0</v>
      </c>
    </row>
    <row r="102" spans="1:3" ht="63.75" hidden="1">
      <c r="A102" s="411" t="s">
        <v>1045</v>
      </c>
      <c r="B102" s="382" t="s">
        <v>1046</v>
      </c>
      <c r="C102" s="375"/>
    </row>
    <row r="103" spans="1:3" ht="63.75" hidden="1">
      <c r="A103" s="411" t="s">
        <v>1047</v>
      </c>
      <c r="B103" s="382" t="s">
        <v>1048</v>
      </c>
      <c r="C103" s="375"/>
    </row>
    <row r="104" spans="1:3" ht="63.75" hidden="1">
      <c r="A104" s="411" t="s">
        <v>1049</v>
      </c>
      <c r="B104" s="382" t="s">
        <v>1050</v>
      </c>
      <c r="C104" s="375"/>
    </row>
    <row r="105" spans="1:3" ht="63.75" hidden="1">
      <c r="A105" s="411" t="s">
        <v>1051</v>
      </c>
      <c r="B105" s="382" t="s">
        <v>1052</v>
      </c>
      <c r="C105" s="375"/>
    </row>
    <row r="106" spans="1:3" ht="38.25" hidden="1">
      <c r="A106" s="409" t="s">
        <v>1053</v>
      </c>
      <c r="B106" s="410" t="s">
        <v>1054</v>
      </c>
      <c r="C106" s="399">
        <f>C108</f>
        <v>0</v>
      </c>
    </row>
    <row r="107" spans="1:3" ht="38.25" hidden="1">
      <c r="A107" s="409" t="s">
        <v>1055</v>
      </c>
      <c r="B107" s="410" t="s">
        <v>1056</v>
      </c>
      <c r="C107" s="399">
        <f>C109</f>
        <v>0</v>
      </c>
    </row>
    <row r="108" spans="1:3" ht="0.75" customHeight="1" hidden="1">
      <c r="A108" s="411" t="s">
        <v>1057</v>
      </c>
      <c r="B108" s="382" t="s">
        <v>1058</v>
      </c>
      <c r="C108" s="375"/>
    </row>
    <row r="109" spans="1:3" ht="38.25" hidden="1">
      <c r="A109" s="411" t="s">
        <v>1059</v>
      </c>
      <c r="B109" s="382" t="s">
        <v>1060</v>
      </c>
      <c r="C109" s="375"/>
    </row>
    <row r="110" spans="1:3" ht="12.75" hidden="1">
      <c r="A110" s="409" t="s">
        <v>1061</v>
      </c>
      <c r="B110" s="410" t="s">
        <v>1062</v>
      </c>
      <c r="C110" s="375">
        <f>C111</f>
        <v>0</v>
      </c>
    </row>
    <row r="111" spans="1:3" ht="25.5" hidden="1">
      <c r="A111" s="411" t="s">
        <v>1063</v>
      </c>
      <c r="B111" s="382" t="s">
        <v>1064</v>
      </c>
      <c r="C111" s="375"/>
    </row>
    <row r="112" spans="1:3" ht="26.25" customHeight="1">
      <c r="A112" s="387" t="s">
        <v>1065</v>
      </c>
      <c r="B112" s="410" t="s">
        <v>1066</v>
      </c>
      <c r="C112" s="399">
        <f>C113+C116</f>
        <v>518000</v>
      </c>
    </row>
    <row r="113" spans="1:3" ht="24.75" customHeight="1">
      <c r="A113" s="387" t="s">
        <v>1067</v>
      </c>
      <c r="B113" s="410" t="s">
        <v>1068</v>
      </c>
      <c r="C113" s="399">
        <f>C114+C115</f>
        <v>518000</v>
      </c>
    </row>
    <row r="114" spans="1:3" ht="34.5" customHeight="1">
      <c r="A114" s="373" t="s">
        <v>1069</v>
      </c>
      <c r="B114" s="386" t="s">
        <v>1070</v>
      </c>
      <c r="C114" s="375">
        <f>1000+100000+196000</f>
        <v>297000</v>
      </c>
    </row>
    <row r="115" spans="1:3" ht="24" customHeight="1">
      <c r="A115" s="373" t="s">
        <v>1071</v>
      </c>
      <c r="B115" s="374" t="s">
        <v>1072</v>
      </c>
      <c r="C115" s="375">
        <f>21000+200000</f>
        <v>221000</v>
      </c>
    </row>
    <row r="116" spans="1:3" ht="38.25" hidden="1">
      <c r="A116" s="426" t="s">
        <v>1073</v>
      </c>
      <c r="B116" s="427" t="s">
        <v>1074</v>
      </c>
      <c r="C116" s="375">
        <f>C117</f>
        <v>0</v>
      </c>
    </row>
    <row r="117" spans="1:3" ht="38.25" hidden="1">
      <c r="A117" s="428" t="s">
        <v>1075</v>
      </c>
      <c r="B117" s="412" t="s">
        <v>1076</v>
      </c>
      <c r="C117" s="375"/>
    </row>
    <row r="118" spans="1:3" ht="12.75" hidden="1">
      <c r="A118" s="387" t="s">
        <v>1077</v>
      </c>
      <c r="B118" s="388" t="s">
        <v>1078</v>
      </c>
      <c r="C118" s="399">
        <f>C119</f>
        <v>0</v>
      </c>
    </row>
    <row r="119" spans="1:3" ht="25.5" hidden="1">
      <c r="A119" s="387" t="s">
        <v>1079</v>
      </c>
      <c r="B119" s="410" t="s">
        <v>1080</v>
      </c>
      <c r="C119" s="399">
        <f>C120</f>
        <v>0</v>
      </c>
    </row>
    <row r="120" spans="1:3" ht="25.5" hidden="1">
      <c r="A120" s="373" t="s">
        <v>1081</v>
      </c>
      <c r="B120" s="382" t="s">
        <v>1082</v>
      </c>
      <c r="C120" s="375"/>
    </row>
    <row r="121" spans="1:3" ht="21" customHeight="1">
      <c r="A121" s="402" t="s">
        <v>1083</v>
      </c>
      <c r="B121" s="429" t="s">
        <v>1084</v>
      </c>
      <c r="C121" s="394">
        <f>C122+C145+C150+C148</f>
        <v>357740</v>
      </c>
    </row>
    <row r="122" spans="1:3" ht="24">
      <c r="A122" s="402" t="s">
        <v>1085</v>
      </c>
      <c r="B122" s="430" t="s">
        <v>1086</v>
      </c>
      <c r="C122" s="394">
        <f>C123+C125+C133+C143+C129+C135+C141+C127+C131+C137+C139</f>
        <v>354740</v>
      </c>
    </row>
    <row r="123" spans="1:3" ht="36.75" customHeight="1">
      <c r="A123" s="402" t="s">
        <v>1087</v>
      </c>
      <c r="B123" s="431" t="s">
        <v>1088</v>
      </c>
      <c r="C123" s="391">
        <f>C124</f>
        <v>8009</v>
      </c>
    </row>
    <row r="124" spans="1:3" ht="48">
      <c r="A124" s="432" t="s">
        <v>1089</v>
      </c>
      <c r="B124" s="433" t="s">
        <v>1090</v>
      </c>
      <c r="C124" s="377">
        <f>4909+3100</f>
        <v>8009</v>
      </c>
    </row>
    <row r="125" spans="1:3" ht="48" customHeight="1">
      <c r="A125" s="402" t="s">
        <v>1091</v>
      </c>
      <c r="B125" s="431" t="s">
        <v>1092</v>
      </c>
      <c r="C125" s="394">
        <f>C126</f>
        <v>38374</v>
      </c>
    </row>
    <row r="126" spans="1:3" ht="58.5" customHeight="1">
      <c r="A126" s="432" t="s">
        <v>1093</v>
      </c>
      <c r="B126" s="434" t="s">
        <v>1094</v>
      </c>
      <c r="C126" s="377">
        <f>55274-16900</f>
        <v>38374</v>
      </c>
    </row>
    <row r="127" spans="1:3" ht="36" customHeight="1">
      <c r="A127" s="435" t="s">
        <v>1095</v>
      </c>
      <c r="B127" s="431" t="s">
        <v>1096</v>
      </c>
      <c r="C127" s="394">
        <f>C128</f>
        <v>11200</v>
      </c>
    </row>
    <row r="128" spans="1:3" ht="47.25" customHeight="1">
      <c r="A128" s="436" t="s">
        <v>1097</v>
      </c>
      <c r="B128" s="434" t="s">
        <v>1098</v>
      </c>
      <c r="C128" s="377">
        <f>30000-18800</f>
        <v>11200</v>
      </c>
    </row>
    <row r="129" spans="1:3" ht="48">
      <c r="A129" s="402" t="s">
        <v>1099</v>
      </c>
      <c r="B129" s="431" t="s">
        <v>1100</v>
      </c>
      <c r="C129" s="394">
        <f>C130</f>
        <v>64600</v>
      </c>
    </row>
    <row r="130" spans="1:3" ht="60">
      <c r="A130" s="432" t="s">
        <v>1101</v>
      </c>
      <c r="B130" s="434" t="s">
        <v>1102</v>
      </c>
      <c r="C130" s="377">
        <f>16000+48600</f>
        <v>64600</v>
      </c>
    </row>
    <row r="131" spans="1:3" ht="35.25" customHeight="1">
      <c r="A131" s="402" t="s">
        <v>1103</v>
      </c>
      <c r="B131" s="431" t="s">
        <v>1104</v>
      </c>
      <c r="C131" s="394">
        <f>C132</f>
        <v>2640</v>
      </c>
    </row>
    <row r="132" spans="1:3" ht="48">
      <c r="A132" s="432" t="s">
        <v>1105</v>
      </c>
      <c r="B132" s="434" t="s">
        <v>1106</v>
      </c>
      <c r="C132" s="377">
        <f>3640-1000</f>
        <v>2640</v>
      </c>
    </row>
    <row r="133" spans="1:3" ht="48">
      <c r="A133" s="402" t="s">
        <v>1107</v>
      </c>
      <c r="B133" s="431" t="s">
        <v>1108</v>
      </c>
      <c r="C133" s="394">
        <f>C134</f>
        <v>22484</v>
      </c>
    </row>
    <row r="134" spans="1:3" ht="60">
      <c r="A134" s="432" t="s">
        <v>1109</v>
      </c>
      <c r="B134" s="434" t="s">
        <v>1110</v>
      </c>
      <c r="C134" s="377">
        <f>7484+5000+10000</f>
        <v>22484</v>
      </c>
    </row>
    <row r="135" spans="1:3" s="437" customFormat="1" ht="48">
      <c r="A135" s="435" t="s">
        <v>1111</v>
      </c>
      <c r="B135" s="430" t="s">
        <v>1112</v>
      </c>
      <c r="C135" s="391">
        <f>C136</f>
        <v>6500</v>
      </c>
    </row>
    <row r="136" spans="1:3" ht="72">
      <c r="A136" s="436" t="s">
        <v>1113</v>
      </c>
      <c r="B136" s="433" t="s">
        <v>1114</v>
      </c>
      <c r="C136" s="377">
        <f>9500-3000</f>
        <v>6500</v>
      </c>
    </row>
    <row r="137" spans="1:3" ht="37.5" customHeight="1">
      <c r="A137" s="435" t="s">
        <v>1115</v>
      </c>
      <c r="B137" s="431" t="s">
        <v>1116</v>
      </c>
      <c r="C137" s="394">
        <f>C138</f>
        <v>1089</v>
      </c>
    </row>
    <row r="138" spans="1:3" ht="48" customHeight="1">
      <c r="A138" s="436" t="s">
        <v>1117</v>
      </c>
      <c r="B138" s="434" t="s">
        <v>1118</v>
      </c>
      <c r="C138" s="377">
        <v>1089</v>
      </c>
    </row>
    <row r="139" spans="1:3" s="438" customFormat="1" ht="58.5" customHeight="1">
      <c r="A139" s="435" t="s">
        <v>1119</v>
      </c>
      <c r="B139" s="431" t="s">
        <v>1120</v>
      </c>
      <c r="C139" s="394">
        <f>C140</f>
        <v>32000</v>
      </c>
    </row>
    <row r="140" spans="1:3" ht="48.75" customHeight="1">
      <c r="A140" s="436" t="s">
        <v>1121</v>
      </c>
      <c r="B140" s="434" t="s">
        <v>1122</v>
      </c>
      <c r="C140" s="377">
        <f>35000-3000</f>
        <v>32000</v>
      </c>
    </row>
    <row r="141" spans="1:3" s="417" customFormat="1" ht="34.5" customHeight="1">
      <c r="A141" s="435" t="s">
        <v>1123</v>
      </c>
      <c r="B141" s="431" t="s">
        <v>1124</v>
      </c>
      <c r="C141" s="394">
        <f>C142</f>
        <v>62849</v>
      </c>
    </row>
    <row r="142" spans="1:3" ht="48">
      <c r="A142" s="436" t="s">
        <v>1125</v>
      </c>
      <c r="B142" s="434" t="s">
        <v>1126</v>
      </c>
      <c r="C142" s="377">
        <f>89849-6000-21000</f>
        <v>62849</v>
      </c>
    </row>
    <row r="143" spans="1:3" s="301" customFormat="1" ht="46.5" customHeight="1">
      <c r="A143" s="402" t="s">
        <v>1127</v>
      </c>
      <c r="B143" s="431" t="s">
        <v>1128</v>
      </c>
      <c r="C143" s="394">
        <f>C144</f>
        <v>104995</v>
      </c>
    </row>
    <row r="144" spans="1:3" ht="60">
      <c r="A144" s="432" t="s">
        <v>1129</v>
      </c>
      <c r="B144" s="434" t="s">
        <v>1130</v>
      </c>
      <c r="C144" s="377">
        <v>104995</v>
      </c>
    </row>
    <row r="145" spans="1:3" ht="72">
      <c r="A145" s="402" t="s">
        <v>1131</v>
      </c>
      <c r="B145" s="431" t="s">
        <v>1132</v>
      </c>
      <c r="C145" s="394">
        <f>C146</f>
        <v>3000</v>
      </c>
    </row>
    <row r="146" spans="1:3" ht="36">
      <c r="A146" s="402" t="s">
        <v>1133</v>
      </c>
      <c r="B146" s="431" t="s">
        <v>1134</v>
      </c>
      <c r="C146" s="394">
        <f>C147</f>
        <v>3000</v>
      </c>
    </row>
    <row r="147" spans="1:3" ht="47.25" customHeight="1">
      <c r="A147" s="432" t="s">
        <v>1135</v>
      </c>
      <c r="B147" s="434" t="s">
        <v>1136</v>
      </c>
      <c r="C147" s="377">
        <f>1000+2000</f>
        <v>3000</v>
      </c>
    </row>
    <row r="148" spans="1:3" ht="36" hidden="1">
      <c r="A148" s="402" t="s">
        <v>1137</v>
      </c>
      <c r="B148" s="439" t="s">
        <v>1138</v>
      </c>
      <c r="C148" s="394">
        <f>C149</f>
        <v>0</v>
      </c>
    </row>
    <row r="149" spans="1:3" ht="36" hidden="1">
      <c r="A149" s="432" t="s">
        <v>1139</v>
      </c>
      <c r="B149" s="440" t="s">
        <v>1140</v>
      </c>
      <c r="C149" s="377"/>
    </row>
    <row r="150" spans="1:3" s="437" customFormat="1" ht="12" hidden="1">
      <c r="A150" s="441" t="s">
        <v>1141</v>
      </c>
      <c r="B150" s="430" t="s">
        <v>1142</v>
      </c>
      <c r="C150" s="442">
        <f>C151+C154</f>
        <v>0</v>
      </c>
    </row>
    <row r="151" spans="1:3" s="437" customFormat="1" ht="45.75" customHeight="1" hidden="1">
      <c r="A151" s="402" t="s">
        <v>1143</v>
      </c>
      <c r="B151" s="431" t="s">
        <v>1144</v>
      </c>
      <c r="C151" s="391">
        <f>C152+C153</f>
        <v>0</v>
      </c>
    </row>
    <row r="152" spans="1:3" ht="48" hidden="1">
      <c r="A152" s="432" t="s">
        <v>1145</v>
      </c>
      <c r="B152" s="434" t="s">
        <v>1146</v>
      </c>
      <c r="C152" s="377"/>
    </row>
    <row r="153" spans="1:3" s="350" customFormat="1" ht="48" hidden="1">
      <c r="A153" s="432" t="s">
        <v>1147</v>
      </c>
      <c r="B153" s="434" t="s">
        <v>1148</v>
      </c>
      <c r="C153" s="377"/>
    </row>
    <row r="154" spans="1:3" ht="12.75" hidden="1">
      <c r="A154" s="387" t="s">
        <v>1149</v>
      </c>
      <c r="B154" s="410" t="s">
        <v>1150</v>
      </c>
      <c r="C154" s="399">
        <f>C155</f>
        <v>0</v>
      </c>
    </row>
    <row r="155" spans="1:3" ht="72" hidden="1">
      <c r="A155" s="373" t="s">
        <v>1151</v>
      </c>
      <c r="B155" s="374" t="s">
        <v>1152</v>
      </c>
      <c r="C155" s="375"/>
    </row>
    <row r="156" spans="1:3" ht="17.25" customHeight="1">
      <c r="A156" s="409" t="s">
        <v>1153</v>
      </c>
      <c r="B156" s="388" t="s">
        <v>1154</v>
      </c>
      <c r="C156" s="371">
        <f>C159+C157</f>
        <v>150000</v>
      </c>
    </row>
    <row r="157" spans="1:3" ht="16.5" customHeight="1">
      <c r="A157" s="409" t="s">
        <v>1155</v>
      </c>
      <c r="B157" s="443" t="s">
        <v>1156</v>
      </c>
      <c r="C157" s="371">
        <f>C158</f>
        <v>150000</v>
      </c>
    </row>
    <row r="158" spans="1:3" ht="21.75" customHeight="1">
      <c r="A158" s="373" t="s">
        <v>1157</v>
      </c>
      <c r="B158" s="400" t="s">
        <v>1158</v>
      </c>
      <c r="C158" s="375">
        <v>150000</v>
      </c>
    </row>
    <row r="159" spans="1:3" ht="12.75" hidden="1">
      <c r="A159" s="409" t="s">
        <v>1159</v>
      </c>
      <c r="B159" s="427" t="s">
        <v>1160</v>
      </c>
      <c r="C159" s="444">
        <f>C160</f>
        <v>0</v>
      </c>
    </row>
    <row r="160" spans="1:3" ht="12.75" hidden="1">
      <c r="A160" s="373" t="s">
        <v>1161</v>
      </c>
      <c r="B160" s="382" t="s">
        <v>1162</v>
      </c>
      <c r="C160" s="445"/>
    </row>
    <row r="161" spans="1:3" ht="18" customHeight="1">
      <c r="A161" s="446" t="s">
        <v>1163</v>
      </c>
      <c r="B161" s="447" t="s">
        <v>1164</v>
      </c>
      <c r="C161" s="442">
        <f>C162+C276+C283+C280</f>
        <v>556244422.07</v>
      </c>
    </row>
    <row r="162" spans="1:3" ht="25.5" customHeight="1">
      <c r="A162" s="446" t="s">
        <v>1165</v>
      </c>
      <c r="B162" s="448" t="s">
        <v>1166</v>
      </c>
      <c r="C162" s="449">
        <f>C163+C170+C206+C269</f>
        <v>555442445</v>
      </c>
    </row>
    <row r="163" spans="1:3" ht="16.5" customHeight="1">
      <c r="A163" s="450" t="s">
        <v>1167</v>
      </c>
      <c r="B163" s="451" t="s">
        <v>1168</v>
      </c>
      <c r="C163" s="452">
        <f>C164+C166+C168</f>
        <v>43352430</v>
      </c>
    </row>
    <row r="164" spans="1:3" ht="12.75">
      <c r="A164" s="450" t="s">
        <v>1169</v>
      </c>
      <c r="B164" s="453" t="s">
        <v>1170</v>
      </c>
      <c r="C164" s="452">
        <f>C165</f>
        <v>10087128</v>
      </c>
    </row>
    <row r="165" spans="1:3" s="350" customFormat="1" ht="25.5">
      <c r="A165" s="454" t="s">
        <v>1171</v>
      </c>
      <c r="B165" s="455" t="s">
        <v>1172</v>
      </c>
      <c r="C165" s="456">
        <v>10087128</v>
      </c>
    </row>
    <row r="166" spans="1:3" ht="25.5">
      <c r="A166" s="450" t="s">
        <v>1173</v>
      </c>
      <c r="B166" s="457" t="s">
        <v>1174</v>
      </c>
      <c r="C166" s="449">
        <f>C167</f>
        <v>30867859</v>
      </c>
    </row>
    <row r="167" spans="1:3" ht="25.5">
      <c r="A167" s="458" t="s">
        <v>1175</v>
      </c>
      <c r="B167" s="459" t="s">
        <v>1176</v>
      </c>
      <c r="C167" s="456">
        <f>6084691+24783168</f>
        <v>30867859</v>
      </c>
    </row>
    <row r="168" spans="1:3" s="438" customFormat="1" ht="15">
      <c r="A168" s="450" t="s">
        <v>1177</v>
      </c>
      <c r="B168" s="460" t="s">
        <v>1178</v>
      </c>
      <c r="C168" s="461">
        <f>C169</f>
        <v>2397443</v>
      </c>
    </row>
    <row r="169" spans="1:3" ht="16.5" customHeight="1">
      <c r="A169" s="458" t="s">
        <v>1179</v>
      </c>
      <c r="B169" s="459" t="s">
        <v>1180</v>
      </c>
      <c r="C169" s="456">
        <v>2397443</v>
      </c>
    </row>
    <row r="170" spans="1:3" ht="27" customHeight="1">
      <c r="A170" s="387" t="s">
        <v>1181</v>
      </c>
      <c r="B170" s="462" t="s">
        <v>1182</v>
      </c>
      <c r="C170" s="449">
        <f>C193+C171+C173+C177+C175+C189+C185+C187+C179+C183+C181</f>
        <v>37175359</v>
      </c>
    </row>
    <row r="171" spans="1:3" s="301" customFormat="1" ht="12.75" hidden="1">
      <c r="A171" s="463"/>
      <c r="B171" s="464"/>
      <c r="C171" s="461">
        <f>C172</f>
        <v>0</v>
      </c>
    </row>
    <row r="172" spans="1:3" ht="12.75" hidden="1">
      <c r="A172" s="465"/>
      <c r="B172" s="466"/>
      <c r="C172" s="456"/>
    </row>
    <row r="173" spans="1:3" s="301" customFormat="1" ht="24" hidden="1">
      <c r="A173" s="467" t="s">
        <v>1183</v>
      </c>
      <c r="B173" s="468" t="s">
        <v>1184</v>
      </c>
      <c r="C173" s="461">
        <f>C174</f>
        <v>0</v>
      </c>
    </row>
    <row r="174" spans="1:3" ht="25.5" hidden="1">
      <c r="A174" s="469" t="s">
        <v>1185</v>
      </c>
      <c r="B174" s="466" t="s">
        <v>1186</v>
      </c>
      <c r="C174" s="456"/>
    </row>
    <row r="175" spans="1:3" ht="24" hidden="1">
      <c r="A175" s="470" t="s">
        <v>1187</v>
      </c>
      <c r="B175" s="471" t="s">
        <v>1188</v>
      </c>
      <c r="C175" s="461">
        <f>C176</f>
        <v>0</v>
      </c>
    </row>
    <row r="176" spans="1:3" ht="38.25" hidden="1">
      <c r="A176" s="472" t="s">
        <v>1189</v>
      </c>
      <c r="B176" s="14" t="s">
        <v>1190</v>
      </c>
      <c r="C176" s="456"/>
    </row>
    <row r="177" spans="1:3" ht="36">
      <c r="A177" s="467" t="s">
        <v>1191</v>
      </c>
      <c r="B177" s="468" t="s">
        <v>1192</v>
      </c>
      <c r="C177" s="473">
        <f>C178</f>
        <v>2883232</v>
      </c>
    </row>
    <row r="178" spans="1:3" ht="33.75" customHeight="1">
      <c r="A178" s="469" t="s">
        <v>1193</v>
      </c>
      <c r="B178" s="474" t="s">
        <v>1194</v>
      </c>
      <c r="C178" s="475">
        <f>2825568+57664</f>
        <v>2883232</v>
      </c>
    </row>
    <row r="179" spans="1:3" ht="46.5" customHeight="1">
      <c r="A179" s="476" t="s">
        <v>1195</v>
      </c>
      <c r="B179" s="477" t="s">
        <v>1196</v>
      </c>
      <c r="C179" s="478">
        <f>C180</f>
        <v>4397982</v>
      </c>
    </row>
    <row r="180" spans="1:3" ht="46.5" customHeight="1">
      <c r="A180" s="469" t="s">
        <v>1197</v>
      </c>
      <c r="B180" s="386" t="s">
        <v>1198</v>
      </c>
      <c r="C180" s="475">
        <f>4310023+87959</f>
        <v>4397982</v>
      </c>
    </row>
    <row r="181" spans="1:3" s="438" customFormat="1" ht="36" customHeight="1">
      <c r="A181" s="467" t="s">
        <v>1199</v>
      </c>
      <c r="B181" s="479" t="s">
        <v>1200</v>
      </c>
      <c r="C181" s="480">
        <f>C182</f>
        <v>7591860</v>
      </c>
    </row>
    <row r="182" spans="1:3" ht="36" customHeight="1">
      <c r="A182" s="469" t="s">
        <v>1201</v>
      </c>
      <c r="B182" s="386" t="s">
        <v>1202</v>
      </c>
      <c r="C182" s="481">
        <f>7440024+151836</f>
        <v>7591860</v>
      </c>
    </row>
    <row r="183" spans="1:3" ht="36" customHeight="1">
      <c r="A183" s="467" t="s">
        <v>1203</v>
      </c>
      <c r="B183" s="479" t="s">
        <v>1204</v>
      </c>
      <c r="C183" s="449">
        <f>C184</f>
        <v>7332136</v>
      </c>
    </row>
    <row r="184" spans="1:3" ht="35.25" customHeight="1">
      <c r="A184" s="469" t="s">
        <v>1205</v>
      </c>
      <c r="B184" s="386" t="s">
        <v>1206</v>
      </c>
      <c r="C184" s="456">
        <f>6378958+953178</f>
        <v>7332136</v>
      </c>
    </row>
    <row r="185" spans="1:3" ht="36" hidden="1">
      <c r="A185" s="467" t="s">
        <v>1207</v>
      </c>
      <c r="B185" s="482" t="s">
        <v>1208</v>
      </c>
      <c r="C185" s="461">
        <f>C186</f>
        <v>0</v>
      </c>
    </row>
    <row r="186" spans="1:3" ht="36" hidden="1">
      <c r="A186" s="483" t="s">
        <v>1209</v>
      </c>
      <c r="B186" s="484" t="s">
        <v>1210</v>
      </c>
      <c r="C186" s="485"/>
    </row>
    <row r="187" spans="1:3" ht="36" hidden="1">
      <c r="A187" s="467" t="s">
        <v>1211</v>
      </c>
      <c r="B187" s="486" t="s">
        <v>1212</v>
      </c>
      <c r="C187" s="461">
        <f>C188</f>
        <v>0</v>
      </c>
    </row>
    <row r="188" spans="1:3" ht="39" customHeight="1" hidden="1">
      <c r="A188" s="469" t="s">
        <v>1213</v>
      </c>
      <c r="B188" s="487" t="s">
        <v>1214</v>
      </c>
      <c r="C188" s="456"/>
    </row>
    <row r="189" spans="1:3" s="417" customFormat="1" ht="0.75" customHeight="1" hidden="1">
      <c r="A189" s="467"/>
      <c r="B189" s="479"/>
      <c r="C189" s="461">
        <f>C190</f>
        <v>0</v>
      </c>
    </row>
    <row r="190" spans="1:3" ht="12.75" hidden="1">
      <c r="A190" s="469"/>
      <c r="B190" s="386"/>
      <c r="C190" s="456"/>
    </row>
    <row r="191" spans="1:3" ht="12.75" hidden="1">
      <c r="A191" s="469"/>
      <c r="B191" s="488"/>
      <c r="C191" s="456"/>
    </row>
    <row r="192" spans="1:3" ht="12.75" hidden="1">
      <c r="A192" s="469"/>
      <c r="B192" s="13"/>
      <c r="C192" s="456"/>
    </row>
    <row r="193" spans="1:3" ht="19.5" customHeight="1">
      <c r="A193" s="489" t="s">
        <v>1215</v>
      </c>
      <c r="B193" s="490" t="s">
        <v>1216</v>
      </c>
      <c r="C193" s="449">
        <f>SUM(C194:C205)</f>
        <v>14970149</v>
      </c>
    </row>
    <row r="194" spans="1:3" ht="12.75" hidden="1">
      <c r="A194" s="491" t="s">
        <v>1217</v>
      </c>
      <c r="B194" s="13"/>
      <c r="C194" s="456"/>
    </row>
    <row r="195" spans="1:3" ht="12.75" hidden="1">
      <c r="A195" s="491" t="s">
        <v>1217</v>
      </c>
      <c r="B195" s="492"/>
      <c r="C195" s="456"/>
    </row>
    <row r="196" spans="1:3" ht="24.75" customHeight="1">
      <c r="A196" s="491" t="s">
        <v>1218</v>
      </c>
      <c r="B196" s="493" t="s">
        <v>1219</v>
      </c>
      <c r="C196" s="475">
        <v>1800000</v>
      </c>
    </row>
    <row r="197" spans="1:3" ht="0.75" customHeight="1" hidden="1">
      <c r="A197" s="458" t="s">
        <v>1218</v>
      </c>
      <c r="B197" s="494"/>
      <c r="C197" s="456"/>
    </row>
    <row r="198" spans="1:3" ht="35.25" customHeight="1">
      <c r="A198" s="491" t="s">
        <v>1218</v>
      </c>
      <c r="B198" s="494" t="s">
        <v>1220</v>
      </c>
      <c r="C198" s="475">
        <v>158550</v>
      </c>
    </row>
    <row r="199" spans="1:3" ht="25.5">
      <c r="A199" s="491" t="s">
        <v>1218</v>
      </c>
      <c r="B199" s="493" t="s">
        <v>1221</v>
      </c>
      <c r="C199" s="495">
        <v>3286399</v>
      </c>
    </row>
    <row r="200" spans="1:3" ht="38.25" customHeight="1">
      <c r="A200" s="491" t="s">
        <v>1218</v>
      </c>
      <c r="B200" s="496" t="s">
        <v>1222</v>
      </c>
      <c r="C200" s="497">
        <v>737089</v>
      </c>
    </row>
    <row r="201" spans="1:3" ht="37.5" customHeight="1">
      <c r="A201" s="491" t="s">
        <v>1218</v>
      </c>
      <c r="B201" s="496" t="s">
        <v>1223</v>
      </c>
      <c r="C201" s="475">
        <v>1085644</v>
      </c>
    </row>
    <row r="202" spans="1:3" ht="35.25" customHeight="1">
      <c r="A202" s="491" t="s">
        <v>1218</v>
      </c>
      <c r="B202" s="494" t="s">
        <v>1224</v>
      </c>
      <c r="C202" s="475">
        <v>1141335</v>
      </c>
    </row>
    <row r="203" spans="1:3" ht="23.25" customHeight="1">
      <c r="A203" s="491" t="s">
        <v>1218</v>
      </c>
      <c r="B203" s="494" t="s">
        <v>1225</v>
      </c>
      <c r="C203" s="456">
        <v>557166</v>
      </c>
    </row>
    <row r="204" spans="1:3" ht="29.25" customHeight="1" hidden="1">
      <c r="A204" s="491" t="s">
        <v>1218</v>
      </c>
      <c r="B204" s="494" t="s">
        <v>1226</v>
      </c>
      <c r="C204" s="456">
        <f>491047-491047</f>
        <v>0</v>
      </c>
    </row>
    <row r="205" spans="1:3" ht="24">
      <c r="A205" s="491" t="s">
        <v>1218</v>
      </c>
      <c r="B205" s="494" t="s">
        <v>1227</v>
      </c>
      <c r="C205" s="475">
        <v>6203966</v>
      </c>
    </row>
    <row r="206" spans="1:3" ht="16.5" customHeight="1">
      <c r="A206" s="387" t="s">
        <v>1228</v>
      </c>
      <c r="B206" s="498" t="s">
        <v>1229</v>
      </c>
      <c r="C206" s="449">
        <f>C209+C213+C221+C223+C225+C227+C229+C241+C231+C236+C238+C233+C207+C215+C219+C211</f>
        <v>474536656</v>
      </c>
    </row>
    <row r="207" spans="1:3" ht="34.5" customHeight="1">
      <c r="A207" s="387" t="s">
        <v>1230</v>
      </c>
      <c r="B207" s="425" t="s">
        <v>1231</v>
      </c>
      <c r="C207" s="473">
        <f>C208</f>
        <v>49242</v>
      </c>
    </row>
    <row r="208" spans="1:3" ht="35.25" customHeight="1">
      <c r="A208" s="7" t="s">
        <v>1232</v>
      </c>
      <c r="B208" s="499" t="s">
        <v>1233</v>
      </c>
      <c r="C208" s="475">
        <f>45722+3520</f>
        <v>49242</v>
      </c>
    </row>
    <row r="209" spans="1:3" ht="23.25" customHeight="1">
      <c r="A209" s="387" t="s">
        <v>1234</v>
      </c>
      <c r="B209" s="425" t="s">
        <v>1235</v>
      </c>
      <c r="C209" s="473">
        <f>C210</f>
        <v>16676179</v>
      </c>
    </row>
    <row r="210" spans="1:3" ht="36" customHeight="1">
      <c r="A210" s="7" t="s">
        <v>1236</v>
      </c>
      <c r="B210" s="13" t="s">
        <v>1237</v>
      </c>
      <c r="C210" s="475">
        <f>16092874+583305</f>
        <v>16676179</v>
      </c>
    </row>
    <row r="211" spans="1:3" s="423" customFormat="1" ht="46.5" customHeight="1">
      <c r="A211" s="402" t="s">
        <v>1238</v>
      </c>
      <c r="B211" s="500" t="s">
        <v>1239</v>
      </c>
      <c r="C211" s="501">
        <f>C212</f>
        <v>11199786</v>
      </c>
    </row>
    <row r="212" spans="1:3" ht="49.5" customHeight="1">
      <c r="A212" s="7" t="s">
        <v>1240</v>
      </c>
      <c r="B212" s="13" t="s">
        <v>1241</v>
      </c>
      <c r="C212" s="475">
        <f>8168395+3031391</f>
        <v>11199786</v>
      </c>
    </row>
    <row r="213" spans="1:3" ht="36">
      <c r="A213" s="502" t="s">
        <v>1242</v>
      </c>
      <c r="B213" s="479" t="s">
        <v>1243</v>
      </c>
      <c r="C213" s="461">
        <f>C214</f>
        <v>64617</v>
      </c>
    </row>
    <row r="214" spans="1:3" s="350" customFormat="1" ht="36" customHeight="1">
      <c r="A214" s="503" t="s">
        <v>1244</v>
      </c>
      <c r="B214" s="386" t="s">
        <v>1245</v>
      </c>
      <c r="C214" s="456">
        <v>64617</v>
      </c>
    </row>
    <row r="215" spans="1:3" s="505" customFormat="1" ht="22.5" customHeight="1">
      <c r="A215" s="502" t="s">
        <v>1246</v>
      </c>
      <c r="B215" s="504" t="s">
        <v>1247</v>
      </c>
      <c r="C215" s="449">
        <f>C216+C217+C218</f>
        <v>50646759</v>
      </c>
    </row>
    <row r="216" spans="1:3" s="350" customFormat="1" ht="39" customHeight="1">
      <c r="A216" s="503" t="s">
        <v>1248</v>
      </c>
      <c r="B216" s="412" t="s">
        <v>1249</v>
      </c>
      <c r="C216" s="456">
        <f>44062680+6584079</f>
        <v>50646759</v>
      </c>
    </row>
    <row r="217" spans="1:3" s="350" customFormat="1" ht="63.75" hidden="1">
      <c r="A217" s="503" t="s">
        <v>1248</v>
      </c>
      <c r="B217" s="412" t="s">
        <v>1250</v>
      </c>
      <c r="C217" s="456"/>
    </row>
    <row r="218" spans="1:3" s="350" customFormat="1" ht="12.75" hidden="1">
      <c r="A218" s="503" t="s">
        <v>1248</v>
      </c>
      <c r="B218" s="412"/>
      <c r="C218" s="456"/>
    </row>
    <row r="219" spans="1:3" s="505" customFormat="1" ht="45.75" customHeight="1">
      <c r="A219" s="502" t="s">
        <v>1251</v>
      </c>
      <c r="B219" s="479" t="s">
        <v>1252</v>
      </c>
      <c r="C219" s="449">
        <f>C220</f>
        <v>16439201</v>
      </c>
    </row>
    <row r="220" spans="1:3" s="350" customFormat="1" ht="36" customHeight="1">
      <c r="A220" s="503" t="s">
        <v>1253</v>
      </c>
      <c r="B220" s="386" t="s">
        <v>1254</v>
      </c>
      <c r="C220" s="456">
        <f>16873920-434719</f>
        <v>16439201</v>
      </c>
    </row>
    <row r="221" spans="1:3" s="437" customFormat="1" ht="24" hidden="1">
      <c r="A221" s="387" t="s">
        <v>1255</v>
      </c>
      <c r="B221" s="506" t="s">
        <v>1256</v>
      </c>
      <c r="C221" s="449">
        <f>C222</f>
        <v>0</v>
      </c>
    </row>
    <row r="222" spans="1:3" s="350" customFormat="1" ht="25.5" hidden="1">
      <c r="A222" s="454" t="s">
        <v>1257</v>
      </c>
      <c r="B222" s="10" t="s">
        <v>1258</v>
      </c>
      <c r="C222" s="456"/>
    </row>
    <row r="223" spans="1:3" ht="24" customHeight="1">
      <c r="A223" s="402" t="s">
        <v>1259</v>
      </c>
      <c r="B223" s="507" t="s">
        <v>1260</v>
      </c>
      <c r="C223" s="461">
        <f>C224</f>
        <v>998000</v>
      </c>
    </row>
    <row r="224" spans="1:3" ht="26.25" customHeight="1">
      <c r="A224" s="7" t="s">
        <v>1261</v>
      </c>
      <c r="B224" s="13" t="s">
        <v>1262</v>
      </c>
      <c r="C224" s="456">
        <v>998000</v>
      </c>
    </row>
    <row r="225" spans="1:3" ht="25.5" hidden="1">
      <c r="A225" s="373" t="s">
        <v>1263</v>
      </c>
      <c r="B225" s="508" t="s">
        <v>1264</v>
      </c>
      <c r="C225" s="456">
        <f>C226</f>
        <v>0</v>
      </c>
    </row>
    <row r="226" spans="1:3" ht="38.25" hidden="1">
      <c r="A226" s="373" t="s">
        <v>1265</v>
      </c>
      <c r="B226" s="508" t="s">
        <v>1266</v>
      </c>
      <c r="C226" s="456"/>
    </row>
    <row r="227" spans="1:3" ht="26.25" customHeight="1" hidden="1">
      <c r="A227" s="373" t="s">
        <v>1267</v>
      </c>
      <c r="B227" s="508" t="s">
        <v>1268</v>
      </c>
      <c r="C227" s="456">
        <f>C228</f>
        <v>0</v>
      </c>
    </row>
    <row r="228" spans="1:3" ht="0.75" customHeight="1" hidden="1">
      <c r="A228" s="373" t="s">
        <v>1269</v>
      </c>
      <c r="B228" s="509"/>
      <c r="C228" s="510"/>
    </row>
    <row r="229" spans="1:3" ht="38.25" customHeight="1" hidden="1">
      <c r="A229" s="351"/>
      <c r="B229" s="351"/>
      <c r="C229" s="456">
        <f>C230</f>
        <v>0</v>
      </c>
    </row>
    <row r="230" spans="1:3" ht="41.25" customHeight="1" hidden="1">
      <c r="A230" s="351"/>
      <c r="B230" s="351"/>
      <c r="C230" s="456"/>
    </row>
    <row r="231" spans="1:3" ht="12.75" hidden="1">
      <c r="A231" s="511" t="s">
        <v>1270</v>
      </c>
      <c r="B231" s="382"/>
      <c r="C231" s="456">
        <f>C232</f>
        <v>0</v>
      </c>
    </row>
    <row r="232" spans="1:3" ht="17.25" customHeight="1" hidden="1">
      <c r="A232" s="512" t="s">
        <v>1271</v>
      </c>
      <c r="B232" s="513"/>
      <c r="C232" s="510"/>
    </row>
    <row r="233" spans="1:3" ht="24" customHeight="1" hidden="1">
      <c r="A233" s="514" t="s">
        <v>1272</v>
      </c>
      <c r="B233" s="515" t="s">
        <v>1273</v>
      </c>
      <c r="C233" s="456"/>
    </row>
    <row r="234" spans="1:3" ht="16.5" customHeight="1" hidden="1">
      <c r="A234" s="514" t="s">
        <v>1274</v>
      </c>
      <c r="B234" s="515" t="s">
        <v>1275</v>
      </c>
      <c r="C234" s="456"/>
    </row>
    <row r="235" spans="1:3" ht="89.25" hidden="1">
      <c r="A235" s="514" t="s">
        <v>1274</v>
      </c>
      <c r="B235" s="515" t="s">
        <v>1276</v>
      </c>
      <c r="C235" s="456"/>
    </row>
    <row r="236" spans="1:3" ht="12.75" hidden="1">
      <c r="A236" s="514"/>
      <c r="B236" s="382"/>
      <c r="C236" s="456"/>
    </row>
    <row r="237" spans="1:3" ht="6" customHeight="1" hidden="1">
      <c r="A237" s="514"/>
      <c r="B237" s="516"/>
      <c r="C237" s="456"/>
    </row>
    <row r="238" spans="1:3" ht="17.25" customHeight="1" hidden="1">
      <c r="A238" s="514"/>
      <c r="B238" s="517"/>
      <c r="C238" s="456"/>
    </row>
    <row r="239" spans="1:3" ht="12.75" hidden="1">
      <c r="A239" s="514"/>
      <c r="B239" s="517"/>
      <c r="C239" s="456"/>
    </row>
    <row r="240" spans="1:3" s="519" customFormat="1" ht="17.25" customHeight="1">
      <c r="A240" s="441" t="s">
        <v>1277</v>
      </c>
      <c r="B240" s="518" t="s">
        <v>1278</v>
      </c>
      <c r="C240" s="449">
        <f>C241</f>
        <v>378462872</v>
      </c>
    </row>
    <row r="241" spans="1:3" ht="15.75" customHeight="1">
      <c r="A241" s="402" t="s">
        <v>1279</v>
      </c>
      <c r="B241" s="518" t="s">
        <v>1280</v>
      </c>
      <c r="C241" s="449">
        <f>SUM(C243:C268)</f>
        <v>378462872</v>
      </c>
    </row>
    <row r="242" spans="1:3" ht="13.5" customHeight="1">
      <c r="A242" s="458"/>
      <c r="B242" s="520" t="s">
        <v>1281</v>
      </c>
      <c r="C242" s="456"/>
    </row>
    <row r="243" spans="1:3" ht="35.25" customHeight="1">
      <c r="A243" s="458" t="s">
        <v>1279</v>
      </c>
      <c r="B243" s="521" t="s">
        <v>1282</v>
      </c>
      <c r="C243" s="475">
        <v>1004100</v>
      </c>
    </row>
    <row r="244" spans="1:3" ht="46.5" customHeight="1">
      <c r="A244" s="458" t="s">
        <v>1279</v>
      </c>
      <c r="B244" s="499" t="s">
        <v>1283</v>
      </c>
      <c r="C244" s="475">
        <v>257764367</v>
      </c>
    </row>
    <row r="245" spans="1:3" ht="48.75" customHeight="1">
      <c r="A245" s="458" t="s">
        <v>1279</v>
      </c>
      <c r="B245" s="499" t="s">
        <v>1284</v>
      </c>
      <c r="C245" s="475">
        <f>23148624-12849574-5374150</f>
        <v>4924900</v>
      </c>
    </row>
    <row r="246" spans="1:3" ht="46.5" customHeight="1">
      <c r="A246" s="458" t="s">
        <v>1279</v>
      </c>
      <c r="B246" s="499" t="s">
        <v>1285</v>
      </c>
      <c r="C246" s="475">
        <v>21136937</v>
      </c>
    </row>
    <row r="247" spans="1:3" ht="60" customHeight="1">
      <c r="A247" s="458" t="s">
        <v>1279</v>
      </c>
      <c r="B247" s="499" t="s">
        <v>1286</v>
      </c>
      <c r="C247" s="475">
        <v>208676</v>
      </c>
    </row>
    <row r="248" spans="1:3" ht="49.5" customHeight="1">
      <c r="A248" s="458" t="s">
        <v>1279</v>
      </c>
      <c r="B248" s="499" t="s">
        <v>1287</v>
      </c>
      <c r="C248" s="522">
        <v>57617557</v>
      </c>
    </row>
    <row r="249" spans="1:3" ht="46.5" customHeight="1">
      <c r="A249" s="458" t="s">
        <v>1279</v>
      </c>
      <c r="B249" s="523" t="s">
        <v>1288</v>
      </c>
      <c r="C249" s="475">
        <v>2320643</v>
      </c>
    </row>
    <row r="250" spans="1:3" ht="59.25" customHeight="1">
      <c r="A250" s="458" t="s">
        <v>1279</v>
      </c>
      <c r="B250" s="499" t="s">
        <v>1289</v>
      </c>
      <c r="C250" s="475">
        <v>289875</v>
      </c>
    </row>
    <row r="251" spans="1:3" ht="34.5" customHeight="1">
      <c r="A251" s="458" t="s">
        <v>1279</v>
      </c>
      <c r="B251" s="499" t="s">
        <v>1290</v>
      </c>
      <c r="C251" s="475">
        <f>1665450-887585-82716</f>
        <v>695149</v>
      </c>
    </row>
    <row r="252" spans="1:3" ht="36" customHeight="1">
      <c r="A252" s="458" t="s">
        <v>1279</v>
      </c>
      <c r="B252" s="499" t="s">
        <v>1291</v>
      </c>
      <c r="C252" s="475">
        <f>56856+3102-49107</f>
        <v>10851</v>
      </c>
    </row>
    <row r="253" spans="1:3" ht="47.25" customHeight="1">
      <c r="A253" s="458" t="s">
        <v>1279</v>
      </c>
      <c r="B253" s="499" t="s">
        <v>1292</v>
      </c>
      <c r="C253" s="475">
        <v>1680820</v>
      </c>
    </row>
    <row r="254" spans="1:3" ht="25.5" customHeight="1">
      <c r="A254" s="458" t="s">
        <v>1279</v>
      </c>
      <c r="B254" s="13" t="s">
        <v>1293</v>
      </c>
      <c r="C254" s="475">
        <v>322552</v>
      </c>
    </row>
    <row r="255" spans="1:3" ht="36" customHeight="1">
      <c r="A255" s="458" t="s">
        <v>1279</v>
      </c>
      <c r="B255" s="499" t="s">
        <v>1294</v>
      </c>
      <c r="C255" s="475">
        <v>334700</v>
      </c>
    </row>
    <row r="256" spans="1:3" ht="35.25" customHeight="1">
      <c r="A256" s="458" t="s">
        <v>1279</v>
      </c>
      <c r="B256" s="499" t="s">
        <v>1295</v>
      </c>
      <c r="C256" s="475">
        <v>334700</v>
      </c>
    </row>
    <row r="257" spans="1:3" ht="29.25" customHeight="1">
      <c r="A257" s="458" t="s">
        <v>1279</v>
      </c>
      <c r="B257" s="13" t="s">
        <v>1296</v>
      </c>
      <c r="C257" s="475">
        <v>334700</v>
      </c>
    </row>
    <row r="258" spans="1:3" ht="1.5" customHeight="1" hidden="1">
      <c r="A258" s="458" t="s">
        <v>1279</v>
      </c>
      <c r="B258" s="13"/>
      <c r="C258" s="475"/>
    </row>
    <row r="259" spans="1:3" ht="26.25" customHeight="1">
      <c r="A259" s="458" t="s">
        <v>1279</v>
      </c>
      <c r="B259" s="12" t="s">
        <v>1297</v>
      </c>
      <c r="C259" s="522">
        <f>9589420+738426</f>
        <v>10327846</v>
      </c>
    </row>
    <row r="260" spans="1:3" ht="26.25" customHeight="1">
      <c r="A260" s="458" t="s">
        <v>1279</v>
      </c>
      <c r="B260" s="10" t="s">
        <v>1298</v>
      </c>
      <c r="C260" s="522">
        <f>2093641+161159</f>
        <v>2254800</v>
      </c>
    </row>
    <row r="261" spans="1:3" ht="48.75" customHeight="1">
      <c r="A261" s="458" t="s">
        <v>1279</v>
      </c>
      <c r="B261" s="499" t="s">
        <v>1299</v>
      </c>
      <c r="C261" s="475">
        <f>204221+15724</f>
        <v>219945</v>
      </c>
    </row>
    <row r="262" spans="1:3" ht="22.5" customHeight="1">
      <c r="A262" s="458" t="s">
        <v>1279</v>
      </c>
      <c r="B262" s="499" t="s">
        <v>1300</v>
      </c>
      <c r="C262" s="475">
        <v>2342900</v>
      </c>
    </row>
    <row r="263" spans="1:3" ht="35.25" customHeight="1">
      <c r="A263" s="458" t="s">
        <v>1279</v>
      </c>
      <c r="B263" s="499" t="s">
        <v>1301</v>
      </c>
      <c r="C263" s="475">
        <v>1094800</v>
      </c>
    </row>
    <row r="264" spans="1:3" ht="38.25" hidden="1">
      <c r="A264" s="458" t="s">
        <v>1279</v>
      </c>
      <c r="B264" s="13" t="s">
        <v>1302</v>
      </c>
      <c r="C264" s="475"/>
    </row>
    <row r="265" spans="1:3" ht="36" customHeight="1">
      <c r="A265" s="458" t="s">
        <v>1279</v>
      </c>
      <c r="B265" s="499" t="s">
        <v>1303</v>
      </c>
      <c r="C265" s="475">
        <v>987755</v>
      </c>
    </row>
    <row r="266" spans="1:3" ht="35.25" customHeight="1">
      <c r="A266" s="458" t="s">
        <v>1279</v>
      </c>
      <c r="B266" s="499" t="s">
        <v>1304</v>
      </c>
      <c r="C266" s="475">
        <v>851087</v>
      </c>
    </row>
    <row r="267" spans="1:3" ht="35.25" customHeight="1">
      <c r="A267" s="458" t="s">
        <v>1279</v>
      </c>
      <c r="B267" s="521" t="s">
        <v>1305</v>
      </c>
      <c r="C267" s="475">
        <v>33470</v>
      </c>
    </row>
    <row r="268" spans="1:3" ht="35.25" customHeight="1">
      <c r="A268" s="458" t="s">
        <v>1279</v>
      </c>
      <c r="B268" s="499" t="s">
        <v>1306</v>
      </c>
      <c r="C268" s="475">
        <v>11369742</v>
      </c>
    </row>
    <row r="269" spans="1:3" s="301" customFormat="1" ht="18" customHeight="1">
      <c r="A269" s="524" t="s">
        <v>1307</v>
      </c>
      <c r="B269" s="525" t="s">
        <v>1</v>
      </c>
      <c r="C269" s="461">
        <f>C272+C274+C270</f>
        <v>378000</v>
      </c>
    </row>
    <row r="270" spans="1:3" s="301" customFormat="1" ht="36.75" customHeight="1">
      <c r="A270" s="526" t="s">
        <v>1308</v>
      </c>
      <c r="B270" s="527" t="s">
        <v>1309</v>
      </c>
      <c r="C270" s="473">
        <f>C271</f>
        <v>378000</v>
      </c>
    </row>
    <row r="271" spans="1:3" s="301" customFormat="1" ht="35.25" customHeight="1">
      <c r="A271" s="528" t="s">
        <v>1310</v>
      </c>
      <c r="B271" s="529" t="s">
        <v>1311</v>
      </c>
      <c r="C271" s="475">
        <f>332701+31100-19100+33299</f>
        <v>378000</v>
      </c>
    </row>
    <row r="272" spans="1:3" ht="36" hidden="1">
      <c r="A272" s="467" t="s">
        <v>1312</v>
      </c>
      <c r="B272" s="479" t="s">
        <v>1313</v>
      </c>
      <c r="C272" s="530">
        <f>C273</f>
        <v>0</v>
      </c>
    </row>
    <row r="273" spans="1:3" ht="39" customHeight="1" hidden="1">
      <c r="A273" s="469" t="s">
        <v>1314</v>
      </c>
      <c r="B273" s="412" t="s">
        <v>1315</v>
      </c>
      <c r="C273" s="531"/>
    </row>
    <row r="274" spans="1:3" s="417" customFormat="1" ht="24.75" hidden="1">
      <c r="A274" s="467" t="s">
        <v>1316</v>
      </c>
      <c r="B274" s="486" t="s">
        <v>1317</v>
      </c>
      <c r="C274" s="530">
        <f>C275</f>
        <v>0</v>
      </c>
    </row>
    <row r="275" spans="1:3" ht="8.25" customHeight="1" hidden="1">
      <c r="A275" s="469" t="s">
        <v>1318</v>
      </c>
      <c r="B275" s="487" t="s">
        <v>1319</v>
      </c>
      <c r="C275" s="456"/>
    </row>
    <row r="276" spans="1:3" ht="18.75" customHeight="1">
      <c r="A276" s="532" t="s">
        <v>1320</v>
      </c>
      <c r="B276" s="533" t="s">
        <v>1321</v>
      </c>
      <c r="C276" s="391">
        <f>C277</f>
        <v>4226400</v>
      </c>
    </row>
    <row r="277" spans="1:3" ht="17.25" customHeight="1">
      <c r="A277" s="534" t="s">
        <v>1322</v>
      </c>
      <c r="B277" s="380" t="s">
        <v>1323</v>
      </c>
      <c r="C277" s="535">
        <f>C279+C278</f>
        <v>4226400</v>
      </c>
    </row>
    <row r="278" spans="1:3" ht="24.75" customHeight="1">
      <c r="A278" s="536" t="s">
        <v>1324</v>
      </c>
      <c r="B278" s="537" t="s">
        <v>1325</v>
      </c>
      <c r="C278" s="538">
        <v>2726400</v>
      </c>
    </row>
    <row r="279" spans="1:3" s="301" customFormat="1" ht="20.25" customHeight="1">
      <c r="A279" s="536" t="s">
        <v>1326</v>
      </c>
      <c r="B279" s="400" t="s">
        <v>1323</v>
      </c>
      <c r="C279" s="539">
        <v>1500000</v>
      </c>
    </row>
    <row r="280" spans="1:3" s="301" customFormat="1" ht="1.5" customHeight="1" hidden="1">
      <c r="A280" s="540" t="s">
        <v>1327</v>
      </c>
      <c r="B280" s="541" t="s">
        <v>1328</v>
      </c>
      <c r="C280" s="542">
        <f>C281</f>
        <v>0</v>
      </c>
    </row>
    <row r="281" spans="1:3" s="301" customFormat="1" ht="3.75" customHeight="1" hidden="1">
      <c r="A281" s="528" t="s">
        <v>1329</v>
      </c>
      <c r="B281" s="543" t="s">
        <v>1330</v>
      </c>
      <c r="C281" s="456">
        <f>C282</f>
        <v>0</v>
      </c>
    </row>
    <row r="282" spans="1:3" s="301" customFormat="1" ht="36" hidden="1">
      <c r="A282" s="528" t="s">
        <v>1331</v>
      </c>
      <c r="B282" s="543" t="s">
        <v>1332</v>
      </c>
      <c r="C282" s="456"/>
    </row>
    <row r="283" spans="1:3" s="301" customFormat="1" ht="34.5" customHeight="1">
      <c r="A283" s="544" t="s">
        <v>1333</v>
      </c>
      <c r="B283" s="545" t="s">
        <v>1334</v>
      </c>
      <c r="C283" s="546">
        <f>C284</f>
        <v>-3424422.93</v>
      </c>
    </row>
    <row r="284" spans="1:3" s="301" customFormat="1" ht="38.25">
      <c r="A284" s="547" t="s">
        <v>1335</v>
      </c>
      <c r="B284" s="487" t="s">
        <v>1336</v>
      </c>
      <c r="C284" s="548">
        <f>C285</f>
        <v>-3424422.93</v>
      </c>
    </row>
    <row r="285" spans="1:3" s="301" customFormat="1" ht="38.25">
      <c r="A285" s="547" t="s">
        <v>1337</v>
      </c>
      <c r="B285" s="487" t="s">
        <v>1338</v>
      </c>
      <c r="C285" s="548">
        <v>-3424422.93</v>
      </c>
    </row>
  </sheetData>
  <sheetProtection/>
  <mergeCells count="14">
    <mergeCell ref="A14:C14"/>
    <mergeCell ref="A19:B19"/>
    <mergeCell ref="B7:C7"/>
    <mergeCell ref="B8:C8"/>
    <mergeCell ref="B9:C9"/>
    <mergeCell ref="A10:C10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8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18.125" style="550" customWidth="1"/>
    <col min="2" max="2" width="51.625" style="0" customWidth="1"/>
    <col min="3" max="4" width="12.25390625" style="626" customWidth="1"/>
  </cols>
  <sheetData>
    <row r="1" spans="2:4" ht="12.75" customHeight="1">
      <c r="B1" s="551" t="s">
        <v>1339</v>
      </c>
      <c r="C1" s="551"/>
      <c r="D1" s="551"/>
    </row>
    <row r="2" spans="2:4" ht="11.25" customHeight="1">
      <c r="B2" s="352" t="s">
        <v>870</v>
      </c>
      <c r="C2" s="352"/>
      <c r="D2" s="352"/>
    </row>
    <row r="3" spans="2:4" ht="12.75" customHeight="1">
      <c r="B3" s="352" t="s">
        <v>871</v>
      </c>
      <c r="C3" s="352"/>
      <c r="D3" s="352"/>
    </row>
    <row r="4" spans="2:4" ht="12.75" customHeight="1">
      <c r="B4" s="352" t="s">
        <v>872</v>
      </c>
      <c r="C4" s="352"/>
      <c r="D4" s="352"/>
    </row>
    <row r="5" spans="2:4" ht="12.75">
      <c r="B5" s="353" t="s">
        <v>1340</v>
      </c>
      <c r="C5" s="353"/>
      <c r="D5" s="353"/>
    </row>
    <row r="6" spans="2:4" ht="14.25" customHeight="1">
      <c r="B6" s="352" t="s">
        <v>1341</v>
      </c>
      <c r="C6" s="352"/>
      <c r="D6" s="352"/>
    </row>
    <row r="7" spans="2:4" ht="12.75">
      <c r="B7" s="352" t="s">
        <v>875</v>
      </c>
      <c r="C7" s="352"/>
      <c r="D7" s="352"/>
    </row>
    <row r="8" spans="2:4" ht="12.75">
      <c r="B8" s="352" t="s">
        <v>876</v>
      </c>
      <c r="C8" s="352"/>
      <c r="D8" s="352"/>
    </row>
    <row r="9" spans="2:4" ht="12.75">
      <c r="B9" s="352" t="s">
        <v>1342</v>
      </c>
      <c r="C9" s="352"/>
      <c r="D9" s="352"/>
    </row>
    <row r="10" spans="1:4" ht="13.5" customHeight="1">
      <c r="A10" s="354"/>
      <c r="B10" s="354"/>
      <c r="C10" s="552"/>
      <c r="D10" s="552"/>
    </row>
    <row r="11" spans="2:4" ht="12.75" hidden="1">
      <c r="B11" s="341"/>
      <c r="C11" s="553"/>
      <c r="D11" s="553"/>
    </row>
    <row r="12" spans="1:4" ht="15.75" customHeight="1">
      <c r="A12" s="355" t="s">
        <v>878</v>
      </c>
      <c r="B12" s="355"/>
      <c r="C12" s="355"/>
      <c r="D12" s="554"/>
    </row>
    <row r="13" spans="1:4" ht="14.25" customHeight="1">
      <c r="A13" s="355" t="s">
        <v>879</v>
      </c>
      <c r="B13" s="355"/>
      <c r="C13" s="554"/>
      <c r="D13" s="554"/>
    </row>
    <row r="14" spans="1:4" ht="16.5" customHeight="1">
      <c r="A14" s="356" t="s">
        <v>1343</v>
      </c>
      <c r="B14" s="356"/>
      <c r="C14" s="554"/>
      <c r="D14" s="554"/>
    </row>
    <row r="15" spans="1:4" ht="12.75" hidden="1">
      <c r="A15" s="555"/>
      <c r="B15" s="358"/>
      <c r="C15" s="556"/>
      <c r="D15" s="556"/>
    </row>
    <row r="16" spans="1:4" ht="13.5" customHeight="1">
      <c r="A16" s="555"/>
      <c r="B16" s="358"/>
      <c r="C16" s="557"/>
      <c r="D16" s="360" t="s">
        <v>881</v>
      </c>
    </row>
    <row r="17" spans="1:4" ht="38.25" customHeight="1">
      <c r="A17" s="361" t="s">
        <v>787</v>
      </c>
      <c r="B17" s="362" t="s">
        <v>882</v>
      </c>
      <c r="C17" s="363" t="s">
        <v>1344</v>
      </c>
      <c r="D17" s="363" t="s">
        <v>1345</v>
      </c>
    </row>
    <row r="18" spans="1:4" ht="12.75">
      <c r="A18" s="411">
        <v>1</v>
      </c>
      <c r="B18" s="558">
        <v>2</v>
      </c>
      <c r="C18" s="558">
        <v>3</v>
      </c>
      <c r="D18" s="558">
        <v>4</v>
      </c>
    </row>
    <row r="19" spans="1:4" ht="12.75">
      <c r="A19" s="559" t="s">
        <v>884</v>
      </c>
      <c r="B19" s="559"/>
      <c r="C19" s="368">
        <f>C20+C159</f>
        <v>651710898</v>
      </c>
      <c r="D19" s="368">
        <f>D20+D159</f>
        <v>655888556</v>
      </c>
    </row>
    <row r="20" spans="1:4" ht="12.75">
      <c r="A20" s="387" t="s">
        <v>885</v>
      </c>
      <c r="B20" s="388" t="s">
        <v>886</v>
      </c>
      <c r="C20" s="371">
        <f>C23+C39+C54+C63+C85+C92+C96+C116+C119+C154+C60+C29</f>
        <v>156754731</v>
      </c>
      <c r="D20" s="371">
        <f>D23+D39+D54+D63+D85+D92+D96+D116+D119+D154+D60+D29</f>
        <v>158618230</v>
      </c>
    </row>
    <row r="21" spans="1:4" s="563" customFormat="1" ht="12.75" hidden="1">
      <c r="A21" s="560"/>
      <c r="B21" s="561" t="s">
        <v>1346</v>
      </c>
      <c r="C21" s="562">
        <f>C22+C62+C159</f>
        <v>651710898</v>
      </c>
      <c r="D21" s="562">
        <f>D22+D62+D159</f>
        <v>655888556</v>
      </c>
    </row>
    <row r="22" spans="1:4" s="567" customFormat="1" ht="12.75" hidden="1">
      <c r="A22" s="564"/>
      <c r="B22" s="565" t="s">
        <v>1347</v>
      </c>
      <c r="C22" s="566">
        <f>C23+C29+C39+C54</f>
        <v>145489030</v>
      </c>
      <c r="D22" s="566">
        <f>D23+D29+D39+D54</f>
        <v>147352529</v>
      </c>
    </row>
    <row r="23" spans="1:4" s="350" customFormat="1" ht="17.25" customHeight="1">
      <c r="A23" s="402" t="s">
        <v>887</v>
      </c>
      <c r="B23" s="568" t="s">
        <v>888</v>
      </c>
      <c r="C23" s="391">
        <f>C24</f>
        <v>133222764</v>
      </c>
      <c r="D23" s="391">
        <f>D24</f>
        <v>134908313</v>
      </c>
    </row>
    <row r="24" spans="1:4" ht="17.25" customHeight="1">
      <c r="A24" s="387" t="s">
        <v>889</v>
      </c>
      <c r="B24" s="372" t="s">
        <v>890</v>
      </c>
      <c r="C24" s="371">
        <f>C25+C26+C27+C28</f>
        <v>133222764</v>
      </c>
      <c r="D24" s="371">
        <f>D25+D26+D27+D28</f>
        <v>134908313</v>
      </c>
    </row>
    <row r="25" spans="1:4" ht="64.5" customHeight="1">
      <c r="A25" s="373" t="s">
        <v>891</v>
      </c>
      <c r="B25" s="382" t="s">
        <v>892</v>
      </c>
      <c r="C25" s="375">
        <v>130788982</v>
      </c>
      <c r="D25" s="375">
        <v>132522692</v>
      </c>
    </row>
    <row r="26" spans="1:4" ht="82.5" customHeight="1">
      <c r="A26" s="373" t="s">
        <v>1348</v>
      </c>
      <c r="B26" s="374" t="s">
        <v>894</v>
      </c>
      <c r="C26" s="375">
        <v>1111891</v>
      </c>
      <c r="D26" s="375">
        <v>1121278</v>
      </c>
    </row>
    <row r="27" spans="1:4" ht="38.25">
      <c r="A27" s="7" t="s">
        <v>1349</v>
      </c>
      <c r="B27" s="382" t="s">
        <v>896</v>
      </c>
      <c r="C27" s="377">
        <v>1321891</v>
      </c>
      <c r="D27" s="377">
        <v>1264343</v>
      </c>
    </row>
    <row r="28" spans="1:4" ht="76.5" hidden="1">
      <c r="A28" s="373" t="s">
        <v>897</v>
      </c>
      <c r="B28" s="382" t="s">
        <v>1350</v>
      </c>
      <c r="C28" s="375"/>
      <c r="D28" s="375"/>
    </row>
    <row r="29" spans="1:4" s="381" customFormat="1" ht="27" customHeight="1">
      <c r="A29" s="379" t="s">
        <v>901</v>
      </c>
      <c r="B29" s="533" t="s">
        <v>902</v>
      </c>
      <c r="C29" s="569">
        <f>C30</f>
        <v>5871660</v>
      </c>
      <c r="D29" s="569">
        <f>D30</f>
        <v>6016620</v>
      </c>
    </row>
    <row r="30" spans="1:4" s="381" customFormat="1" ht="27" customHeight="1">
      <c r="A30" s="379" t="s">
        <v>903</v>
      </c>
      <c r="B30" s="382" t="s">
        <v>904</v>
      </c>
      <c r="C30" s="569">
        <f>C31+C33+C35+C37</f>
        <v>5871660</v>
      </c>
      <c r="D30" s="569">
        <f>D31+D33+D35+D37</f>
        <v>6016620</v>
      </c>
    </row>
    <row r="31" spans="1:4" ht="57.75" customHeight="1">
      <c r="A31" s="379" t="s">
        <v>905</v>
      </c>
      <c r="B31" s="383" t="s">
        <v>906</v>
      </c>
      <c r="C31" s="371">
        <f>C32</f>
        <v>2626970</v>
      </c>
      <c r="D31" s="371">
        <f>D32</f>
        <v>2649040</v>
      </c>
    </row>
    <row r="32" spans="1:4" ht="83.25" customHeight="1">
      <c r="A32" s="384" t="s">
        <v>907</v>
      </c>
      <c r="B32" s="386" t="s">
        <v>908</v>
      </c>
      <c r="C32" s="375">
        <v>2626970</v>
      </c>
      <c r="D32" s="375">
        <v>2649040</v>
      </c>
    </row>
    <row r="33" spans="1:4" ht="59.25" customHeight="1">
      <c r="A33" s="379" t="s">
        <v>909</v>
      </c>
      <c r="B33" s="383" t="s">
        <v>910</v>
      </c>
      <c r="C33" s="371">
        <f>C34</f>
        <v>14710</v>
      </c>
      <c r="D33" s="371">
        <f>D34</f>
        <v>15310</v>
      </c>
    </row>
    <row r="34" spans="1:4" ht="104.25" customHeight="1">
      <c r="A34" s="384" t="s">
        <v>911</v>
      </c>
      <c r="B34" s="412" t="s">
        <v>912</v>
      </c>
      <c r="C34" s="570">
        <v>14710</v>
      </c>
      <c r="D34" s="570">
        <v>15310</v>
      </c>
    </row>
    <row r="35" spans="1:4" ht="58.5" customHeight="1">
      <c r="A35" s="379" t="s">
        <v>913</v>
      </c>
      <c r="B35" s="383" t="s">
        <v>914</v>
      </c>
      <c r="C35" s="371">
        <f>C36</f>
        <v>3555500</v>
      </c>
      <c r="D35" s="371">
        <f>D36</f>
        <v>3692230</v>
      </c>
    </row>
    <row r="36" spans="1:4" ht="99" customHeight="1">
      <c r="A36" s="384" t="s">
        <v>915</v>
      </c>
      <c r="B36" s="412" t="s">
        <v>916</v>
      </c>
      <c r="C36" s="375">
        <v>3555500</v>
      </c>
      <c r="D36" s="375">
        <v>3692230</v>
      </c>
    </row>
    <row r="37" spans="1:4" ht="59.25" customHeight="1">
      <c r="A37" s="379" t="s">
        <v>917</v>
      </c>
      <c r="B37" s="383" t="s">
        <v>918</v>
      </c>
      <c r="C37" s="371">
        <f>C38</f>
        <v>-325520</v>
      </c>
      <c r="D37" s="371">
        <f>D38</f>
        <v>-339960</v>
      </c>
    </row>
    <row r="38" spans="1:4" ht="99" customHeight="1">
      <c r="A38" s="384" t="s">
        <v>919</v>
      </c>
      <c r="B38" s="412" t="s">
        <v>920</v>
      </c>
      <c r="C38" s="375">
        <v>-325520</v>
      </c>
      <c r="D38" s="375">
        <v>-339960</v>
      </c>
    </row>
    <row r="39" spans="1:4" ht="16.5" customHeight="1">
      <c r="A39" s="387" t="s">
        <v>921</v>
      </c>
      <c r="B39" s="388" t="s">
        <v>922</v>
      </c>
      <c r="C39" s="399">
        <f>C46+C49+C52+C40</f>
        <v>4937597</v>
      </c>
      <c r="D39" s="399">
        <f>D46+D49+D52+D40</f>
        <v>4970587</v>
      </c>
    </row>
    <row r="40" spans="1:4" ht="28.5" customHeight="1">
      <c r="A40" s="446" t="s">
        <v>923</v>
      </c>
      <c r="B40" s="568" t="s">
        <v>924</v>
      </c>
      <c r="C40" s="394">
        <f>C41+C43+C45</f>
        <v>2113536</v>
      </c>
      <c r="D40" s="394">
        <f>D41+D43+D45</f>
        <v>2124104</v>
      </c>
    </row>
    <row r="41" spans="1:4" ht="26.25" customHeight="1">
      <c r="A41" s="446" t="s">
        <v>925</v>
      </c>
      <c r="B41" s="568" t="s">
        <v>1351</v>
      </c>
      <c r="C41" s="394">
        <f>C42</f>
        <v>1847954</v>
      </c>
      <c r="D41" s="394">
        <f>D42</f>
        <v>1857194</v>
      </c>
    </row>
    <row r="42" spans="1:4" ht="27" customHeight="1">
      <c r="A42" s="571" t="s">
        <v>927</v>
      </c>
      <c r="B42" s="16" t="s">
        <v>1351</v>
      </c>
      <c r="C42" s="377">
        <v>1847954</v>
      </c>
      <c r="D42" s="377">
        <v>1857194</v>
      </c>
    </row>
    <row r="43" spans="1:4" ht="39" customHeight="1">
      <c r="A43" s="571" t="s">
        <v>928</v>
      </c>
      <c r="B43" s="10" t="s">
        <v>929</v>
      </c>
      <c r="C43" s="394">
        <f>C44</f>
        <v>265582</v>
      </c>
      <c r="D43" s="394">
        <f>D44</f>
        <v>266910</v>
      </c>
    </row>
    <row r="44" spans="1:4" ht="51" customHeight="1">
      <c r="A44" s="572" t="s">
        <v>930</v>
      </c>
      <c r="B44" s="10" t="s">
        <v>931</v>
      </c>
      <c r="C44" s="375">
        <v>265582</v>
      </c>
      <c r="D44" s="375">
        <v>266910</v>
      </c>
    </row>
    <row r="45" spans="1:4" ht="27" customHeight="1" hidden="1">
      <c r="A45" s="573" t="s">
        <v>932</v>
      </c>
      <c r="B45" s="574" t="s">
        <v>1352</v>
      </c>
      <c r="C45" s="375"/>
      <c r="D45" s="375"/>
    </row>
    <row r="46" spans="1:4" s="301" customFormat="1" ht="15.75" customHeight="1" hidden="1">
      <c r="A46" s="387"/>
      <c r="B46" s="383"/>
      <c r="C46" s="399">
        <f>C47+C48</f>
        <v>0</v>
      </c>
      <c r="D46" s="399">
        <f>D47+D48</f>
        <v>0</v>
      </c>
    </row>
    <row r="47" spans="1:4" ht="17.25" customHeight="1" hidden="1">
      <c r="A47" s="373"/>
      <c r="B47" s="382"/>
      <c r="C47" s="575"/>
      <c r="D47" s="575"/>
    </row>
    <row r="48" spans="1:4" ht="38.25" hidden="1">
      <c r="A48" s="373" t="s">
        <v>1353</v>
      </c>
      <c r="B48" s="382" t="s">
        <v>938</v>
      </c>
      <c r="C48" s="375"/>
      <c r="D48" s="375"/>
    </row>
    <row r="49" spans="1:4" s="301" customFormat="1" ht="16.5" customHeight="1">
      <c r="A49" s="387" t="s">
        <v>939</v>
      </c>
      <c r="B49" s="388" t="s">
        <v>940</v>
      </c>
      <c r="C49" s="399">
        <f>C50+C51</f>
        <v>560548</v>
      </c>
      <c r="D49" s="399">
        <f>D50+D51</f>
        <v>582970</v>
      </c>
    </row>
    <row r="50" spans="1:4" ht="16.5" customHeight="1">
      <c r="A50" s="373" t="s">
        <v>1354</v>
      </c>
      <c r="B50" s="401" t="s">
        <v>940</v>
      </c>
      <c r="C50" s="576">
        <v>560548</v>
      </c>
      <c r="D50" s="577">
        <v>582970</v>
      </c>
    </row>
    <row r="51" spans="1:4" ht="13.5" customHeight="1" hidden="1">
      <c r="A51" s="373" t="s">
        <v>942</v>
      </c>
      <c r="B51" s="382" t="s">
        <v>943</v>
      </c>
      <c r="C51" s="375"/>
      <c r="D51" s="375"/>
    </row>
    <row r="52" spans="1:4" s="301" customFormat="1" ht="25.5">
      <c r="A52" s="387" t="s">
        <v>944</v>
      </c>
      <c r="B52" s="390" t="s">
        <v>945</v>
      </c>
      <c r="C52" s="399">
        <f>C53</f>
        <v>2263513</v>
      </c>
      <c r="D52" s="399">
        <f>D53</f>
        <v>2263513</v>
      </c>
    </row>
    <row r="53" spans="1:4" ht="38.25">
      <c r="A53" s="373" t="s">
        <v>1355</v>
      </c>
      <c r="B53" s="390" t="s">
        <v>947</v>
      </c>
      <c r="C53" s="375">
        <v>2263513</v>
      </c>
      <c r="D53" s="375">
        <v>2263513</v>
      </c>
    </row>
    <row r="54" spans="1:4" ht="18.75" customHeight="1">
      <c r="A54" s="387" t="s">
        <v>948</v>
      </c>
      <c r="B54" s="388" t="s">
        <v>949</v>
      </c>
      <c r="C54" s="371">
        <f>C55+C57</f>
        <v>1457009</v>
      </c>
      <c r="D54" s="371">
        <f>D55+D57</f>
        <v>1457009</v>
      </c>
    </row>
    <row r="55" spans="1:4" ht="26.25" customHeight="1">
      <c r="A55" s="387" t="s">
        <v>950</v>
      </c>
      <c r="B55" s="410" t="s">
        <v>951</v>
      </c>
      <c r="C55" s="371">
        <f>C56</f>
        <v>1457009</v>
      </c>
      <c r="D55" s="371">
        <f>D56</f>
        <v>1457009</v>
      </c>
    </row>
    <row r="56" spans="1:4" ht="39" customHeight="1">
      <c r="A56" s="373" t="s">
        <v>952</v>
      </c>
      <c r="B56" s="382" t="s">
        <v>953</v>
      </c>
      <c r="C56" s="377">
        <v>1457009</v>
      </c>
      <c r="D56" s="377">
        <v>1457009</v>
      </c>
    </row>
    <row r="57" spans="1:4" ht="25.5" customHeight="1" hidden="1">
      <c r="A57" s="578" t="s">
        <v>954</v>
      </c>
      <c r="B57" s="579" t="s">
        <v>955</v>
      </c>
      <c r="C57" s="394"/>
      <c r="D57" s="394"/>
    </row>
    <row r="58" spans="1:4" ht="51" hidden="1">
      <c r="A58" s="373" t="s">
        <v>956</v>
      </c>
      <c r="B58" s="382" t="s">
        <v>957</v>
      </c>
      <c r="C58" s="377"/>
      <c r="D58" s="377"/>
    </row>
    <row r="59" spans="1:4" ht="25.5" hidden="1">
      <c r="A59" s="373" t="s">
        <v>958</v>
      </c>
      <c r="B59" s="382" t="s">
        <v>959</v>
      </c>
      <c r="C59" s="377"/>
      <c r="D59" s="377"/>
    </row>
    <row r="60" spans="1:4" ht="0.75" customHeight="1" hidden="1">
      <c r="A60" s="404" t="s">
        <v>960</v>
      </c>
      <c r="B60" s="405" t="s">
        <v>961</v>
      </c>
      <c r="C60" s="394"/>
      <c r="D60" s="394"/>
    </row>
    <row r="61" spans="1:4" s="358" customFormat="1" ht="51" hidden="1">
      <c r="A61" s="406" t="s">
        <v>962</v>
      </c>
      <c r="B61" s="407" t="s">
        <v>963</v>
      </c>
      <c r="C61" s="377"/>
      <c r="D61" s="377"/>
    </row>
    <row r="62" spans="1:4" s="581" customFormat="1" ht="12.75" hidden="1">
      <c r="A62" s="580"/>
      <c r="B62" s="565" t="s">
        <v>1356</v>
      </c>
      <c r="C62" s="377">
        <f>C63+C85+C92+C96+C119</f>
        <v>11265701</v>
      </c>
      <c r="D62" s="377">
        <f>D63+D85+D92+D96+D119</f>
        <v>11265701</v>
      </c>
    </row>
    <row r="63" spans="1:4" ht="37.5" customHeight="1">
      <c r="A63" s="387" t="s">
        <v>964</v>
      </c>
      <c r="B63" s="408" t="s">
        <v>965</v>
      </c>
      <c r="C63" s="391">
        <f>C64+C66+C68+C70+C78+C80+C82</f>
        <v>6604141</v>
      </c>
      <c r="D63" s="391">
        <f>D64+D66+D68+D70+D78+D80+D82</f>
        <v>6604141</v>
      </c>
    </row>
    <row r="64" spans="1:4" ht="63.75" hidden="1">
      <c r="A64" s="409" t="s">
        <v>966</v>
      </c>
      <c r="B64" s="410" t="s">
        <v>967</v>
      </c>
      <c r="C64" s="391"/>
      <c r="D64" s="391"/>
    </row>
    <row r="65" spans="1:4" ht="51" hidden="1">
      <c r="A65" s="411" t="s">
        <v>968</v>
      </c>
      <c r="B65" s="412" t="s">
        <v>969</v>
      </c>
      <c r="C65" s="582"/>
      <c r="D65" s="582"/>
    </row>
    <row r="66" spans="1:4" ht="12.75" hidden="1">
      <c r="A66" s="409" t="s">
        <v>970</v>
      </c>
      <c r="B66" s="410" t="s">
        <v>971</v>
      </c>
      <c r="C66" s="391"/>
      <c r="D66" s="391"/>
    </row>
    <row r="67" spans="1:4" ht="25.5" hidden="1">
      <c r="A67" s="411" t="s">
        <v>972</v>
      </c>
      <c r="B67" s="382" t="s">
        <v>973</v>
      </c>
      <c r="C67" s="582"/>
      <c r="D67" s="582"/>
    </row>
    <row r="68" spans="1:4" ht="26.25" customHeight="1" hidden="1">
      <c r="A68" s="387" t="s">
        <v>974</v>
      </c>
      <c r="B68" s="410" t="s">
        <v>975</v>
      </c>
      <c r="C68" s="391">
        <f>C69</f>
        <v>0</v>
      </c>
      <c r="D68" s="391">
        <f>D69</f>
        <v>0</v>
      </c>
    </row>
    <row r="69" spans="1:4" ht="26.25" customHeight="1" hidden="1">
      <c r="A69" s="373" t="s">
        <v>976</v>
      </c>
      <c r="B69" s="382" t="s">
        <v>977</v>
      </c>
      <c r="C69" s="582"/>
      <c r="D69" s="582"/>
    </row>
    <row r="70" spans="1:4" ht="70.5" customHeight="1">
      <c r="A70" s="387" t="s">
        <v>978</v>
      </c>
      <c r="B70" s="383" t="s">
        <v>979</v>
      </c>
      <c r="C70" s="391">
        <f>C71+C74+C76</f>
        <v>6604141</v>
      </c>
      <c r="D70" s="391">
        <f>D71+D74+D76</f>
        <v>6604141</v>
      </c>
    </row>
    <row r="71" spans="1:4" ht="47.25" customHeight="1">
      <c r="A71" s="387" t="s">
        <v>980</v>
      </c>
      <c r="B71" s="383" t="s">
        <v>981</v>
      </c>
      <c r="C71" s="391">
        <f>C72+C73</f>
        <v>5033230</v>
      </c>
      <c r="D71" s="391">
        <f>D72+D73</f>
        <v>5033230</v>
      </c>
    </row>
    <row r="72" spans="1:4" ht="69.75" customHeight="1">
      <c r="A72" s="373" t="s">
        <v>1357</v>
      </c>
      <c r="B72" s="386" t="s">
        <v>983</v>
      </c>
      <c r="C72" s="413">
        <v>4168664</v>
      </c>
      <c r="D72" s="413">
        <v>4168664</v>
      </c>
    </row>
    <row r="73" spans="1:4" ht="57" customHeight="1">
      <c r="A73" s="373" t="s">
        <v>1358</v>
      </c>
      <c r="B73" s="374" t="s">
        <v>985</v>
      </c>
      <c r="C73" s="413">
        <v>864566</v>
      </c>
      <c r="D73" s="413">
        <v>864566</v>
      </c>
    </row>
    <row r="74" spans="1:4" ht="15.75" customHeight="1" hidden="1">
      <c r="A74" s="415" t="s">
        <v>986</v>
      </c>
      <c r="B74" s="410" t="s">
        <v>987</v>
      </c>
      <c r="C74" s="377"/>
      <c r="D74" s="377"/>
    </row>
    <row r="75" spans="1:4" ht="15.75" customHeight="1" hidden="1">
      <c r="A75" s="373" t="s">
        <v>988</v>
      </c>
      <c r="B75" s="382" t="s">
        <v>989</v>
      </c>
      <c r="C75" s="377"/>
      <c r="D75" s="377"/>
    </row>
    <row r="76" spans="1:4" ht="71.25" customHeight="1">
      <c r="A76" s="387" t="s">
        <v>990</v>
      </c>
      <c r="B76" s="383" t="s">
        <v>991</v>
      </c>
      <c r="C76" s="394">
        <f>C77</f>
        <v>1570911</v>
      </c>
      <c r="D76" s="394">
        <f>D77</f>
        <v>1570911</v>
      </c>
    </row>
    <row r="77" spans="1:4" ht="48" customHeight="1">
      <c r="A77" s="373" t="s">
        <v>992</v>
      </c>
      <c r="B77" s="374" t="s">
        <v>993</v>
      </c>
      <c r="C77" s="377">
        <v>1570911</v>
      </c>
      <c r="D77" s="377">
        <v>1570911</v>
      </c>
    </row>
    <row r="78" spans="1:4" ht="25.5" hidden="1">
      <c r="A78" s="415" t="s">
        <v>994</v>
      </c>
      <c r="B78" s="410" t="s">
        <v>995</v>
      </c>
      <c r="C78" s="394"/>
      <c r="D78" s="394"/>
    </row>
    <row r="79" spans="1:4" ht="51" hidden="1">
      <c r="A79" s="373" t="s">
        <v>996</v>
      </c>
      <c r="B79" s="382" t="s">
        <v>997</v>
      </c>
      <c r="C79" s="377"/>
      <c r="D79" s="377"/>
    </row>
    <row r="80" spans="1:4" ht="76.5" hidden="1">
      <c r="A80" s="415" t="s">
        <v>998</v>
      </c>
      <c r="B80" s="410" t="s">
        <v>999</v>
      </c>
      <c r="C80" s="394"/>
      <c r="D80" s="394"/>
    </row>
    <row r="81" spans="1:4" ht="76.5" hidden="1">
      <c r="A81" s="373" t="s">
        <v>1000</v>
      </c>
      <c r="B81" s="382" t="s">
        <v>1001</v>
      </c>
      <c r="C81" s="377"/>
      <c r="D81" s="377"/>
    </row>
    <row r="82" spans="1:4" ht="3.75" customHeight="1" hidden="1">
      <c r="A82" s="415" t="s">
        <v>1002</v>
      </c>
      <c r="B82" s="410" t="s">
        <v>1003</v>
      </c>
      <c r="C82" s="394"/>
      <c r="D82" s="394"/>
    </row>
    <row r="83" spans="1:4" ht="76.5" hidden="1">
      <c r="A83" s="373" t="s">
        <v>1004</v>
      </c>
      <c r="B83" s="382" t="s">
        <v>1005</v>
      </c>
      <c r="C83" s="377"/>
      <c r="D83" s="377"/>
    </row>
    <row r="84" spans="1:4" ht="63.75" hidden="1">
      <c r="A84" s="373" t="s">
        <v>1006</v>
      </c>
      <c r="B84" s="382" t="s">
        <v>1007</v>
      </c>
      <c r="C84" s="377"/>
      <c r="D84" s="377"/>
    </row>
    <row r="85" spans="1:4" ht="24" customHeight="1">
      <c r="A85" s="387" t="s">
        <v>1008</v>
      </c>
      <c r="B85" s="410" t="s">
        <v>1009</v>
      </c>
      <c r="C85" s="394">
        <f>C86</f>
        <v>186420</v>
      </c>
      <c r="D85" s="394">
        <f>D86</f>
        <v>186420</v>
      </c>
    </row>
    <row r="86" spans="1:4" ht="15.75" customHeight="1">
      <c r="A86" s="373" t="s">
        <v>1010</v>
      </c>
      <c r="B86" s="400" t="s">
        <v>1011</v>
      </c>
      <c r="C86" s="394">
        <f>SUM(C87:C90)</f>
        <v>186420</v>
      </c>
      <c r="D86" s="394">
        <f>SUM(D87:D90)</f>
        <v>186420</v>
      </c>
    </row>
    <row r="87" spans="1:4" ht="25.5">
      <c r="A87" s="373" t="s">
        <v>1012</v>
      </c>
      <c r="B87" s="583" t="s">
        <v>1013</v>
      </c>
      <c r="C87" s="377">
        <v>129000</v>
      </c>
      <c r="D87" s="377">
        <v>129000</v>
      </c>
    </row>
    <row r="88" spans="1:4" ht="15" customHeight="1" hidden="1">
      <c r="A88" s="373" t="s">
        <v>1014</v>
      </c>
      <c r="B88" s="583" t="s">
        <v>1359</v>
      </c>
      <c r="C88" s="377"/>
      <c r="D88" s="377"/>
    </row>
    <row r="89" spans="1:4" ht="14.25" customHeight="1">
      <c r="A89" s="373" t="s">
        <v>1016</v>
      </c>
      <c r="B89" s="583" t="s">
        <v>1015</v>
      </c>
      <c r="C89" s="377">
        <v>57420</v>
      </c>
      <c r="D89" s="377">
        <v>57420</v>
      </c>
    </row>
    <row r="90" spans="1:4" ht="17.25" customHeight="1" hidden="1">
      <c r="A90" s="387" t="s">
        <v>1017</v>
      </c>
      <c r="B90" s="416" t="s">
        <v>1018</v>
      </c>
      <c r="C90" s="377">
        <f>C91</f>
        <v>0</v>
      </c>
      <c r="D90" s="377">
        <f>D91</f>
        <v>0</v>
      </c>
    </row>
    <row r="91" spans="1:4" ht="17.25" customHeight="1" hidden="1">
      <c r="A91" s="7" t="s">
        <v>1019</v>
      </c>
      <c r="B91" s="418" t="s">
        <v>1020</v>
      </c>
      <c r="C91" s="377"/>
      <c r="D91" s="377"/>
    </row>
    <row r="92" spans="1:4" ht="27" customHeight="1">
      <c r="A92" s="387" t="s">
        <v>1023</v>
      </c>
      <c r="B92" s="408" t="s">
        <v>1024</v>
      </c>
      <c r="C92" s="391">
        <f aca="true" t="shared" si="0" ref="C92:D94">C93</f>
        <v>4095400</v>
      </c>
      <c r="D92" s="391">
        <f t="shared" si="0"/>
        <v>4095400</v>
      </c>
    </row>
    <row r="93" spans="1:4" ht="17.25" customHeight="1">
      <c r="A93" s="387" t="s">
        <v>1025</v>
      </c>
      <c r="B93" s="584" t="s">
        <v>1360</v>
      </c>
      <c r="C93" s="391">
        <f t="shared" si="0"/>
        <v>4095400</v>
      </c>
      <c r="D93" s="391">
        <f t="shared" si="0"/>
        <v>4095400</v>
      </c>
    </row>
    <row r="94" spans="1:4" ht="17.25" customHeight="1">
      <c r="A94" s="369" t="s">
        <v>1027</v>
      </c>
      <c r="B94" s="421" t="s">
        <v>1028</v>
      </c>
      <c r="C94" s="391">
        <f t="shared" si="0"/>
        <v>4095400</v>
      </c>
      <c r="D94" s="391">
        <f t="shared" si="0"/>
        <v>4095400</v>
      </c>
    </row>
    <row r="95" spans="1:4" ht="30" customHeight="1">
      <c r="A95" s="373" t="s">
        <v>1029</v>
      </c>
      <c r="B95" s="382" t="s">
        <v>1030</v>
      </c>
      <c r="C95" s="377">
        <v>4095400</v>
      </c>
      <c r="D95" s="377">
        <v>4095400</v>
      </c>
    </row>
    <row r="96" spans="1:4" ht="27" customHeight="1">
      <c r="A96" s="387" t="s">
        <v>1037</v>
      </c>
      <c r="B96" s="408" t="s">
        <v>1038</v>
      </c>
      <c r="C96" s="394">
        <f>C97+C99+C104+C105+C108+C110</f>
        <v>22000</v>
      </c>
      <c r="D96" s="394">
        <f>D97+D99+D104+D105+D108+D110</f>
        <v>22000</v>
      </c>
    </row>
    <row r="97" spans="1:4" ht="12.75" hidden="1">
      <c r="A97" s="409" t="s">
        <v>1039</v>
      </c>
      <c r="B97" s="410" t="s">
        <v>1040</v>
      </c>
      <c r="C97" s="394"/>
      <c r="D97" s="394"/>
    </row>
    <row r="98" spans="1:4" ht="25.5" hidden="1">
      <c r="A98" s="411" t="s">
        <v>1041</v>
      </c>
      <c r="B98" s="382" t="s">
        <v>1042</v>
      </c>
      <c r="C98" s="377"/>
      <c r="D98" s="377"/>
    </row>
    <row r="99" spans="1:4" ht="63.75" hidden="1">
      <c r="A99" s="409" t="s">
        <v>1043</v>
      </c>
      <c r="B99" s="410" t="s">
        <v>1044</v>
      </c>
      <c r="C99" s="394"/>
      <c r="D99" s="394"/>
    </row>
    <row r="100" spans="1:4" ht="76.5" hidden="1">
      <c r="A100" s="411" t="s">
        <v>1045</v>
      </c>
      <c r="B100" s="382" t="s">
        <v>1046</v>
      </c>
      <c r="C100" s="377"/>
      <c r="D100" s="377"/>
    </row>
    <row r="101" spans="1:4" ht="76.5" hidden="1">
      <c r="A101" s="411" t="s">
        <v>1047</v>
      </c>
      <c r="B101" s="382" t="s">
        <v>1048</v>
      </c>
      <c r="C101" s="377"/>
      <c r="D101" s="377"/>
    </row>
    <row r="102" spans="1:4" ht="76.5" hidden="1">
      <c r="A102" s="411" t="s">
        <v>1049</v>
      </c>
      <c r="B102" s="382" t="s">
        <v>1050</v>
      </c>
      <c r="C102" s="377"/>
      <c r="D102" s="377"/>
    </row>
    <row r="103" spans="1:4" ht="76.5" hidden="1">
      <c r="A103" s="411" t="s">
        <v>1051</v>
      </c>
      <c r="B103" s="382" t="s">
        <v>1052</v>
      </c>
      <c r="C103" s="377"/>
      <c r="D103" s="377"/>
    </row>
    <row r="104" spans="1:4" ht="38.25" hidden="1">
      <c r="A104" s="409" t="s">
        <v>1053</v>
      </c>
      <c r="B104" s="410" t="s">
        <v>1054</v>
      </c>
      <c r="C104" s="394"/>
      <c r="D104" s="394"/>
    </row>
    <row r="105" spans="1:4" ht="51" hidden="1">
      <c r="A105" s="409" t="s">
        <v>1055</v>
      </c>
      <c r="B105" s="410" t="s">
        <v>1056</v>
      </c>
      <c r="C105" s="394"/>
      <c r="D105" s="394"/>
    </row>
    <row r="106" spans="1:4" ht="0.75" customHeight="1" hidden="1">
      <c r="A106" s="411" t="s">
        <v>1057</v>
      </c>
      <c r="B106" s="382" t="s">
        <v>1058</v>
      </c>
      <c r="C106" s="377"/>
      <c r="D106" s="377"/>
    </row>
    <row r="107" spans="1:4" ht="51" hidden="1">
      <c r="A107" s="411" t="s">
        <v>1059</v>
      </c>
      <c r="B107" s="382" t="s">
        <v>1060</v>
      </c>
      <c r="C107" s="377"/>
      <c r="D107" s="377"/>
    </row>
    <row r="108" spans="1:4" ht="12.75" hidden="1">
      <c r="A108" s="409" t="s">
        <v>1061</v>
      </c>
      <c r="B108" s="410" t="s">
        <v>1062</v>
      </c>
      <c r="C108" s="377"/>
      <c r="D108" s="377"/>
    </row>
    <row r="109" spans="1:4" ht="25.5" hidden="1">
      <c r="A109" s="411" t="s">
        <v>1063</v>
      </c>
      <c r="B109" s="382" t="s">
        <v>1064</v>
      </c>
      <c r="C109" s="377"/>
      <c r="D109" s="377"/>
    </row>
    <row r="110" spans="1:4" ht="22.5" customHeight="1">
      <c r="A110" s="409" t="s">
        <v>1065</v>
      </c>
      <c r="B110" s="383" t="s">
        <v>1066</v>
      </c>
      <c r="C110" s="394">
        <f>C111+C114</f>
        <v>22000</v>
      </c>
      <c r="D110" s="394">
        <f>D111+D114</f>
        <v>22000</v>
      </c>
    </row>
    <row r="111" spans="1:4" ht="22.5" customHeight="1">
      <c r="A111" s="387" t="s">
        <v>1067</v>
      </c>
      <c r="B111" s="383" t="s">
        <v>1068</v>
      </c>
      <c r="C111" s="394">
        <f>C112+C113</f>
        <v>22000</v>
      </c>
      <c r="D111" s="394">
        <f>D112+D113</f>
        <v>22000</v>
      </c>
    </row>
    <row r="112" spans="1:4" ht="48">
      <c r="A112" s="373" t="s">
        <v>1361</v>
      </c>
      <c r="B112" s="386" t="s">
        <v>1070</v>
      </c>
      <c r="C112" s="377">
        <v>1000</v>
      </c>
      <c r="D112" s="377">
        <v>1000</v>
      </c>
    </row>
    <row r="113" spans="1:4" ht="36" customHeight="1">
      <c r="A113" s="373" t="s">
        <v>1362</v>
      </c>
      <c r="B113" s="374" t="s">
        <v>1072</v>
      </c>
      <c r="C113" s="377">
        <v>21000</v>
      </c>
      <c r="D113" s="377">
        <v>21000</v>
      </c>
    </row>
    <row r="114" spans="1:4" ht="38.25" hidden="1">
      <c r="A114" s="426" t="s">
        <v>1073</v>
      </c>
      <c r="B114" s="427" t="s">
        <v>1074</v>
      </c>
      <c r="C114" s="377"/>
      <c r="D114" s="377"/>
    </row>
    <row r="115" spans="1:4" ht="41.25" customHeight="1" hidden="1">
      <c r="A115" s="428" t="s">
        <v>1075</v>
      </c>
      <c r="B115" s="412" t="s">
        <v>1076</v>
      </c>
      <c r="C115" s="377"/>
      <c r="D115" s="377"/>
    </row>
    <row r="116" spans="1:4" ht="12.75" hidden="1">
      <c r="A116" s="387" t="s">
        <v>1077</v>
      </c>
      <c r="B116" s="388" t="s">
        <v>1078</v>
      </c>
      <c r="C116" s="394">
        <f>C117</f>
        <v>0</v>
      </c>
      <c r="D116" s="394">
        <f>D117</f>
        <v>0</v>
      </c>
    </row>
    <row r="117" spans="1:4" ht="27" customHeight="1" hidden="1">
      <c r="A117" s="387" t="s">
        <v>1079</v>
      </c>
      <c r="B117" s="410" t="s">
        <v>1080</v>
      </c>
      <c r="C117" s="394">
        <f>C118</f>
        <v>0</v>
      </c>
      <c r="D117" s="394">
        <f>D118</f>
        <v>0</v>
      </c>
    </row>
    <row r="118" spans="1:4" ht="25.5" hidden="1">
      <c r="A118" s="373" t="s">
        <v>1081</v>
      </c>
      <c r="B118" s="382" t="s">
        <v>1082</v>
      </c>
      <c r="C118" s="377"/>
      <c r="D118" s="377"/>
    </row>
    <row r="119" spans="1:4" ht="18.75" customHeight="1">
      <c r="A119" s="402" t="s">
        <v>1083</v>
      </c>
      <c r="B119" s="429" t="s">
        <v>1084</v>
      </c>
      <c r="C119" s="394">
        <f>C120+C143+C148+C146</f>
        <v>357740</v>
      </c>
      <c r="D119" s="394">
        <f>D120+D143+D148+D146</f>
        <v>357740</v>
      </c>
    </row>
    <row r="120" spans="1:4" ht="24" customHeight="1">
      <c r="A120" s="402" t="s">
        <v>1085</v>
      </c>
      <c r="B120" s="585" t="s">
        <v>1086</v>
      </c>
      <c r="C120" s="394">
        <f>C121+C123+C131+C141+C127+C133+C139+C125+C129+C135+C137</f>
        <v>357740</v>
      </c>
      <c r="D120" s="394">
        <f>D121+D123+D131+D141+D127+D133+D139+D125+D129+D135+D137</f>
        <v>357740</v>
      </c>
    </row>
    <row r="121" spans="1:4" ht="45.75" customHeight="1">
      <c r="A121" s="402" t="s">
        <v>1087</v>
      </c>
      <c r="B121" s="585" t="s">
        <v>1088</v>
      </c>
      <c r="C121" s="391">
        <f>C122</f>
        <v>4909</v>
      </c>
      <c r="D121" s="391">
        <f>D122</f>
        <v>4909</v>
      </c>
    </row>
    <row r="122" spans="1:4" ht="58.5" customHeight="1">
      <c r="A122" s="432" t="s">
        <v>1089</v>
      </c>
      <c r="B122" s="17" t="s">
        <v>1090</v>
      </c>
      <c r="C122" s="377">
        <v>4909</v>
      </c>
      <c r="D122" s="377">
        <v>4909</v>
      </c>
    </row>
    <row r="123" spans="1:4" ht="57" customHeight="1">
      <c r="A123" s="402" t="s">
        <v>1091</v>
      </c>
      <c r="B123" s="585" t="s">
        <v>1092</v>
      </c>
      <c r="C123" s="394">
        <f>C124</f>
        <v>55274</v>
      </c>
      <c r="D123" s="394">
        <f>D124</f>
        <v>55274</v>
      </c>
    </row>
    <row r="124" spans="1:4" ht="72.75" customHeight="1">
      <c r="A124" s="432" t="s">
        <v>1093</v>
      </c>
      <c r="B124" s="17" t="s">
        <v>1094</v>
      </c>
      <c r="C124" s="377">
        <v>55274</v>
      </c>
      <c r="D124" s="377">
        <v>55274</v>
      </c>
    </row>
    <row r="125" spans="1:4" ht="45" customHeight="1">
      <c r="A125" s="586" t="s">
        <v>1095</v>
      </c>
      <c r="B125" s="585" t="s">
        <v>1096</v>
      </c>
      <c r="C125" s="394">
        <f>C126</f>
        <v>30000</v>
      </c>
      <c r="D125" s="394">
        <f>D126</f>
        <v>30000</v>
      </c>
    </row>
    <row r="126" spans="1:4" ht="60">
      <c r="A126" s="587" t="s">
        <v>1097</v>
      </c>
      <c r="B126" s="17" t="s">
        <v>1098</v>
      </c>
      <c r="C126" s="377">
        <v>30000</v>
      </c>
      <c r="D126" s="377">
        <v>30000</v>
      </c>
    </row>
    <row r="127" spans="1:4" ht="48">
      <c r="A127" s="402" t="s">
        <v>1099</v>
      </c>
      <c r="B127" s="585" t="s">
        <v>1100</v>
      </c>
      <c r="C127" s="394">
        <f>C128</f>
        <v>16000</v>
      </c>
      <c r="D127" s="394">
        <f>D128</f>
        <v>16000</v>
      </c>
    </row>
    <row r="128" spans="1:4" ht="61.5" customHeight="1">
      <c r="A128" s="432" t="s">
        <v>1101</v>
      </c>
      <c r="B128" s="17" t="s">
        <v>1102</v>
      </c>
      <c r="C128" s="377">
        <v>16000</v>
      </c>
      <c r="D128" s="377">
        <v>16000</v>
      </c>
    </row>
    <row r="129" spans="1:4" ht="47.25" customHeight="1">
      <c r="A129" s="402" t="s">
        <v>1103</v>
      </c>
      <c r="B129" s="431" t="s">
        <v>1104</v>
      </c>
      <c r="C129" s="394">
        <f>C130</f>
        <v>3640</v>
      </c>
      <c r="D129" s="394">
        <f>D130</f>
        <v>3640</v>
      </c>
    </row>
    <row r="130" spans="1:4" ht="57" customHeight="1">
      <c r="A130" s="432" t="s">
        <v>1105</v>
      </c>
      <c r="B130" s="434" t="s">
        <v>1106</v>
      </c>
      <c r="C130" s="377">
        <v>3640</v>
      </c>
      <c r="D130" s="377">
        <v>3640</v>
      </c>
    </row>
    <row r="131" spans="1:4" s="301" customFormat="1" ht="60">
      <c r="A131" s="402" t="s">
        <v>1107</v>
      </c>
      <c r="B131" s="585" t="s">
        <v>1108</v>
      </c>
      <c r="C131" s="394">
        <f>C132</f>
        <v>7484</v>
      </c>
      <c r="D131" s="394">
        <f>D132</f>
        <v>7484</v>
      </c>
    </row>
    <row r="132" spans="1:4" ht="72">
      <c r="A132" s="432" t="s">
        <v>1109</v>
      </c>
      <c r="B132" s="17" t="s">
        <v>1110</v>
      </c>
      <c r="C132" s="377">
        <v>7484</v>
      </c>
      <c r="D132" s="377">
        <v>7484</v>
      </c>
    </row>
    <row r="133" spans="1:4" ht="49.5" customHeight="1">
      <c r="A133" s="586" t="s">
        <v>1111</v>
      </c>
      <c r="B133" s="585" t="s">
        <v>1112</v>
      </c>
      <c r="C133" s="391">
        <f>C134</f>
        <v>9500</v>
      </c>
      <c r="D133" s="391">
        <f>D134</f>
        <v>9500</v>
      </c>
    </row>
    <row r="134" spans="1:4" ht="84">
      <c r="A134" s="587" t="s">
        <v>1113</v>
      </c>
      <c r="B134" s="588" t="s">
        <v>1114</v>
      </c>
      <c r="C134" s="377">
        <v>9500</v>
      </c>
      <c r="D134" s="377">
        <v>9500</v>
      </c>
    </row>
    <row r="135" spans="1:4" ht="48">
      <c r="A135" s="435" t="s">
        <v>1115</v>
      </c>
      <c r="B135" s="431" t="s">
        <v>1116</v>
      </c>
      <c r="C135" s="394">
        <f>C136</f>
        <v>1089</v>
      </c>
      <c r="D135" s="394">
        <f>D136</f>
        <v>1089</v>
      </c>
    </row>
    <row r="136" spans="1:4" ht="57" customHeight="1">
      <c r="A136" s="436" t="s">
        <v>1117</v>
      </c>
      <c r="B136" s="434" t="s">
        <v>1118</v>
      </c>
      <c r="C136" s="377">
        <v>1089</v>
      </c>
      <c r="D136" s="377">
        <v>1089</v>
      </c>
    </row>
    <row r="137" spans="1:4" ht="70.5" customHeight="1">
      <c r="A137" s="435" t="s">
        <v>1119</v>
      </c>
      <c r="B137" s="431" t="s">
        <v>1120</v>
      </c>
      <c r="C137" s="394">
        <f>C138</f>
        <v>35000</v>
      </c>
      <c r="D137" s="394">
        <f>D138</f>
        <v>35000</v>
      </c>
    </row>
    <row r="138" spans="1:4" ht="83.25" customHeight="1">
      <c r="A138" s="436" t="s">
        <v>1121</v>
      </c>
      <c r="B138" s="434" t="s">
        <v>1122</v>
      </c>
      <c r="C138" s="377">
        <v>35000</v>
      </c>
      <c r="D138" s="377">
        <v>35000</v>
      </c>
    </row>
    <row r="139" spans="1:4" ht="46.5" customHeight="1">
      <c r="A139" s="586" t="s">
        <v>1123</v>
      </c>
      <c r="B139" s="585" t="s">
        <v>1124</v>
      </c>
      <c r="C139" s="394">
        <f>C140</f>
        <v>89849</v>
      </c>
      <c r="D139" s="394">
        <f>D140</f>
        <v>89849</v>
      </c>
    </row>
    <row r="140" spans="1:4" ht="57.75" customHeight="1">
      <c r="A140" s="587" t="s">
        <v>1125</v>
      </c>
      <c r="B140" s="17" t="s">
        <v>1126</v>
      </c>
      <c r="C140" s="377">
        <v>89849</v>
      </c>
      <c r="D140" s="377">
        <v>89849</v>
      </c>
    </row>
    <row r="141" spans="1:4" ht="49.5" customHeight="1">
      <c r="A141" s="402" t="s">
        <v>1127</v>
      </c>
      <c r="B141" s="585" t="s">
        <v>1128</v>
      </c>
      <c r="C141" s="394">
        <f>C142</f>
        <v>104995</v>
      </c>
      <c r="D141" s="394">
        <f>D142</f>
        <v>104995</v>
      </c>
    </row>
    <row r="142" spans="1:4" ht="59.25" customHeight="1">
      <c r="A142" s="432" t="s">
        <v>1129</v>
      </c>
      <c r="B142" s="17" t="s">
        <v>1130</v>
      </c>
      <c r="C142" s="377">
        <v>104995</v>
      </c>
      <c r="D142" s="377">
        <v>104995</v>
      </c>
    </row>
    <row r="143" spans="1:4" s="350" customFormat="1" ht="94.5" customHeight="1" hidden="1">
      <c r="A143" s="402" t="s">
        <v>1131</v>
      </c>
      <c r="B143" s="585" t="s">
        <v>1132</v>
      </c>
      <c r="C143" s="394">
        <f>C144</f>
        <v>0</v>
      </c>
      <c r="D143" s="394">
        <f>D144</f>
        <v>0</v>
      </c>
    </row>
    <row r="144" spans="1:4" ht="72" hidden="1">
      <c r="A144" s="402" t="s">
        <v>1363</v>
      </c>
      <c r="B144" s="585" t="s">
        <v>1364</v>
      </c>
      <c r="C144" s="394">
        <f>C145</f>
        <v>0</v>
      </c>
      <c r="D144" s="394">
        <f>D145</f>
        <v>0</v>
      </c>
    </row>
    <row r="145" spans="1:4" ht="48" hidden="1">
      <c r="A145" s="432" t="s">
        <v>1365</v>
      </c>
      <c r="B145" s="17" t="s">
        <v>1366</v>
      </c>
      <c r="C145" s="377"/>
      <c r="D145" s="377"/>
    </row>
    <row r="146" spans="1:4" ht="0.75" customHeight="1" hidden="1">
      <c r="A146" s="402" t="s">
        <v>1137</v>
      </c>
      <c r="B146" s="396" t="s">
        <v>1138</v>
      </c>
      <c r="C146" s="394">
        <f>C147</f>
        <v>0</v>
      </c>
      <c r="D146" s="394">
        <f>D147</f>
        <v>0</v>
      </c>
    </row>
    <row r="147" spans="1:4" ht="36.75" customHeight="1" hidden="1">
      <c r="A147" s="432" t="s">
        <v>1139</v>
      </c>
      <c r="B147" s="589" t="s">
        <v>1140</v>
      </c>
      <c r="C147" s="377"/>
      <c r="D147" s="377"/>
    </row>
    <row r="148" spans="1:4" ht="24" hidden="1">
      <c r="A148" s="402" t="s">
        <v>1141</v>
      </c>
      <c r="B148" s="590" t="s">
        <v>1142</v>
      </c>
      <c r="C148" s="442">
        <f>C149</f>
        <v>0</v>
      </c>
      <c r="D148" s="442">
        <f>D149</f>
        <v>0</v>
      </c>
    </row>
    <row r="149" spans="1:4" ht="60" hidden="1">
      <c r="A149" s="402" t="s">
        <v>1143</v>
      </c>
      <c r="B149" s="585" t="s">
        <v>1144</v>
      </c>
      <c r="C149" s="391">
        <f>C150+C151</f>
        <v>0</v>
      </c>
      <c r="D149" s="391">
        <f>D150+D151</f>
        <v>0</v>
      </c>
    </row>
    <row r="150" spans="1:4" ht="48" hidden="1">
      <c r="A150" s="432" t="s">
        <v>1145</v>
      </c>
      <c r="B150" s="17" t="s">
        <v>1146</v>
      </c>
      <c r="C150" s="377"/>
      <c r="D150" s="394"/>
    </row>
    <row r="151" spans="1:4" ht="60" hidden="1">
      <c r="A151" s="432" t="s">
        <v>1147</v>
      </c>
      <c r="B151" s="17" t="s">
        <v>1148</v>
      </c>
      <c r="C151" s="377"/>
      <c r="D151" s="377"/>
    </row>
    <row r="152" spans="1:4" ht="12.75" hidden="1">
      <c r="A152" s="373"/>
      <c r="B152" s="382"/>
      <c r="C152" s="375"/>
      <c r="D152" s="375"/>
    </row>
    <row r="153" spans="1:4" ht="12.75" hidden="1">
      <c r="A153" s="415"/>
      <c r="B153" s="410"/>
      <c r="C153" s="399"/>
      <c r="D153" s="399"/>
    </row>
    <row r="154" spans="1:4" ht="12.75" hidden="1">
      <c r="A154" s="387" t="s">
        <v>1367</v>
      </c>
      <c r="B154" s="388" t="s">
        <v>1154</v>
      </c>
      <c r="C154" s="371">
        <f>C155+C157</f>
        <v>0</v>
      </c>
      <c r="D154" s="371">
        <f>D155+D157</f>
        <v>0</v>
      </c>
    </row>
    <row r="155" spans="1:4" ht="14.25" hidden="1">
      <c r="A155" s="409" t="s">
        <v>1368</v>
      </c>
      <c r="B155" s="443" t="s">
        <v>1156</v>
      </c>
      <c r="C155" s="371">
        <f>C156</f>
        <v>0</v>
      </c>
      <c r="D155" s="371">
        <f>D156</f>
        <v>0</v>
      </c>
    </row>
    <row r="156" spans="1:4" ht="25.5" hidden="1">
      <c r="A156" s="373" t="s">
        <v>1369</v>
      </c>
      <c r="B156" s="400" t="s">
        <v>1158</v>
      </c>
      <c r="C156" s="375"/>
      <c r="D156" s="591"/>
    </row>
    <row r="157" spans="1:4" ht="12.75" hidden="1">
      <c r="A157" s="387" t="s">
        <v>1159</v>
      </c>
      <c r="B157" s="427" t="s">
        <v>1160</v>
      </c>
      <c r="C157" s="444">
        <f>C158</f>
        <v>0</v>
      </c>
      <c r="D157" s="444">
        <f>D158</f>
        <v>0</v>
      </c>
    </row>
    <row r="158" spans="1:4" ht="25.5" hidden="1">
      <c r="A158" s="373" t="s">
        <v>1161</v>
      </c>
      <c r="B158" s="382" t="s">
        <v>1162</v>
      </c>
      <c r="C158" s="445"/>
      <c r="D158" s="592"/>
    </row>
    <row r="159" spans="1:4" ht="17.25" customHeight="1">
      <c r="A159" s="446" t="s">
        <v>1163</v>
      </c>
      <c r="B159" s="447" t="s">
        <v>1164</v>
      </c>
      <c r="C159" s="442">
        <f>C160+C265</f>
        <v>494956167</v>
      </c>
      <c r="D159" s="442">
        <f>D160+D265</f>
        <v>497270326</v>
      </c>
    </row>
    <row r="160" spans="1:4" ht="26.25" customHeight="1">
      <c r="A160" s="446" t="s">
        <v>1165</v>
      </c>
      <c r="B160" s="448" t="s">
        <v>1166</v>
      </c>
      <c r="C160" s="449">
        <f>C161+C166+C203+C260</f>
        <v>490729767</v>
      </c>
      <c r="D160" s="449">
        <f>D161+D166+D203+D260</f>
        <v>493043926</v>
      </c>
    </row>
    <row r="161" spans="1:4" ht="16.5" customHeight="1">
      <c r="A161" s="450" t="s">
        <v>1167</v>
      </c>
      <c r="B161" s="593" t="s">
        <v>1168</v>
      </c>
      <c r="C161" s="452">
        <f>C162+C164</f>
        <v>1715806</v>
      </c>
      <c r="D161" s="452">
        <f>D162+D164</f>
        <v>1161845</v>
      </c>
    </row>
    <row r="162" spans="1:4" ht="15.75" customHeight="1">
      <c r="A162" s="450" t="s">
        <v>1169</v>
      </c>
      <c r="B162" s="594" t="s">
        <v>1170</v>
      </c>
      <c r="C162" s="452">
        <f>C163</f>
        <v>1715806</v>
      </c>
      <c r="D162" s="452">
        <f>D163</f>
        <v>1161845</v>
      </c>
    </row>
    <row r="163" spans="1:4" ht="25.5" customHeight="1">
      <c r="A163" s="454" t="s">
        <v>1171</v>
      </c>
      <c r="B163" s="595" t="s">
        <v>1172</v>
      </c>
      <c r="C163" s="456">
        <v>1715806</v>
      </c>
      <c r="D163" s="456">
        <v>1161845</v>
      </c>
    </row>
    <row r="164" spans="1:4" s="417" customFormat="1" ht="25.5" hidden="1">
      <c r="A164" s="596" t="s">
        <v>1173</v>
      </c>
      <c r="B164" s="457" t="s">
        <v>1174</v>
      </c>
      <c r="C164" s="461"/>
      <c r="D164" s="461"/>
    </row>
    <row r="165" spans="1:4" ht="25.5" hidden="1">
      <c r="A165" s="454" t="s">
        <v>1175</v>
      </c>
      <c r="B165" s="459" t="s">
        <v>1176</v>
      </c>
      <c r="C165" s="456"/>
      <c r="D165" s="456"/>
    </row>
    <row r="166" spans="1:4" ht="23.25" customHeight="1">
      <c r="A166" s="387" t="s">
        <v>1181</v>
      </c>
      <c r="B166" s="425" t="s">
        <v>1182</v>
      </c>
      <c r="C166" s="449">
        <f>C167+C171+C192+C173+C175+C182+C184+C177+C179</f>
        <v>18019516</v>
      </c>
      <c r="D166" s="449">
        <f>D167+D171+D192+D173+D175+D182+D184+D177+D179</f>
        <v>22182722</v>
      </c>
    </row>
    <row r="167" spans="1:4" s="301" customFormat="1" ht="12.75" hidden="1">
      <c r="A167" s="597"/>
      <c r="B167" s="598"/>
      <c r="C167" s="461"/>
      <c r="D167" s="461"/>
    </row>
    <row r="168" spans="1:4" ht="12.75" hidden="1">
      <c r="A168" s="491"/>
      <c r="B168" s="599"/>
      <c r="C168" s="456"/>
      <c r="D168" s="456"/>
    </row>
    <row r="169" spans="1:4" ht="12.75" hidden="1">
      <c r="A169" s="491"/>
      <c r="B169" s="599"/>
      <c r="C169" s="456"/>
      <c r="D169" s="456"/>
    </row>
    <row r="170" spans="1:4" ht="12.75" hidden="1">
      <c r="A170" s="491"/>
      <c r="B170" s="599"/>
      <c r="C170" s="456"/>
      <c r="D170" s="456"/>
    </row>
    <row r="171" spans="1:4" s="301" customFormat="1" ht="24" hidden="1">
      <c r="A171" s="600" t="s">
        <v>1370</v>
      </c>
      <c r="B171" s="601" t="s">
        <v>1371</v>
      </c>
      <c r="C171" s="461"/>
      <c r="D171" s="461"/>
    </row>
    <row r="172" spans="1:4" ht="25.5" hidden="1">
      <c r="A172" s="602" t="s">
        <v>1372</v>
      </c>
      <c r="B172" s="603" t="s">
        <v>1373</v>
      </c>
      <c r="C172" s="456"/>
      <c r="D172" s="456"/>
    </row>
    <row r="173" spans="1:4" ht="36">
      <c r="A173" s="467" t="s">
        <v>1374</v>
      </c>
      <c r="B173" s="468" t="s">
        <v>1192</v>
      </c>
      <c r="C173" s="449">
        <f>C174</f>
        <v>0</v>
      </c>
      <c r="D173" s="461">
        <f>D174</f>
        <v>2210000</v>
      </c>
    </row>
    <row r="174" spans="1:4" ht="36">
      <c r="A174" s="469" t="s">
        <v>1375</v>
      </c>
      <c r="B174" s="474" t="s">
        <v>1194</v>
      </c>
      <c r="C174" s="604"/>
      <c r="D174" s="456">
        <f>2165800+44200</f>
        <v>2210000</v>
      </c>
    </row>
    <row r="175" spans="1:4" ht="59.25" customHeight="1">
      <c r="A175" s="467" t="s">
        <v>1376</v>
      </c>
      <c r="B175" s="477" t="s">
        <v>1196</v>
      </c>
      <c r="C175" s="501">
        <f>C176</f>
        <v>4052733</v>
      </c>
      <c r="D175" s="501">
        <f>D176</f>
        <v>5692624</v>
      </c>
    </row>
    <row r="176" spans="1:4" ht="45" customHeight="1">
      <c r="A176" s="469" t="s">
        <v>1377</v>
      </c>
      <c r="B176" s="386" t="s">
        <v>1198</v>
      </c>
      <c r="C176" s="605">
        <f>3971679+81054</f>
        <v>4052733</v>
      </c>
      <c r="D176" s="605">
        <f>5578772+113852</f>
        <v>5692624</v>
      </c>
    </row>
    <row r="177" spans="1:4" ht="34.5" customHeight="1">
      <c r="A177" s="467" t="s">
        <v>1378</v>
      </c>
      <c r="B177" s="479" t="s">
        <v>1200</v>
      </c>
      <c r="C177" s="501">
        <f>C178</f>
        <v>4653840</v>
      </c>
      <c r="D177" s="501">
        <f>D178</f>
        <v>4292360</v>
      </c>
    </row>
    <row r="178" spans="1:4" ht="36.75" customHeight="1">
      <c r="A178" s="469" t="s">
        <v>1379</v>
      </c>
      <c r="B178" s="386" t="s">
        <v>1202</v>
      </c>
      <c r="C178" s="605">
        <f>4560764+93076</f>
        <v>4653840</v>
      </c>
      <c r="D178" s="605">
        <f>4206510+85850</f>
        <v>4292360</v>
      </c>
    </row>
    <row r="179" spans="1:4" ht="45.75" customHeight="1">
      <c r="A179" s="467" t="s">
        <v>1380</v>
      </c>
      <c r="B179" s="479" t="s">
        <v>1204</v>
      </c>
      <c r="C179" s="501">
        <f>C180</f>
        <v>7139510</v>
      </c>
      <c r="D179" s="501">
        <f>D180</f>
        <v>7355005</v>
      </c>
    </row>
    <row r="180" spans="1:4" ht="47.25" customHeight="1">
      <c r="A180" s="469" t="s">
        <v>1381</v>
      </c>
      <c r="B180" s="386" t="s">
        <v>1206</v>
      </c>
      <c r="C180" s="605">
        <f>6211374+928136</f>
        <v>7139510</v>
      </c>
      <c r="D180" s="605">
        <f>6398854+956151</f>
        <v>7355005</v>
      </c>
    </row>
    <row r="181" spans="1:4" ht="12.75" hidden="1">
      <c r="A181" s="469"/>
      <c r="B181" s="606"/>
      <c r="C181" s="456"/>
      <c r="D181" s="456"/>
    </row>
    <row r="182" spans="1:4" ht="24" hidden="1">
      <c r="A182" s="467" t="s">
        <v>1211</v>
      </c>
      <c r="B182" s="607" t="s">
        <v>1382</v>
      </c>
      <c r="C182" s="461">
        <f>C183</f>
        <v>0</v>
      </c>
      <c r="D182" s="461">
        <f>D183</f>
        <v>0</v>
      </c>
    </row>
    <row r="183" spans="1:4" ht="24" hidden="1">
      <c r="A183" s="469" t="s">
        <v>1213</v>
      </c>
      <c r="B183" s="386" t="s">
        <v>1383</v>
      </c>
      <c r="C183" s="456"/>
      <c r="D183" s="456"/>
    </row>
    <row r="184" spans="1:4" ht="12.75" hidden="1">
      <c r="A184" s="467"/>
      <c r="B184" s="603"/>
      <c r="C184" s="461">
        <f>C185</f>
        <v>0</v>
      </c>
      <c r="D184" s="449">
        <f>D185</f>
        <v>0</v>
      </c>
    </row>
    <row r="185" spans="1:4" ht="12.75" hidden="1">
      <c r="A185" s="469"/>
      <c r="B185" s="603"/>
      <c r="C185" s="456"/>
      <c r="D185" s="456"/>
    </row>
    <row r="186" spans="1:4" ht="12.75" hidden="1">
      <c r="A186" s="602"/>
      <c r="B186" s="603"/>
      <c r="C186" s="456"/>
      <c r="D186" s="456"/>
    </row>
    <row r="187" spans="1:4" ht="12.75" hidden="1">
      <c r="A187" s="602"/>
      <c r="B187" s="603"/>
      <c r="C187" s="456"/>
      <c r="D187" s="456"/>
    </row>
    <row r="188" spans="1:4" ht="12.75" hidden="1">
      <c r="A188" s="602"/>
      <c r="B188" s="603"/>
      <c r="C188" s="456"/>
      <c r="D188" s="456"/>
    </row>
    <row r="189" spans="1:4" ht="12.75" hidden="1">
      <c r="A189" s="602"/>
      <c r="B189" s="603"/>
      <c r="C189" s="456"/>
      <c r="D189" s="456"/>
    </row>
    <row r="190" spans="1:4" ht="12.75" hidden="1">
      <c r="A190" s="602"/>
      <c r="B190" s="603"/>
      <c r="C190" s="456"/>
      <c r="D190" s="456"/>
    </row>
    <row r="191" spans="1:4" ht="12.75" hidden="1">
      <c r="A191" s="602"/>
      <c r="B191" s="603"/>
      <c r="C191" s="456"/>
      <c r="D191" s="456"/>
    </row>
    <row r="192" spans="1:4" ht="16.5" customHeight="1">
      <c r="A192" s="608" t="s">
        <v>1215</v>
      </c>
      <c r="B192" s="594" t="s">
        <v>1216</v>
      </c>
      <c r="C192" s="449">
        <f>SUM(C193:C202)</f>
        <v>2173433</v>
      </c>
      <c r="D192" s="449">
        <f>SUM(D193:D202)</f>
        <v>2632733</v>
      </c>
    </row>
    <row r="193" spans="1:4" ht="38.25" hidden="1">
      <c r="A193" s="458" t="s">
        <v>1218</v>
      </c>
      <c r="B193" s="10" t="s">
        <v>1384</v>
      </c>
      <c r="C193" s="456"/>
      <c r="D193" s="456"/>
    </row>
    <row r="194" spans="1:4" ht="51" hidden="1">
      <c r="A194" s="458" t="s">
        <v>1218</v>
      </c>
      <c r="B194" s="382" t="s">
        <v>1385</v>
      </c>
      <c r="C194" s="456"/>
      <c r="D194" s="456"/>
    </row>
    <row r="195" spans="1:4" ht="51" hidden="1">
      <c r="A195" s="458" t="s">
        <v>1218</v>
      </c>
      <c r="B195" s="382" t="s">
        <v>1386</v>
      </c>
      <c r="C195" s="456"/>
      <c r="D195" s="456"/>
    </row>
    <row r="196" spans="1:4" ht="46.5" customHeight="1">
      <c r="A196" s="458" t="s">
        <v>1218</v>
      </c>
      <c r="B196" s="494" t="s">
        <v>1220</v>
      </c>
      <c r="C196" s="456">
        <v>350700</v>
      </c>
      <c r="D196" s="456">
        <v>810000</v>
      </c>
    </row>
    <row r="197" spans="1:4" ht="12.75" hidden="1">
      <c r="A197" s="587" t="s">
        <v>1218</v>
      </c>
      <c r="B197" s="374"/>
      <c r="C197" s="605"/>
      <c r="D197" s="605"/>
    </row>
    <row r="198" spans="1:4" ht="38.25" hidden="1">
      <c r="A198" s="458" t="s">
        <v>1218</v>
      </c>
      <c r="B198" s="609" t="s">
        <v>1387</v>
      </c>
      <c r="C198" s="610"/>
      <c r="D198" s="610"/>
    </row>
    <row r="199" spans="1:4" ht="48">
      <c r="A199" s="458" t="s">
        <v>1218</v>
      </c>
      <c r="B199" s="496" t="s">
        <v>1222</v>
      </c>
      <c r="C199" s="456">
        <v>737089</v>
      </c>
      <c r="D199" s="456">
        <v>737089</v>
      </c>
    </row>
    <row r="200" spans="1:4" ht="46.5" customHeight="1">
      <c r="A200" s="458" t="s">
        <v>1218</v>
      </c>
      <c r="B200" s="496" t="s">
        <v>1223</v>
      </c>
      <c r="C200" s="456">
        <v>1085644</v>
      </c>
      <c r="D200" s="456">
        <v>1085644</v>
      </c>
    </row>
    <row r="201" spans="1:4" ht="51" hidden="1">
      <c r="A201" s="458" t="s">
        <v>1218</v>
      </c>
      <c r="B201" s="382" t="s">
        <v>1388</v>
      </c>
      <c r="C201" s="456"/>
      <c r="D201" s="456"/>
    </row>
    <row r="202" spans="1:4" ht="34.5" customHeight="1" hidden="1">
      <c r="A202" s="458" t="s">
        <v>1218</v>
      </c>
      <c r="B202" s="494" t="s">
        <v>1226</v>
      </c>
      <c r="C202" s="456">
        <f>36408803-36408803</f>
        <v>0</v>
      </c>
      <c r="D202" s="456"/>
    </row>
    <row r="203" spans="1:4" ht="24" customHeight="1">
      <c r="A203" s="387" t="s">
        <v>1228</v>
      </c>
      <c r="B203" s="380" t="s">
        <v>1229</v>
      </c>
      <c r="C203" s="611">
        <f>C206+C208+C214+C216+C218+C220+C222+C234+C224+C229+C231+C226+C204+C212+C210</f>
        <v>470982445</v>
      </c>
      <c r="D203" s="611">
        <f>D206+D208+D214+D216+D218+D220+D222+D234+D224+D229+D231+D226+D204+D212+D210</f>
        <v>469687359</v>
      </c>
    </row>
    <row r="204" spans="1:4" ht="46.5" customHeight="1">
      <c r="A204" s="387" t="s">
        <v>1230</v>
      </c>
      <c r="B204" s="425" t="s">
        <v>1231</v>
      </c>
      <c r="C204" s="461">
        <f>C205</f>
        <v>45722</v>
      </c>
      <c r="D204" s="461">
        <f>D205</f>
        <v>45722</v>
      </c>
    </row>
    <row r="205" spans="1:4" ht="34.5" customHeight="1">
      <c r="A205" s="7" t="s">
        <v>1232</v>
      </c>
      <c r="B205" s="612" t="s">
        <v>1233</v>
      </c>
      <c r="C205" s="456">
        <v>45722</v>
      </c>
      <c r="D205" s="456">
        <v>45722</v>
      </c>
    </row>
    <row r="206" spans="1:4" ht="33.75" customHeight="1">
      <c r="A206" s="387" t="s">
        <v>1234</v>
      </c>
      <c r="B206" s="425" t="s">
        <v>1235</v>
      </c>
      <c r="C206" s="449">
        <f>C207</f>
        <v>16393027</v>
      </c>
      <c r="D206" s="449">
        <f>D207</f>
        <v>16754983</v>
      </c>
    </row>
    <row r="207" spans="1:4" ht="36" customHeight="1">
      <c r="A207" s="7" t="s">
        <v>1236</v>
      </c>
      <c r="B207" s="499" t="s">
        <v>1237</v>
      </c>
      <c r="C207" s="456">
        <v>16393027</v>
      </c>
      <c r="D207" s="456">
        <v>16754983</v>
      </c>
    </row>
    <row r="208" spans="1:4" ht="51" hidden="1">
      <c r="A208" s="503" t="s">
        <v>1389</v>
      </c>
      <c r="B208" s="613" t="s">
        <v>1390</v>
      </c>
      <c r="C208" s="461">
        <f>C209</f>
        <v>0</v>
      </c>
      <c r="D208" s="461">
        <f>D209</f>
        <v>0</v>
      </c>
    </row>
    <row r="209" spans="1:4" s="350" customFormat="1" ht="51" hidden="1">
      <c r="A209" s="503" t="s">
        <v>1391</v>
      </c>
      <c r="B209" s="614" t="s">
        <v>1392</v>
      </c>
      <c r="C209" s="456"/>
      <c r="D209" s="456"/>
    </row>
    <row r="210" spans="1:4" s="350" customFormat="1" ht="48" customHeight="1">
      <c r="A210" s="402" t="s">
        <v>1393</v>
      </c>
      <c r="B210" s="500" t="s">
        <v>1239</v>
      </c>
      <c r="C210" s="449">
        <f>C211</f>
        <v>12252593</v>
      </c>
      <c r="D210" s="449">
        <f>D211</f>
        <v>8168395</v>
      </c>
    </row>
    <row r="211" spans="1:4" s="350" customFormat="1" ht="46.5" customHeight="1">
      <c r="A211" s="7" t="s">
        <v>1394</v>
      </c>
      <c r="B211" s="499" t="s">
        <v>1241</v>
      </c>
      <c r="C211" s="456">
        <v>12252593</v>
      </c>
      <c r="D211" s="456">
        <v>8168395</v>
      </c>
    </row>
    <row r="212" spans="1:4" s="350" customFormat="1" ht="36">
      <c r="A212" s="502" t="s">
        <v>1395</v>
      </c>
      <c r="B212" s="479" t="s">
        <v>1247</v>
      </c>
      <c r="C212" s="449">
        <f>C213</f>
        <v>52313590</v>
      </c>
      <c r="D212" s="449">
        <f>D213</f>
        <v>55606484</v>
      </c>
    </row>
    <row r="213" spans="1:4" s="350" customFormat="1" ht="33.75" customHeight="1">
      <c r="A213" s="503" t="s">
        <v>1248</v>
      </c>
      <c r="B213" s="386" t="s">
        <v>1249</v>
      </c>
      <c r="C213" s="456">
        <f>45512823+6800767</f>
        <v>52313590</v>
      </c>
      <c r="D213" s="456">
        <f>48377641+7228843</f>
        <v>55606484</v>
      </c>
    </row>
    <row r="214" spans="1:4" ht="48">
      <c r="A214" s="502" t="s">
        <v>1396</v>
      </c>
      <c r="B214" s="479" t="s">
        <v>1252</v>
      </c>
      <c r="C214" s="449">
        <f>C215</f>
        <v>16710782</v>
      </c>
      <c r="D214" s="449">
        <f>D215</f>
        <v>16556499</v>
      </c>
    </row>
    <row r="215" spans="1:4" s="350" customFormat="1" ht="48">
      <c r="A215" s="503" t="s">
        <v>1253</v>
      </c>
      <c r="B215" s="386" t="s">
        <v>1254</v>
      </c>
      <c r="C215" s="456">
        <f>16873920-163138</f>
        <v>16710782</v>
      </c>
      <c r="D215" s="456">
        <f>16873920-317421</f>
        <v>16556499</v>
      </c>
    </row>
    <row r="216" spans="1:4" ht="28.5" customHeight="1">
      <c r="A216" s="402" t="s">
        <v>1397</v>
      </c>
      <c r="B216" s="615" t="s">
        <v>1260</v>
      </c>
      <c r="C216" s="461">
        <f>C217</f>
        <v>941000</v>
      </c>
      <c r="D216" s="461">
        <f>D217</f>
        <v>979000</v>
      </c>
    </row>
    <row r="217" spans="1:4" ht="27" customHeight="1">
      <c r="A217" s="7" t="s">
        <v>1398</v>
      </c>
      <c r="B217" s="13" t="s">
        <v>1262</v>
      </c>
      <c r="C217" s="456">
        <v>941000</v>
      </c>
      <c r="D217" s="456">
        <v>979000</v>
      </c>
    </row>
    <row r="218" spans="1:4" ht="38.25" hidden="1">
      <c r="A218" s="373" t="s">
        <v>1265</v>
      </c>
      <c r="B218" s="508" t="s">
        <v>1264</v>
      </c>
      <c r="C218" s="456"/>
      <c r="D218" s="456"/>
    </row>
    <row r="219" spans="1:4" ht="38.25" hidden="1">
      <c r="A219" s="373" t="s">
        <v>1267</v>
      </c>
      <c r="B219" s="508" t="s">
        <v>1266</v>
      </c>
      <c r="C219" s="456"/>
      <c r="D219" s="456"/>
    </row>
    <row r="220" spans="1:4" ht="26.25" customHeight="1" hidden="1">
      <c r="A220" s="373" t="s">
        <v>1269</v>
      </c>
      <c r="B220" s="508" t="s">
        <v>1268</v>
      </c>
      <c r="C220" s="456"/>
      <c r="D220" s="456"/>
    </row>
    <row r="221" spans="1:4" ht="0.75" customHeight="1" hidden="1">
      <c r="A221" s="616"/>
      <c r="B221" s="509"/>
      <c r="C221" s="456"/>
      <c r="D221" s="456"/>
    </row>
    <row r="222" spans="1:4" ht="21" customHeight="1" hidden="1">
      <c r="A222" s="616"/>
      <c r="B222" s="508"/>
      <c r="C222" s="456">
        <f>C223</f>
        <v>0</v>
      </c>
      <c r="D222" s="456">
        <f>D223</f>
        <v>0</v>
      </c>
    </row>
    <row r="223" spans="1:4" ht="39.75" customHeight="1" hidden="1">
      <c r="A223" s="511" t="s">
        <v>1270</v>
      </c>
      <c r="B223" s="12"/>
      <c r="C223" s="456"/>
      <c r="D223" s="456"/>
    </row>
    <row r="224" spans="1:4" ht="12.75" hidden="1">
      <c r="A224" s="512" t="s">
        <v>1271</v>
      </c>
      <c r="B224" s="382"/>
      <c r="C224" s="456"/>
      <c r="D224" s="456"/>
    </row>
    <row r="225" spans="1:4" ht="12.75" hidden="1">
      <c r="A225" s="514" t="s">
        <v>1272</v>
      </c>
      <c r="B225" s="513"/>
      <c r="C225" s="510"/>
      <c r="D225" s="510"/>
    </row>
    <row r="226" spans="1:4" ht="132" customHeight="1" hidden="1">
      <c r="A226" s="514" t="s">
        <v>1274</v>
      </c>
      <c r="B226" s="515" t="s">
        <v>1273</v>
      </c>
      <c r="C226" s="456"/>
      <c r="D226" s="456"/>
    </row>
    <row r="227" spans="1:4" ht="114.75" hidden="1">
      <c r="A227" s="514" t="s">
        <v>1274</v>
      </c>
      <c r="B227" s="515" t="s">
        <v>1275</v>
      </c>
      <c r="C227" s="456"/>
      <c r="D227" s="456"/>
    </row>
    <row r="228" spans="1:4" ht="114.75" hidden="1">
      <c r="A228" s="514"/>
      <c r="B228" s="515" t="s">
        <v>1276</v>
      </c>
      <c r="C228" s="456"/>
      <c r="D228" s="456"/>
    </row>
    <row r="229" spans="1:4" ht="12.75" hidden="1">
      <c r="A229" s="514"/>
      <c r="B229" s="382"/>
      <c r="C229" s="456"/>
      <c r="D229" s="456"/>
    </row>
    <row r="230" spans="1:4" ht="12.75" hidden="1">
      <c r="A230" s="514"/>
      <c r="B230" s="516"/>
      <c r="C230" s="456"/>
      <c r="D230" s="456"/>
    </row>
    <row r="231" spans="1:4" ht="12.75" hidden="1">
      <c r="A231" s="514"/>
      <c r="B231" s="517"/>
      <c r="C231" s="456"/>
      <c r="D231" s="456"/>
    </row>
    <row r="232" spans="1:4" ht="12.75" hidden="1">
      <c r="A232" s="402" t="s">
        <v>1399</v>
      </c>
      <c r="B232" s="517"/>
      <c r="C232" s="456"/>
      <c r="D232" s="456"/>
    </row>
    <row r="233" spans="1:4" s="301" customFormat="1" ht="15.75" customHeight="1">
      <c r="A233" s="402" t="s">
        <v>1277</v>
      </c>
      <c r="B233" s="615" t="s">
        <v>1278</v>
      </c>
      <c r="C233" s="611">
        <f>C234</f>
        <v>372325731</v>
      </c>
      <c r="D233" s="611">
        <f>D234</f>
        <v>371576276</v>
      </c>
    </row>
    <row r="234" spans="1:4" ht="18.75" customHeight="1">
      <c r="A234" s="402" t="s">
        <v>1279</v>
      </c>
      <c r="B234" s="617" t="s">
        <v>1280</v>
      </c>
      <c r="C234" s="611">
        <f>SUM(C236:C259)</f>
        <v>372325731</v>
      </c>
      <c r="D234" s="611">
        <f>SUM(D236:D259)</f>
        <v>371576276</v>
      </c>
    </row>
    <row r="235" spans="1:4" ht="13.5" customHeight="1">
      <c r="A235" s="458"/>
      <c r="B235" s="618" t="s">
        <v>1281</v>
      </c>
      <c r="C235" s="456"/>
      <c r="D235" s="456"/>
    </row>
    <row r="236" spans="1:4" ht="45.75" customHeight="1">
      <c r="A236" s="458" t="s">
        <v>1279</v>
      </c>
      <c r="B236" s="521" t="s">
        <v>1282</v>
      </c>
      <c r="C236" s="456">
        <v>1004100</v>
      </c>
      <c r="D236" s="456">
        <v>1004100</v>
      </c>
    </row>
    <row r="237" spans="1:4" ht="62.25" customHeight="1">
      <c r="A237" s="458" t="s">
        <v>1279</v>
      </c>
      <c r="B237" s="499" t="s">
        <v>1400</v>
      </c>
      <c r="C237" s="456">
        <v>257764367</v>
      </c>
      <c r="D237" s="456">
        <v>257764367</v>
      </c>
    </row>
    <row r="238" spans="1:4" ht="60" customHeight="1">
      <c r="A238" s="458" t="s">
        <v>1279</v>
      </c>
      <c r="B238" s="499" t="s">
        <v>1401</v>
      </c>
      <c r="C238" s="456">
        <v>23148624</v>
      </c>
      <c r="D238" s="456">
        <v>23148624</v>
      </c>
    </row>
    <row r="239" spans="1:4" s="567" customFormat="1" ht="42" customHeight="1" hidden="1">
      <c r="A239" s="619" t="s">
        <v>1279</v>
      </c>
      <c r="B239" s="620"/>
      <c r="C239" s="510"/>
      <c r="D239" s="510"/>
    </row>
    <row r="240" spans="1:4" ht="59.25" customHeight="1">
      <c r="A240" s="458" t="s">
        <v>1279</v>
      </c>
      <c r="B240" s="499" t="s">
        <v>1287</v>
      </c>
      <c r="C240" s="531">
        <v>57617557</v>
      </c>
      <c r="D240" s="531">
        <v>57617557</v>
      </c>
    </row>
    <row r="241" spans="1:4" ht="50.25" customHeight="1">
      <c r="A241" s="458" t="s">
        <v>1279</v>
      </c>
      <c r="B241" s="621" t="s">
        <v>1402</v>
      </c>
      <c r="C241" s="456">
        <v>2320643</v>
      </c>
      <c r="D241" s="456">
        <v>2320643</v>
      </c>
    </row>
    <row r="242" spans="1:4" ht="70.5" customHeight="1">
      <c r="A242" s="458" t="s">
        <v>1279</v>
      </c>
      <c r="B242" s="499" t="s">
        <v>1403</v>
      </c>
      <c r="C242" s="456">
        <v>289875</v>
      </c>
      <c r="D242" s="456">
        <v>289875</v>
      </c>
    </row>
    <row r="243" spans="1:4" ht="45.75" customHeight="1">
      <c r="A243" s="458" t="s">
        <v>1279</v>
      </c>
      <c r="B243" s="499" t="s">
        <v>1404</v>
      </c>
      <c r="C243" s="456">
        <v>1665450</v>
      </c>
      <c r="D243" s="456">
        <v>1665450</v>
      </c>
    </row>
    <row r="244" spans="1:4" ht="47.25" customHeight="1">
      <c r="A244" s="458" t="s">
        <v>1279</v>
      </c>
      <c r="B244" s="499" t="s">
        <v>1405</v>
      </c>
      <c r="C244" s="456">
        <f>56856+3102</f>
        <v>59958</v>
      </c>
      <c r="D244" s="456">
        <f>56856+3102</f>
        <v>59958</v>
      </c>
    </row>
    <row r="245" spans="1:4" ht="24" customHeight="1">
      <c r="A245" s="458" t="s">
        <v>1279</v>
      </c>
      <c r="B245" s="499" t="s">
        <v>1293</v>
      </c>
      <c r="C245" s="456">
        <v>322552</v>
      </c>
      <c r="D245" s="456">
        <v>322552</v>
      </c>
    </row>
    <row r="246" spans="1:4" ht="37.5" customHeight="1">
      <c r="A246" s="458" t="s">
        <v>1279</v>
      </c>
      <c r="B246" s="499" t="s">
        <v>1294</v>
      </c>
      <c r="C246" s="456">
        <v>334700</v>
      </c>
      <c r="D246" s="456">
        <v>334700</v>
      </c>
    </row>
    <row r="247" spans="1:4" ht="34.5" customHeight="1">
      <c r="A247" s="458" t="s">
        <v>1279</v>
      </c>
      <c r="B247" s="499" t="s">
        <v>1295</v>
      </c>
      <c r="C247" s="456">
        <v>334700</v>
      </c>
      <c r="D247" s="456">
        <v>334700</v>
      </c>
    </row>
    <row r="248" spans="1:4" ht="23.25" customHeight="1">
      <c r="A248" s="458" t="s">
        <v>1279</v>
      </c>
      <c r="B248" s="499" t="s">
        <v>1296</v>
      </c>
      <c r="C248" s="456">
        <v>334700</v>
      </c>
      <c r="D248" s="456">
        <v>334700</v>
      </c>
    </row>
    <row r="249" spans="1:4" ht="3" customHeight="1" hidden="1">
      <c r="A249" s="458" t="s">
        <v>1279</v>
      </c>
      <c r="B249" s="13"/>
      <c r="C249" s="456"/>
      <c r="D249" s="456"/>
    </row>
    <row r="250" spans="1:4" ht="24.75" customHeight="1">
      <c r="A250" s="458" t="s">
        <v>1279</v>
      </c>
      <c r="B250" s="612" t="s">
        <v>1297</v>
      </c>
      <c r="C250" s="531">
        <v>9589420</v>
      </c>
      <c r="D250" s="531">
        <v>9589420</v>
      </c>
    </row>
    <row r="251" spans="1:4" ht="23.25" customHeight="1">
      <c r="A251" s="458" t="s">
        <v>1279</v>
      </c>
      <c r="B251" s="521" t="s">
        <v>1298</v>
      </c>
      <c r="C251" s="531">
        <v>2093641</v>
      </c>
      <c r="D251" s="531">
        <v>2093641</v>
      </c>
    </row>
    <row r="252" spans="1:4" ht="59.25" customHeight="1">
      <c r="A252" s="458" t="s">
        <v>1279</v>
      </c>
      <c r="B252" s="499" t="s">
        <v>1299</v>
      </c>
      <c r="C252" s="456">
        <v>204221</v>
      </c>
      <c r="D252" s="456">
        <v>204221</v>
      </c>
    </row>
    <row r="253" spans="1:4" ht="35.25" customHeight="1">
      <c r="A253" s="458" t="s">
        <v>1279</v>
      </c>
      <c r="B253" s="499" t="s">
        <v>1300</v>
      </c>
      <c r="C253" s="456">
        <v>2342900</v>
      </c>
      <c r="D253" s="456">
        <v>2342900</v>
      </c>
    </row>
    <row r="254" spans="1:4" ht="46.5" customHeight="1">
      <c r="A254" s="458" t="s">
        <v>1279</v>
      </c>
      <c r="B254" s="499" t="s">
        <v>1406</v>
      </c>
      <c r="C254" s="456">
        <v>1094800</v>
      </c>
      <c r="D254" s="456">
        <v>1094800</v>
      </c>
    </row>
    <row r="255" spans="1:4" ht="48">
      <c r="A255" s="458" t="s">
        <v>1279</v>
      </c>
      <c r="B255" s="499" t="s">
        <v>1303</v>
      </c>
      <c r="C255" s="456">
        <v>1027291</v>
      </c>
      <c r="D255" s="456">
        <v>1073718</v>
      </c>
    </row>
    <row r="256" spans="1:4" ht="35.25" customHeight="1">
      <c r="A256" s="458" t="s">
        <v>1279</v>
      </c>
      <c r="B256" s="521" t="s">
        <v>1304</v>
      </c>
      <c r="C256" s="456">
        <v>851087</v>
      </c>
      <c r="D256" s="456">
        <v>851087</v>
      </c>
    </row>
    <row r="257" spans="1:4" ht="35.25" customHeight="1">
      <c r="A257" s="458" t="s">
        <v>1279</v>
      </c>
      <c r="B257" s="521" t="s">
        <v>1305</v>
      </c>
      <c r="C257" s="456">
        <v>33470</v>
      </c>
      <c r="D257" s="456">
        <v>33470</v>
      </c>
    </row>
    <row r="258" spans="1:4" ht="12.75" hidden="1">
      <c r="A258" s="458" t="s">
        <v>1407</v>
      </c>
      <c r="B258" s="13"/>
      <c r="C258" s="456"/>
      <c r="D258" s="456"/>
    </row>
    <row r="259" spans="1:4" ht="48">
      <c r="A259" s="458" t="s">
        <v>1279</v>
      </c>
      <c r="B259" s="499" t="s">
        <v>1306</v>
      </c>
      <c r="C259" s="456">
        <v>9891675</v>
      </c>
      <c r="D259" s="456">
        <v>9095793</v>
      </c>
    </row>
    <row r="260" spans="1:4" s="301" customFormat="1" ht="16.5" customHeight="1">
      <c r="A260" s="622" t="s">
        <v>1307</v>
      </c>
      <c r="B260" s="623" t="s">
        <v>1</v>
      </c>
      <c r="C260" s="449">
        <f>C261+C263</f>
        <v>12000</v>
      </c>
      <c r="D260" s="449">
        <f>D261+D263</f>
        <v>12000</v>
      </c>
    </row>
    <row r="261" spans="1:4" s="301" customFormat="1" ht="46.5" customHeight="1">
      <c r="A261" s="467" t="s">
        <v>1308</v>
      </c>
      <c r="B261" s="479" t="s">
        <v>1309</v>
      </c>
      <c r="C261" s="473">
        <f>C262</f>
        <v>12000</v>
      </c>
      <c r="D261" s="473">
        <f>D262</f>
        <v>12000</v>
      </c>
    </row>
    <row r="262" spans="1:4" ht="46.5" customHeight="1">
      <c r="A262" s="469" t="s">
        <v>1310</v>
      </c>
      <c r="B262" s="386" t="s">
        <v>1311</v>
      </c>
      <c r="C262" s="522">
        <f>31100-19100</f>
        <v>12000</v>
      </c>
      <c r="D262" s="522">
        <f>31100-19100</f>
        <v>12000</v>
      </c>
    </row>
    <row r="263" spans="1:4" ht="12.75" hidden="1">
      <c r="A263" s="624"/>
      <c r="B263" s="625"/>
      <c r="C263" s="531"/>
      <c r="D263" s="531"/>
    </row>
    <row r="264" spans="1:4" ht="12.75" hidden="1">
      <c r="A264" s="624"/>
      <c r="B264" s="625"/>
      <c r="C264" s="531"/>
      <c r="D264" s="531"/>
    </row>
    <row r="265" spans="1:4" ht="18.75" customHeight="1">
      <c r="A265" s="532" t="s">
        <v>1320</v>
      </c>
      <c r="B265" s="451" t="s">
        <v>1321</v>
      </c>
      <c r="C265" s="391">
        <f>C266</f>
        <v>4226400</v>
      </c>
      <c r="D265" s="391">
        <f>D266</f>
        <v>4226400</v>
      </c>
    </row>
    <row r="266" spans="1:4" ht="22.5" customHeight="1">
      <c r="A266" s="384" t="s">
        <v>1322</v>
      </c>
      <c r="B266" s="374" t="s">
        <v>1323</v>
      </c>
      <c r="C266" s="449">
        <f>C267+C268</f>
        <v>4226400</v>
      </c>
      <c r="D266" s="449">
        <f>D267+D268</f>
        <v>4226400</v>
      </c>
    </row>
    <row r="267" spans="1:4" ht="34.5" customHeight="1">
      <c r="A267" s="536" t="s">
        <v>1324</v>
      </c>
      <c r="B267" s="386" t="s">
        <v>1325</v>
      </c>
      <c r="C267" s="538">
        <v>2726400</v>
      </c>
      <c r="D267" s="538">
        <v>2726400</v>
      </c>
    </row>
    <row r="268" spans="1:4" s="301" customFormat="1" ht="24" customHeight="1">
      <c r="A268" s="384" t="s">
        <v>1326</v>
      </c>
      <c r="B268" s="374" t="s">
        <v>1323</v>
      </c>
      <c r="C268" s="456">
        <v>1500000</v>
      </c>
      <c r="D268" s="456">
        <v>1500000</v>
      </c>
    </row>
  </sheetData>
  <sheetProtection/>
  <mergeCells count="14">
    <mergeCell ref="A14:B14"/>
    <mergeCell ref="A19:B19"/>
    <mergeCell ref="B7:D7"/>
    <mergeCell ref="B8:D8"/>
    <mergeCell ref="B9:D9"/>
    <mergeCell ref="A10:B10"/>
    <mergeCell ref="A12:C12"/>
    <mergeCell ref="A13:B13"/>
    <mergeCell ref="B1:D1"/>
    <mergeCell ref="B2:D2"/>
    <mergeCell ref="B3:D3"/>
    <mergeCell ref="B4:D4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4"/>
  <sheetViews>
    <sheetView view="pageBreakPreview" zoomScale="60" zoomScalePageLayoutView="0" workbookViewId="0" topLeftCell="A1">
      <selection activeCell="C20" sqref="C20"/>
    </sheetView>
  </sheetViews>
  <sheetFormatPr defaultColWidth="9.00390625" defaultRowHeight="12.75"/>
  <cols>
    <col min="1" max="1" width="64.875" style="2" customWidth="1"/>
    <col min="2" max="2" width="4.875" style="18" customWidth="1"/>
    <col min="3" max="3" width="5.00390625" style="18" customWidth="1"/>
    <col min="4" max="4" width="15.375" style="18" customWidth="1"/>
    <col min="5" max="5" width="7.25390625" style="95" customWidth="1"/>
    <col min="6" max="6" width="15.875" style="96" customWidth="1"/>
    <col min="7" max="7" width="14.375" style="1" customWidth="1"/>
    <col min="8" max="8" width="22.875" style="1" customWidth="1"/>
    <col min="9" max="9" width="20.00390625" style="1" customWidth="1"/>
    <col min="10" max="10" width="13.125" style="1" bestFit="1" customWidth="1"/>
    <col min="11" max="11" width="20.00390625" style="1" customWidth="1"/>
    <col min="12" max="16384" width="9.125" style="1" customWidth="1"/>
  </cols>
  <sheetData>
    <row r="1" spans="1:6" ht="12.75">
      <c r="A1" s="1"/>
      <c r="B1" s="97" t="s">
        <v>2</v>
      </c>
      <c r="C1" s="97"/>
      <c r="D1" s="97"/>
      <c r="E1" s="98"/>
      <c r="F1" s="5"/>
    </row>
    <row r="2" spans="2:6" ht="65.25" customHeight="1">
      <c r="B2" s="237" t="s">
        <v>757</v>
      </c>
      <c r="C2" s="237"/>
      <c r="D2" s="237"/>
      <c r="E2" s="237"/>
      <c r="F2" s="237"/>
    </row>
    <row r="3" spans="2:6" ht="50.25" customHeight="1">
      <c r="B3" s="238" t="s">
        <v>772</v>
      </c>
      <c r="C3" s="238"/>
      <c r="D3" s="238"/>
      <c r="E3" s="238"/>
      <c r="F3" s="238"/>
    </row>
    <row r="4" spans="2:6" ht="21.75" customHeight="1">
      <c r="B4" s="99"/>
      <c r="C4" s="99"/>
      <c r="D4" s="99"/>
      <c r="E4" s="99"/>
      <c r="F4" s="99"/>
    </row>
    <row r="5" spans="1:8" ht="51.75" customHeight="1">
      <c r="A5" s="239" t="s">
        <v>3</v>
      </c>
      <c r="B5" s="239"/>
      <c r="C5" s="239"/>
      <c r="D5" s="239"/>
      <c r="E5" s="239"/>
      <c r="F5" s="239"/>
      <c r="H5" s="111"/>
    </row>
    <row r="6" spans="5:8" ht="15.75">
      <c r="E6" s="19"/>
      <c r="F6" s="20" t="s">
        <v>4</v>
      </c>
      <c r="H6" s="21"/>
    </row>
    <row r="7" spans="1:11" ht="15.75">
      <c r="A7" s="240" t="s">
        <v>5</v>
      </c>
      <c r="B7" s="241" t="s">
        <v>6</v>
      </c>
      <c r="C7" s="241" t="s">
        <v>7</v>
      </c>
      <c r="D7" s="242" t="s">
        <v>8</v>
      </c>
      <c r="E7" s="242" t="s">
        <v>9</v>
      </c>
      <c r="F7" s="243" t="s">
        <v>10</v>
      </c>
      <c r="K7" s="24"/>
    </row>
    <row r="8" spans="1:6" ht="12.75">
      <c r="A8" s="240"/>
      <c r="B8" s="241"/>
      <c r="C8" s="241"/>
      <c r="D8" s="242"/>
      <c r="E8" s="242"/>
      <c r="F8" s="243"/>
    </row>
    <row r="9" spans="1:6" s="28" customFormat="1" ht="12.75">
      <c r="A9" s="6">
        <v>1</v>
      </c>
      <c r="B9" s="25" t="s">
        <v>11</v>
      </c>
      <c r="C9" s="25" t="s">
        <v>12</v>
      </c>
      <c r="D9" s="26" t="s">
        <v>13</v>
      </c>
      <c r="E9" s="26" t="s">
        <v>14</v>
      </c>
      <c r="F9" s="27">
        <v>6</v>
      </c>
    </row>
    <row r="10" spans="1:11" s="34" customFormat="1" ht="20.25">
      <c r="A10" s="15" t="s">
        <v>15</v>
      </c>
      <c r="B10" s="29"/>
      <c r="C10" s="29"/>
      <c r="D10" s="29"/>
      <c r="E10" s="30"/>
      <c r="F10" s="31">
        <f>F11+F196+F279+F325+F511+F560+F632+F649+F656+F554+F177+F318</f>
        <v>752078113.5500001</v>
      </c>
      <c r="G10" s="1"/>
      <c r="H10" s="21"/>
      <c r="I10" s="21"/>
      <c r="J10" s="32"/>
      <c r="K10" s="33"/>
    </row>
    <row r="11" spans="1:9" ht="15">
      <c r="A11" s="16" t="s">
        <v>16</v>
      </c>
      <c r="B11" s="29" t="s">
        <v>17</v>
      </c>
      <c r="C11" s="29"/>
      <c r="D11" s="29"/>
      <c r="E11" s="30"/>
      <c r="F11" s="31">
        <f>F12+F17+F26+F88+F93+F78+F73+F83</f>
        <v>56490829.339999996</v>
      </c>
      <c r="H11" s="32"/>
      <c r="I11" s="21"/>
    </row>
    <row r="12" spans="1:8" ht="26.25">
      <c r="A12" s="8" t="s">
        <v>18</v>
      </c>
      <c r="B12" s="29" t="s">
        <v>17</v>
      </c>
      <c r="C12" s="29" t="s">
        <v>19</v>
      </c>
      <c r="D12" s="29"/>
      <c r="E12" s="30"/>
      <c r="F12" s="31">
        <f>F14</f>
        <v>1569900</v>
      </c>
      <c r="H12" s="21"/>
    </row>
    <row r="13" spans="1:9" ht="15">
      <c r="A13" s="35" t="s">
        <v>20</v>
      </c>
      <c r="B13" s="29" t="s">
        <v>17</v>
      </c>
      <c r="C13" s="29" t="s">
        <v>19</v>
      </c>
      <c r="D13" s="36" t="s">
        <v>21</v>
      </c>
      <c r="E13" s="30"/>
      <c r="F13" s="31">
        <f>F14</f>
        <v>1569900</v>
      </c>
      <c r="H13" s="32"/>
      <c r="I13" s="21"/>
    </row>
    <row r="14" spans="1:6" ht="15">
      <c r="A14" s="16" t="s">
        <v>22</v>
      </c>
      <c r="B14" s="29" t="s">
        <v>17</v>
      </c>
      <c r="C14" s="29" t="s">
        <v>19</v>
      </c>
      <c r="D14" s="36" t="s">
        <v>23</v>
      </c>
      <c r="E14" s="30"/>
      <c r="F14" s="31">
        <f>F16</f>
        <v>1569900</v>
      </c>
    </row>
    <row r="15" spans="1:8" ht="26.25">
      <c r="A15" s="8" t="s">
        <v>24</v>
      </c>
      <c r="B15" s="29" t="s">
        <v>17</v>
      </c>
      <c r="C15" s="29" t="s">
        <v>19</v>
      </c>
      <c r="D15" s="36" t="s">
        <v>25</v>
      </c>
      <c r="E15" s="30"/>
      <c r="F15" s="31">
        <f>F16</f>
        <v>1569900</v>
      </c>
      <c r="H15" s="21"/>
    </row>
    <row r="16" spans="1:8" ht="39">
      <c r="A16" s="35" t="s">
        <v>26</v>
      </c>
      <c r="B16" s="29" t="s">
        <v>17</v>
      </c>
      <c r="C16" s="29" t="s">
        <v>19</v>
      </c>
      <c r="D16" s="36" t="s">
        <v>25</v>
      </c>
      <c r="E16" s="37" t="s">
        <v>27</v>
      </c>
      <c r="F16" s="31">
        <v>1569900</v>
      </c>
      <c r="H16" s="21"/>
    </row>
    <row r="17" spans="1:8" ht="39">
      <c r="A17" s="8" t="s">
        <v>28</v>
      </c>
      <c r="B17" s="29" t="s">
        <v>17</v>
      </c>
      <c r="C17" s="29" t="s">
        <v>29</v>
      </c>
      <c r="D17" s="29"/>
      <c r="E17" s="30"/>
      <c r="F17" s="31">
        <f>F18</f>
        <v>2449000</v>
      </c>
      <c r="H17" s="21"/>
    </row>
    <row r="18" spans="1:6" ht="26.25">
      <c r="A18" s="35" t="s">
        <v>30</v>
      </c>
      <c r="B18" s="29" t="s">
        <v>17</v>
      </c>
      <c r="C18" s="29" t="s">
        <v>29</v>
      </c>
      <c r="D18" s="36" t="s">
        <v>31</v>
      </c>
      <c r="E18" s="30"/>
      <c r="F18" s="31">
        <f>F19+F22</f>
        <v>2449000</v>
      </c>
    </row>
    <row r="19" spans="1:6" ht="15">
      <c r="A19" s="16" t="s">
        <v>32</v>
      </c>
      <c r="B19" s="29" t="s">
        <v>17</v>
      </c>
      <c r="C19" s="29" t="s">
        <v>29</v>
      </c>
      <c r="D19" s="36" t="s">
        <v>33</v>
      </c>
      <c r="E19" s="30"/>
      <c r="F19" s="31">
        <f>F20</f>
        <v>879500</v>
      </c>
    </row>
    <row r="20" spans="1:6" ht="26.25">
      <c r="A20" s="8" t="s">
        <v>24</v>
      </c>
      <c r="B20" s="29" t="s">
        <v>17</v>
      </c>
      <c r="C20" s="29" t="s">
        <v>29</v>
      </c>
      <c r="D20" s="36" t="s">
        <v>34</v>
      </c>
      <c r="E20" s="37"/>
      <c r="F20" s="31">
        <f>F21</f>
        <v>879500</v>
      </c>
    </row>
    <row r="21" spans="1:6" ht="39">
      <c r="A21" s="35" t="s">
        <v>26</v>
      </c>
      <c r="B21" s="29" t="s">
        <v>17</v>
      </c>
      <c r="C21" s="29" t="s">
        <v>29</v>
      </c>
      <c r="D21" s="36" t="s">
        <v>34</v>
      </c>
      <c r="E21" s="37" t="s">
        <v>27</v>
      </c>
      <c r="F21" s="31">
        <v>879500</v>
      </c>
    </row>
    <row r="22" spans="1:6" ht="15">
      <c r="A22" s="16" t="s">
        <v>35</v>
      </c>
      <c r="B22" s="29" t="s">
        <v>17</v>
      </c>
      <c r="C22" s="29" t="s">
        <v>29</v>
      </c>
      <c r="D22" s="36" t="s">
        <v>36</v>
      </c>
      <c r="E22" s="37"/>
      <c r="F22" s="31">
        <f>F23</f>
        <v>1569500</v>
      </c>
    </row>
    <row r="23" spans="1:6" ht="26.25">
      <c r="A23" s="8" t="s">
        <v>24</v>
      </c>
      <c r="B23" s="29" t="s">
        <v>17</v>
      </c>
      <c r="C23" s="29" t="s">
        <v>29</v>
      </c>
      <c r="D23" s="36" t="s">
        <v>37</v>
      </c>
      <c r="E23" s="37"/>
      <c r="F23" s="31">
        <f>F24+F25</f>
        <v>1569500</v>
      </c>
    </row>
    <row r="24" spans="1:6" ht="48.75" customHeight="1">
      <c r="A24" s="35" t="s">
        <v>26</v>
      </c>
      <c r="B24" s="29" t="s">
        <v>17</v>
      </c>
      <c r="C24" s="29" t="s">
        <v>29</v>
      </c>
      <c r="D24" s="36" t="s">
        <v>37</v>
      </c>
      <c r="E24" s="37" t="s">
        <v>27</v>
      </c>
      <c r="F24" s="31">
        <v>1568500</v>
      </c>
    </row>
    <row r="25" spans="1:6" ht="26.25">
      <c r="A25" s="35" t="s">
        <v>38</v>
      </c>
      <c r="B25" s="29" t="s">
        <v>17</v>
      </c>
      <c r="C25" s="29" t="s">
        <v>29</v>
      </c>
      <c r="D25" s="36" t="s">
        <v>37</v>
      </c>
      <c r="E25" s="37" t="s">
        <v>39</v>
      </c>
      <c r="F25" s="31">
        <v>1000</v>
      </c>
    </row>
    <row r="26" spans="1:6" ht="39">
      <c r="A26" s="8" t="s">
        <v>40</v>
      </c>
      <c r="B26" s="29" t="s">
        <v>41</v>
      </c>
      <c r="C26" s="29" t="s">
        <v>42</v>
      </c>
      <c r="D26" s="29"/>
      <c r="E26" s="30"/>
      <c r="F26" s="31">
        <f>F27+F48+F65+F57+F42</f>
        <v>23402022</v>
      </c>
    </row>
    <row r="27" spans="1:6" ht="26.25">
      <c r="A27" s="16" t="s">
        <v>43</v>
      </c>
      <c r="B27" s="29" t="s">
        <v>41</v>
      </c>
      <c r="C27" s="29" t="s">
        <v>42</v>
      </c>
      <c r="D27" s="36" t="s">
        <v>44</v>
      </c>
      <c r="E27" s="37"/>
      <c r="F27" s="31">
        <f>F33+F28</f>
        <v>4441800</v>
      </c>
    </row>
    <row r="28" spans="1:6" s="42" customFormat="1" ht="63.75" customHeight="1">
      <c r="A28" s="35" t="s">
        <v>45</v>
      </c>
      <c r="B28" s="38" t="s">
        <v>17</v>
      </c>
      <c r="C28" s="38" t="s">
        <v>42</v>
      </c>
      <c r="D28" s="39" t="s">
        <v>46</v>
      </c>
      <c r="E28" s="40"/>
      <c r="F28" s="41">
        <f>F30</f>
        <v>1004100</v>
      </c>
    </row>
    <row r="29" spans="1:6" ht="38.25">
      <c r="A29" s="43" t="s">
        <v>47</v>
      </c>
      <c r="B29" s="29" t="s">
        <v>17</v>
      </c>
      <c r="C29" s="29" t="s">
        <v>42</v>
      </c>
      <c r="D29" s="36" t="s">
        <v>48</v>
      </c>
      <c r="E29" s="37"/>
      <c r="F29" s="31">
        <f>F30</f>
        <v>1004100</v>
      </c>
    </row>
    <row r="30" spans="1:6" ht="39">
      <c r="A30" s="44" t="s">
        <v>49</v>
      </c>
      <c r="B30" s="29" t="s">
        <v>17</v>
      </c>
      <c r="C30" s="29" t="s">
        <v>42</v>
      </c>
      <c r="D30" s="36" t="s">
        <v>50</v>
      </c>
      <c r="E30" s="37"/>
      <c r="F30" s="31">
        <f>F31+F32</f>
        <v>1004100</v>
      </c>
    </row>
    <row r="31" spans="1:6" ht="41.25" customHeight="1">
      <c r="A31" s="35" t="s">
        <v>26</v>
      </c>
      <c r="B31" s="29" t="s">
        <v>17</v>
      </c>
      <c r="C31" s="29" t="s">
        <v>42</v>
      </c>
      <c r="D31" s="36" t="s">
        <v>50</v>
      </c>
      <c r="E31" s="37" t="s">
        <v>27</v>
      </c>
      <c r="F31" s="31">
        <v>938056</v>
      </c>
    </row>
    <row r="32" spans="1:6" ht="26.25">
      <c r="A32" s="35" t="s">
        <v>38</v>
      </c>
      <c r="B32" s="29" t="s">
        <v>17</v>
      </c>
      <c r="C32" s="29" t="s">
        <v>42</v>
      </c>
      <c r="D32" s="36" t="s">
        <v>50</v>
      </c>
      <c r="E32" s="37" t="s">
        <v>39</v>
      </c>
      <c r="F32" s="31">
        <f>12000+54044</f>
        <v>66044</v>
      </c>
    </row>
    <row r="33" spans="1:6" s="42" customFormat="1" ht="59.25" customHeight="1">
      <c r="A33" s="8" t="s">
        <v>51</v>
      </c>
      <c r="B33" s="38" t="s">
        <v>17</v>
      </c>
      <c r="C33" s="38" t="s">
        <v>42</v>
      </c>
      <c r="D33" s="39" t="s">
        <v>52</v>
      </c>
      <c r="E33" s="45"/>
      <c r="F33" s="41">
        <f>F34</f>
        <v>3437700</v>
      </c>
    </row>
    <row r="34" spans="1:6" ht="25.5">
      <c r="A34" s="13" t="s">
        <v>53</v>
      </c>
      <c r="B34" s="29" t="s">
        <v>17</v>
      </c>
      <c r="C34" s="29" t="s">
        <v>42</v>
      </c>
      <c r="D34" s="36" t="s">
        <v>54</v>
      </c>
      <c r="E34" s="30"/>
      <c r="F34" s="31">
        <f>F35+F38</f>
        <v>3437700</v>
      </c>
    </row>
    <row r="35" spans="1:6" ht="26.25">
      <c r="A35" s="8" t="s">
        <v>55</v>
      </c>
      <c r="B35" s="29" t="s">
        <v>17</v>
      </c>
      <c r="C35" s="29" t="s">
        <v>42</v>
      </c>
      <c r="D35" s="36" t="s">
        <v>56</v>
      </c>
      <c r="E35" s="30"/>
      <c r="F35" s="31">
        <f>F36+F37</f>
        <v>2342900</v>
      </c>
    </row>
    <row r="36" spans="1:6" ht="39">
      <c r="A36" s="35" t="s">
        <v>26</v>
      </c>
      <c r="B36" s="29" t="s">
        <v>17</v>
      </c>
      <c r="C36" s="29" t="s">
        <v>42</v>
      </c>
      <c r="D36" s="36" t="s">
        <v>56</v>
      </c>
      <c r="E36" s="37" t="s">
        <v>27</v>
      </c>
      <c r="F36" s="31">
        <v>2307507</v>
      </c>
    </row>
    <row r="37" spans="1:6" ht="26.25">
      <c r="A37" s="35" t="s">
        <v>38</v>
      </c>
      <c r="B37" s="29" t="s">
        <v>17</v>
      </c>
      <c r="C37" s="29" t="s">
        <v>42</v>
      </c>
      <c r="D37" s="36" t="s">
        <v>56</v>
      </c>
      <c r="E37" s="37" t="s">
        <v>39</v>
      </c>
      <c r="F37" s="31">
        <v>35393</v>
      </c>
    </row>
    <row r="38" spans="1:6" ht="38.25">
      <c r="A38" s="9" t="s">
        <v>57</v>
      </c>
      <c r="B38" s="29" t="s">
        <v>17</v>
      </c>
      <c r="C38" s="29" t="s">
        <v>42</v>
      </c>
      <c r="D38" s="36" t="s">
        <v>58</v>
      </c>
      <c r="E38" s="30"/>
      <c r="F38" s="31">
        <f>F39+F40</f>
        <v>1094800</v>
      </c>
    </row>
    <row r="39" spans="1:6" ht="39">
      <c r="A39" s="35" t="s">
        <v>26</v>
      </c>
      <c r="B39" s="29" t="s">
        <v>17</v>
      </c>
      <c r="C39" s="29" t="s">
        <v>42</v>
      </c>
      <c r="D39" s="36" t="s">
        <v>58</v>
      </c>
      <c r="E39" s="37" t="s">
        <v>27</v>
      </c>
      <c r="F39" s="31">
        <v>1004100</v>
      </c>
    </row>
    <row r="40" spans="1:6" ht="26.25">
      <c r="A40" s="35" t="s">
        <v>38</v>
      </c>
      <c r="B40" s="29" t="s">
        <v>17</v>
      </c>
      <c r="C40" s="29" t="s">
        <v>42</v>
      </c>
      <c r="D40" s="36" t="s">
        <v>58</v>
      </c>
      <c r="E40" s="37" t="s">
        <v>39</v>
      </c>
      <c r="F40" s="31">
        <v>90700</v>
      </c>
    </row>
    <row r="41" spans="1:6" ht="0.75" customHeight="1" hidden="1">
      <c r="A41" s="35"/>
      <c r="B41" s="29"/>
      <c r="C41" s="29"/>
      <c r="D41" s="36"/>
      <c r="E41" s="37"/>
      <c r="F41" s="31"/>
    </row>
    <row r="42" spans="1:6" ht="39">
      <c r="A42" s="15" t="s">
        <v>59</v>
      </c>
      <c r="B42" s="29" t="s">
        <v>17</v>
      </c>
      <c r="C42" s="29" t="s">
        <v>42</v>
      </c>
      <c r="D42" s="36" t="s">
        <v>60</v>
      </c>
      <c r="E42" s="30"/>
      <c r="F42" s="31">
        <f>F43</f>
        <v>322552</v>
      </c>
    </row>
    <row r="43" spans="1:6" s="42" customFormat="1" ht="70.5" customHeight="1">
      <c r="A43" s="13" t="s">
        <v>61</v>
      </c>
      <c r="B43" s="38" t="s">
        <v>17</v>
      </c>
      <c r="C43" s="38" t="s">
        <v>42</v>
      </c>
      <c r="D43" s="39" t="s">
        <v>62</v>
      </c>
      <c r="E43" s="45"/>
      <c r="F43" s="41">
        <f>F45</f>
        <v>322552</v>
      </c>
    </row>
    <row r="44" spans="1:6" ht="25.5">
      <c r="A44" s="10" t="s">
        <v>63</v>
      </c>
      <c r="B44" s="29" t="s">
        <v>17</v>
      </c>
      <c r="C44" s="29" t="s">
        <v>42</v>
      </c>
      <c r="D44" s="36" t="s">
        <v>64</v>
      </c>
      <c r="E44" s="30"/>
      <c r="F44" s="31">
        <f>F45</f>
        <v>322552</v>
      </c>
    </row>
    <row r="45" spans="1:6" ht="26.25">
      <c r="A45" s="44" t="s">
        <v>65</v>
      </c>
      <c r="B45" s="29" t="s">
        <v>17</v>
      </c>
      <c r="C45" s="29" t="s">
        <v>42</v>
      </c>
      <c r="D45" s="36" t="s">
        <v>66</v>
      </c>
      <c r="E45" s="30"/>
      <c r="F45" s="31">
        <f>F46+F47</f>
        <v>322552</v>
      </c>
    </row>
    <row r="46" spans="1:6" ht="39">
      <c r="A46" s="35" t="s">
        <v>26</v>
      </c>
      <c r="B46" s="29" t="s">
        <v>17</v>
      </c>
      <c r="C46" s="29" t="s">
        <v>42</v>
      </c>
      <c r="D46" s="36" t="s">
        <v>66</v>
      </c>
      <c r="E46" s="37" t="s">
        <v>27</v>
      </c>
      <c r="F46" s="31">
        <v>312952</v>
      </c>
    </row>
    <row r="47" spans="1:6" ht="26.25">
      <c r="A47" s="35" t="s">
        <v>38</v>
      </c>
      <c r="B47" s="29" t="s">
        <v>17</v>
      </c>
      <c r="C47" s="29" t="s">
        <v>42</v>
      </c>
      <c r="D47" s="36" t="s">
        <v>66</v>
      </c>
      <c r="E47" s="37" t="s">
        <v>39</v>
      </c>
      <c r="F47" s="31">
        <v>9600</v>
      </c>
    </row>
    <row r="48" spans="1:6" ht="56.25" customHeight="1">
      <c r="A48" s="16" t="s">
        <v>67</v>
      </c>
      <c r="B48" s="29" t="s">
        <v>17</v>
      </c>
      <c r="C48" s="29" t="s">
        <v>42</v>
      </c>
      <c r="D48" s="36" t="s">
        <v>68</v>
      </c>
      <c r="E48" s="37"/>
      <c r="F48" s="31">
        <f>F49</f>
        <v>669400</v>
      </c>
    </row>
    <row r="49" spans="1:6" s="42" customFormat="1" ht="70.5" customHeight="1">
      <c r="A49" s="16" t="s">
        <v>69</v>
      </c>
      <c r="B49" s="38" t="s">
        <v>17</v>
      </c>
      <c r="C49" s="38" t="s">
        <v>42</v>
      </c>
      <c r="D49" s="39" t="s">
        <v>70</v>
      </c>
      <c r="E49" s="40"/>
      <c r="F49" s="41">
        <f>F51+F54</f>
        <v>669400</v>
      </c>
    </row>
    <row r="50" spans="1:6" ht="38.25">
      <c r="A50" s="13" t="s">
        <v>71</v>
      </c>
      <c r="B50" s="29" t="s">
        <v>17</v>
      </c>
      <c r="C50" s="29" t="s">
        <v>42</v>
      </c>
      <c r="D50" s="36" t="s">
        <v>72</v>
      </c>
      <c r="E50" s="37"/>
      <c r="F50" s="31">
        <f>F51+F54</f>
        <v>669400</v>
      </c>
    </row>
    <row r="51" spans="1:6" ht="39">
      <c r="A51" s="44" t="s">
        <v>73</v>
      </c>
      <c r="B51" s="29" t="s">
        <v>17</v>
      </c>
      <c r="C51" s="29" t="s">
        <v>42</v>
      </c>
      <c r="D51" s="29" t="s">
        <v>74</v>
      </c>
      <c r="E51" s="30"/>
      <c r="F51" s="31">
        <f>F52+F53</f>
        <v>334700</v>
      </c>
    </row>
    <row r="52" spans="1:8" ht="48" customHeight="1">
      <c r="A52" s="35" t="s">
        <v>26</v>
      </c>
      <c r="B52" s="29" t="s">
        <v>17</v>
      </c>
      <c r="C52" s="29" t="s">
        <v>42</v>
      </c>
      <c r="D52" s="29" t="s">
        <v>74</v>
      </c>
      <c r="E52" s="37" t="s">
        <v>27</v>
      </c>
      <c r="F52" s="31">
        <v>306472</v>
      </c>
      <c r="H52" s="21"/>
    </row>
    <row r="53" spans="1:6" ht="26.25">
      <c r="A53" s="35" t="s">
        <v>38</v>
      </c>
      <c r="B53" s="29" t="s">
        <v>17</v>
      </c>
      <c r="C53" s="29" t="s">
        <v>42</v>
      </c>
      <c r="D53" s="29" t="s">
        <v>74</v>
      </c>
      <c r="E53" s="37" t="s">
        <v>39</v>
      </c>
      <c r="F53" s="31">
        <f>28228</f>
        <v>28228</v>
      </c>
    </row>
    <row r="54" spans="1:6" ht="26.25">
      <c r="A54" s="44" t="s">
        <v>75</v>
      </c>
      <c r="B54" s="29" t="s">
        <v>17</v>
      </c>
      <c r="C54" s="29" t="s">
        <v>42</v>
      </c>
      <c r="D54" s="29" t="s">
        <v>76</v>
      </c>
      <c r="E54" s="30"/>
      <c r="F54" s="31">
        <f>F55+F56</f>
        <v>334700</v>
      </c>
    </row>
    <row r="55" spans="1:6" ht="39">
      <c r="A55" s="35" t="s">
        <v>26</v>
      </c>
      <c r="B55" s="29" t="s">
        <v>17</v>
      </c>
      <c r="C55" s="29" t="s">
        <v>42</v>
      </c>
      <c r="D55" s="29" t="s">
        <v>76</v>
      </c>
      <c r="E55" s="37" t="s">
        <v>27</v>
      </c>
      <c r="F55" s="31">
        <v>306472</v>
      </c>
    </row>
    <row r="56" spans="1:6" ht="26.25">
      <c r="A56" s="35" t="s">
        <v>38</v>
      </c>
      <c r="B56" s="29" t="s">
        <v>17</v>
      </c>
      <c r="C56" s="29" t="s">
        <v>42</v>
      </c>
      <c r="D56" s="29" t="s">
        <v>76</v>
      </c>
      <c r="E56" s="37" t="s">
        <v>39</v>
      </c>
      <c r="F56" s="31">
        <v>28228</v>
      </c>
    </row>
    <row r="57" spans="1:6" ht="15">
      <c r="A57" s="35" t="s">
        <v>77</v>
      </c>
      <c r="B57" s="29" t="s">
        <v>17</v>
      </c>
      <c r="C57" s="29" t="s">
        <v>42</v>
      </c>
      <c r="D57" s="29" t="s">
        <v>78</v>
      </c>
      <c r="E57" s="30"/>
      <c r="F57" s="31">
        <f>F58</f>
        <v>17600100</v>
      </c>
    </row>
    <row r="58" spans="1:6" ht="15">
      <c r="A58" s="8" t="s">
        <v>79</v>
      </c>
      <c r="B58" s="29" t="s">
        <v>17</v>
      </c>
      <c r="C58" s="29" t="s">
        <v>42</v>
      </c>
      <c r="D58" s="29" t="s">
        <v>80</v>
      </c>
      <c r="E58" s="30"/>
      <c r="F58" s="31">
        <f>F61+F59</f>
        <v>17600100</v>
      </c>
    </row>
    <row r="59" spans="1:6" ht="39">
      <c r="A59" s="8" t="s">
        <v>81</v>
      </c>
      <c r="B59" s="29" t="s">
        <v>17</v>
      </c>
      <c r="C59" s="29" t="s">
        <v>42</v>
      </c>
      <c r="D59" s="29" t="s">
        <v>82</v>
      </c>
      <c r="E59" s="30"/>
      <c r="F59" s="31">
        <f>F60</f>
        <v>12000</v>
      </c>
    </row>
    <row r="60" spans="1:6" ht="42.75" customHeight="1">
      <c r="A60" s="35" t="s">
        <v>26</v>
      </c>
      <c r="B60" s="29" t="s">
        <v>17</v>
      </c>
      <c r="C60" s="29" t="s">
        <v>42</v>
      </c>
      <c r="D60" s="29" t="s">
        <v>82</v>
      </c>
      <c r="E60" s="30" t="s">
        <v>27</v>
      </c>
      <c r="F60" s="31">
        <f>31100-19100</f>
        <v>12000</v>
      </c>
    </row>
    <row r="61" spans="1:6" ht="26.25">
      <c r="A61" s="8" t="s">
        <v>24</v>
      </c>
      <c r="B61" s="29" t="s">
        <v>17</v>
      </c>
      <c r="C61" s="29" t="s">
        <v>42</v>
      </c>
      <c r="D61" s="29" t="s">
        <v>83</v>
      </c>
      <c r="E61" s="30"/>
      <c r="F61" s="31">
        <f>F62+F63+F64</f>
        <v>17588100</v>
      </c>
    </row>
    <row r="62" spans="1:6" ht="48" customHeight="1">
      <c r="A62" s="35" t="s">
        <v>26</v>
      </c>
      <c r="B62" s="29" t="s">
        <v>17</v>
      </c>
      <c r="C62" s="29" t="s">
        <v>42</v>
      </c>
      <c r="D62" s="29" t="s">
        <v>83</v>
      </c>
      <c r="E62" s="37" t="s">
        <v>27</v>
      </c>
      <c r="F62" s="31">
        <v>17526100</v>
      </c>
    </row>
    <row r="63" spans="1:6" ht="24.75" customHeight="1">
      <c r="A63" s="35" t="s">
        <v>38</v>
      </c>
      <c r="B63" s="29" t="s">
        <v>17</v>
      </c>
      <c r="C63" s="29" t="s">
        <v>42</v>
      </c>
      <c r="D63" s="29" t="s">
        <v>83</v>
      </c>
      <c r="E63" s="37" t="s">
        <v>39</v>
      </c>
      <c r="F63" s="46">
        <f>42000+20000</f>
        <v>62000</v>
      </c>
    </row>
    <row r="64" spans="1:6" ht="15" hidden="1">
      <c r="A64" s="10" t="s">
        <v>84</v>
      </c>
      <c r="B64" s="29" t="s">
        <v>17</v>
      </c>
      <c r="C64" s="29" t="s">
        <v>42</v>
      </c>
      <c r="D64" s="29" t="s">
        <v>83</v>
      </c>
      <c r="E64" s="37" t="s">
        <v>85</v>
      </c>
      <c r="F64" s="31"/>
    </row>
    <row r="65" spans="1:6" ht="15">
      <c r="A65" s="16" t="s">
        <v>86</v>
      </c>
      <c r="B65" s="29" t="s">
        <v>17</v>
      </c>
      <c r="C65" s="29" t="s">
        <v>42</v>
      </c>
      <c r="D65" s="29" t="s">
        <v>87</v>
      </c>
      <c r="E65" s="30"/>
      <c r="F65" s="31">
        <f>F66+F70</f>
        <v>368170</v>
      </c>
    </row>
    <row r="66" spans="1:6" ht="25.5">
      <c r="A66" s="13" t="s">
        <v>88</v>
      </c>
      <c r="B66" s="29" t="s">
        <v>17</v>
      </c>
      <c r="C66" s="29" t="s">
        <v>42</v>
      </c>
      <c r="D66" s="29" t="s">
        <v>89</v>
      </c>
      <c r="E66" s="30"/>
      <c r="F66" s="31">
        <f>F67</f>
        <v>334700</v>
      </c>
    </row>
    <row r="67" spans="1:6" ht="26.25">
      <c r="A67" s="8" t="s">
        <v>90</v>
      </c>
      <c r="B67" s="29" t="s">
        <v>17</v>
      </c>
      <c r="C67" s="29" t="s">
        <v>42</v>
      </c>
      <c r="D67" s="29" t="s">
        <v>91</v>
      </c>
      <c r="E67" s="30"/>
      <c r="F67" s="31">
        <f>F68+F69</f>
        <v>334700</v>
      </c>
    </row>
    <row r="68" spans="1:6" ht="39">
      <c r="A68" s="35" t="s">
        <v>26</v>
      </c>
      <c r="B68" s="29" t="s">
        <v>17</v>
      </c>
      <c r="C68" s="29" t="s">
        <v>42</v>
      </c>
      <c r="D68" s="29" t="s">
        <v>91</v>
      </c>
      <c r="E68" s="37" t="s">
        <v>27</v>
      </c>
      <c r="F68" s="31">
        <v>334700</v>
      </c>
    </row>
    <row r="69" spans="1:6" ht="15">
      <c r="A69" s="35" t="s">
        <v>92</v>
      </c>
      <c r="B69" s="29" t="s">
        <v>17</v>
      </c>
      <c r="C69" s="29" t="s">
        <v>42</v>
      </c>
      <c r="D69" s="29" t="s">
        <v>91</v>
      </c>
      <c r="E69" s="37" t="s">
        <v>39</v>
      </c>
      <c r="F69" s="31"/>
    </row>
    <row r="70" spans="1:6" ht="15">
      <c r="A70" s="16" t="s">
        <v>93</v>
      </c>
      <c r="B70" s="29" t="s">
        <v>17</v>
      </c>
      <c r="C70" s="29" t="s">
        <v>42</v>
      </c>
      <c r="D70" s="29" t="s">
        <v>94</v>
      </c>
      <c r="E70" s="30"/>
      <c r="F70" s="31">
        <f>F71</f>
        <v>33470</v>
      </c>
    </row>
    <row r="71" spans="1:6" ht="38.25">
      <c r="A71" s="12" t="s">
        <v>95</v>
      </c>
      <c r="B71" s="29" t="s">
        <v>17</v>
      </c>
      <c r="C71" s="29" t="s">
        <v>42</v>
      </c>
      <c r="D71" s="29" t="s">
        <v>96</v>
      </c>
      <c r="E71" s="30"/>
      <c r="F71" s="31">
        <f>F72</f>
        <v>33470</v>
      </c>
    </row>
    <row r="72" spans="1:6" ht="39" customHeight="1">
      <c r="A72" s="35" t="s">
        <v>26</v>
      </c>
      <c r="B72" s="29" t="s">
        <v>17</v>
      </c>
      <c r="C72" s="29" t="s">
        <v>42</v>
      </c>
      <c r="D72" s="29" t="s">
        <v>96</v>
      </c>
      <c r="E72" s="37" t="s">
        <v>27</v>
      </c>
      <c r="F72" s="31">
        <v>33470</v>
      </c>
    </row>
    <row r="73" spans="1:6" ht="15" hidden="1">
      <c r="A73" s="12" t="s">
        <v>97</v>
      </c>
      <c r="B73" s="29" t="s">
        <v>17</v>
      </c>
      <c r="C73" s="29" t="s">
        <v>98</v>
      </c>
      <c r="D73" s="29"/>
      <c r="E73" s="37"/>
      <c r="F73" s="31">
        <f>F74</f>
        <v>64617</v>
      </c>
    </row>
    <row r="74" spans="1:6" ht="15">
      <c r="A74" s="16" t="s">
        <v>86</v>
      </c>
      <c r="B74" s="29" t="s">
        <v>17</v>
      </c>
      <c r="C74" s="29" t="s">
        <v>98</v>
      </c>
      <c r="D74" s="29" t="s">
        <v>87</v>
      </c>
      <c r="E74" s="37"/>
      <c r="F74" s="31">
        <f>F75</f>
        <v>64617</v>
      </c>
    </row>
    <row r="75" spans="1:6" ht="15">
      <c r="A75" s="16" t="s">
        <v>93</v>
      </c>
      <c r="B75" s="29" t="s">
        <v>17</v>
      </c>
      <c r="C75" s="29" t="s">
        <v>98</v>
      </c>
      <c r="D75" s="29" t="s">
        <v>94</v>
      </c>
      <c r="E75" s="37"/>
      <c r="F75" s="31">
        <f>F76</f>
        <v>64617</v>
      </c>
    </row>
    <row r="76" spans="1:6" ht="39">
      <c r="A76" s="44" t="s">
        <v>99</v>
      </c>
      <c r="B76" s="29" t="s">
        <v>17</v>
      </c>
      <c r="C76" s="29" t="s">
        <v>98</v>
      </c>
      <c r="D76" s="29" t="s">
        <v>100</v>
      </c>
      <c r="E76" s="37"/>
      <c r="F76" s="31">
        <f>F77</f>
        <v>64617</v>
      </c>
    </row>
    <row r="77" spans="1:6" ht="15">
      <c r="A77" s="35" t="s">
        <v>92</v>
      </c>
      <c r="B77" s="29" t="s">
        <v>17</v>
      </c>
      <c r="C77" s="29" t="s">
        <v>98</v>
      </c>
      <c r="D77" s="29" t="s">
        <v>100</v>
      </c>
      <c r="E77" s="37" t="s">
        <v>39</v>
      </c>
      <c r="F77" s="31">
        <v>64617</v>
      </c>
    </row>
    <row r="78" spans="1:6" ht="26.25">
      <c r="A78" s="16" t="s">
        <v>101</v>
      </c>
      <c r="B78" s="29" t="s">
        <v>17</v>
      </c>
      <c r="C78" s="29" t="s">
        <v>102</v>
      </c>
      <c r="D78" s="29"/>
      <c r="E78" s="30"/>
      <c r="F78" s="31">
        <f>F79</f>
        <v>521000</v>
      </c>
    </row>
    <row r="79" spans="1:6" ht="26.25">
      <c r="A79" s="35" t="s">
        <v>103</v>
      </c>
      <c r="B79" s="29" t="s">
        <v>17</v>
      </c>
      <c r="C79" s="29" t="s">
        <v>102</v>
      </c>
      <c r="D79" s="47" t="s">
        <v>104</v>
      </c>
      <c r="E79" s="37"/>
      <c r="F79" s="31">
        <f>F80</f>
        <v>521000</v>
      </c>
    </row>
    <row r="80" spans="1:6" ht="15">
      <c r="A80" s="35" t="s">
        <v>105</v>
      </c>
      <c r="B80" s="29" t="s">
        <v>17</v>
      </c>
      <c r="C80" s="29" t="s">
        <v>102</v>
      </c>
      <c r="D80" s="47" t="s">
        <v>106</v>
      </c>
      <c r="E80" s="37"/>
      <c r="F80" s="31">
        <f>F81</f>
        <v>521000</v>
      </c>
    </row>
    <row r="81" spans="1:6" ht="26.25">
      <c r="A81" s="8" t="s">
        <v>24</v>
      </c>
      <c r="B81" s="29" t="s">
        <v>17</v>
      </c>
      <c r="C81" s="29" t="s">
        <v>102</v>
      </c>
      <c r="D81" s="47" t="s">
        <v>107</v>
      </c>
      <c r="E81" s="30"/>
      <c r="F81" s="31">
        <f>F82</f>
        <v>521000</v>
      </c>
    </row>
    <row r="82" spans="1:6" ht="45" customHeight="1">
      <c r="A82" s="35" t="s">
        <v>26</v>
      </c>
      <c r="B82" s="29" t="s">
        <v>17</v>
      </c>
      <c r="C82" s="29" t="s">
        <v>102</v>
      </c>
      <c r="D82" s="47" t="s">
        <v>107</v>
      </c>
      <c r="E82" s="37" t="s">
        <v>27</v>
      </c>
      <c r="F82" s="31">
        <f>544200-23200</f>
        <v>521000</v>
      </c>
    </row>
    <row r="83" spans="1:6" ht="15" hidden="1">
      <c r="A83" s="48" t="s">
        <v>108</v>
      </c>
      <c r="B83" s="29" t="s">
        <v>17</v>
      </c>
      <c r="C83" s="29" t="s">
        <v>109</v>
      </c>
      <c r="D83" s="47"/>
      <c r="E83" s="37"/>
      <c r="F83" s="31">
        <f>F84</f>
        <v>0</v>
      </c>
    </row>
    <row r="84" spans="1:6" ht="15" hidden="1">
      <c r="A84" s="16" t="s">
        <v>86</v>
      </c>
      <c r="B84" s="29" t="s">
        <v>17</v>
      </c>
      <c r="C84" s="29" t="s">
        <v>109</v>
      </c>
      <c r="D84" s="47" t="s">
        <v>87</v>
      </c>
      <c r="E84" s="37"/>
      <c r="F84" s="31">
        <f>F85</f>
        <v>0</v>
      </c>
    </row>
    <row r="85" spans="1:6" ht="15" hidden="1">
      <c r="A85" s="10" t="s">
        <v>110</v>
      </c>
      <c r="B85" s="29" t="s">
        <v>17</v>
      </c>
      <c r="C85" s="29" t="s">
        <v>109</v>
      </c>
      <c r="D85" s="47" t="s">
        <v>111</v>
      </c>
      <c r="E85" s="37"/>
      <c r="F85" s="31">
        <f>F86</f>
        <v>0</v>
      </c>
    </row>
    <row r="86" spans="1:6" ht="15" hidden="1">
      <c r="A86" s="10" t="s">
        <v>112</v>
      </c>
      <c r="B86" s="29" t="s">
        <v>17</v>
      </c>
      <c r="C86" s="29" t="s">
        <v>109</v>
      </c>
      <c r="D86" s="47" t="s">
        <v>113</v>
      </c>
      <c r="E86" s="37"/>
      <c r="F86" s="31">
        <f>F87</f>
        <v>0</v>
      </c>
    </row>
    <row r="87" spans="1:6" ht="15" hidden="1">
      <c r="A87" s="10" t="s">
        <v>84</v>
      </c>
      <c r="B87" s="29" t="s">
        <v>17</v>
      </c>
      <c r="C87" s="29" t="s">
        <v>109</v>
      </c>
      <c r="D87" s="47" t="s">
        <v>113</v>
      </c>
      <c r="E87" s="37" t="s">
        <v>85</v>
      </c>
      <c r="F87" s="31"/>
    </row>
    <row r="88" spans="1:6" ht="15">
      <c r="A88" s="16" t="s">
        <v>114</v>
      </c>
      <c r="B88" s="29" t="s">
        <v>17</v>
      </c>
      <c r="C88" s="29" t="s">
        <v>115</v>
      </c>
      <c r="D88" s="29"/>
      <c r="E88" s="30"/>
      <c r="F88" s="31">
        <f>F90</f>
        <v>9100000</v>
      </c>
    </row>
    <row r="89" spans="1:6" ht="15">
      <c r="A89" s="35" t="s">
        <v>116</v>
      </c>
      <c r="B89" s="29" t="s">
        <v>17</v>
      </c>
      <c r="C89" s="29" t="s">
        <v>115</v>
      </c>
      <c r="D89" s="36" t="s">
        <v>117</v>
      </c>
      <c r="E89" s="49" t="s">
        <v>118</v>
      </c>
      <c r="F89" s="31">
        <f>F90</f>
        <v>9100000</v>
      </c>
    </row>
    <row r="90" spans="1:6" ht="15">
      <c r="A90" s="35" t="s">
        <v>114</v>
      </c>
      <c r="B90" s="29" t="s">
        <v>17</v>
      </c>
      <c r="C90" s="29" t="s">
        <v>115</v>
      </c>
      <c r="D90" s="36" t="s">
        <v>119</v>
      </c>
      <c r="E90" s="49" t="s">
        <v>118</v>
      </c>
      <c r="F90" s="31">
        <f>F91</f>
        <v>9100000</v>
      </c>
    </row>
    <row r="91" spans="1:6" ht="15">
      <c r="A91" s="8" t="s">
        <v>120</v>
      </c>
      <c r="B91" s="29" t="s">
        <v>17</v>
      </c>
      <c r="C91" s="29" t="s">
        <v>115</v>
      </c>
      <c r="D91" s="36" t="s">
        <v>121</v>
      </c>
      <c r="E91" s="49" t="s">
        <v>118</v>
      </c>
      <c r="F91" s="31">
        <f>F92</f>
        <v>9100000</v>
      </c>
    </row>
    <row r="92" spans="1:6" ht="15">
      <c r="A92" s="35" t="s">
        <v>84</v>
      </c>
      <c r="B92" s="29" t="s">
        <v>17</v>
      </c>
      <c r="C92" s="29" t="s">
        <v>115</v>
      </c>
      <c r="D92" s="36" t="s">
        <v>121</v>
      </c>
      <c r="E92" s="49" t="s">
        <v>85</v>
      </c>
      <c r="F92" s="31">
        <f>100000+9000000</f>
        <v>9100000</v>
      </c>
    </row>
    <row r="93" spans="1:11" ht="15">
      <c r="A93" s="16" t="s">
        <v>122</v>
      </c>
      <c r="B93" s="29" t="s">
        <v>17</v>
      </c>
      <c r="C93" s="29" t="s">
        <v>123</v>
      </c>
      <c r="D93" s="29"/>
      <c r="E93" s="30"/>
      <c r="F93" s="31">
        <f>F94+F112+F149+F155+F173+F123+F135+F128+F118+F144</f>
        <v>19384290.339999996</v>
      </c>
      <c r="K93" s="21"/>
    </row>
    <row r="94" spans="1:6" ht="26.25">
      <c r="A94" s="16" t="s">
        <v>124</v>
      </c>
      <c r="B94" s="29" t="s">
        <v>17</v>
      </c>
      <c r="C94" s="29" t="s">
        <v>123</v>
      </c>
      <c r="D94" s="29" t="s">
        <v>44</v>
      </c>
      <c r="E94" s="30"/>
      <c r="F94" s="31">
        <f>F103+F99+F95</f>
        <v>51000</v>
      </c>
    </row>
    <row r="95" spans="1:6" ht="51">
      <c r="A95" s="9" t="s">
        <v>125</v>
      </c>
      <c r="B95" s="29" t="s">
        <v>17</v>
      </c>
      <c r="C95" s="29" t="s">
        <v>123</v>
      </c>
      <c r="D95" s="29" t="s">
        <v>126</v>
      </c>
      <c r="E95" s="30"/>
      <c r="F95" s="31">
        <f>F96</f>
        <v>14000</v>
      </c>
    </row>
    <row r="96" spans="1:6" ht="25.5">
      <c r="A96" s="9" t="s">
        <v>127</v>
      </c>
      <c r="B96" s="29" t="s">
        <v>17</v>
      </c>
      <c r="C96" s="29" t="s">
        <v>123</v>
      </c>
      <c r="D96" s="29" t="s">
        <v>128</v>
      </c>
      <c r="E96" s="30"/>
      <c r="F96" s="31">
        <f>F97</f>
        <v>14000</v>
      </c>
    </row>
    <row r="97" spans="1:6" ht="15">
      <c r="A97" s="35" t="s">
        <v>129</v>
      </c>
      <c r="B97" s="29" t="s">
        <v>17</v>
      </c>
      <c r="C97" s="29" t="s">
        <v>123</v>
      </c>
      <c r="D97" s="50" t="s">
        <v>130</v>
      </c>
      <c r="E97" s="30"/>
      <c r="F97" s="31">
        <f>F98</f>
        <v>14000</v>
      </c>
    </row>
    <row r="98" spans="1:6" ht="26.25">
      <c r="A98" s="35" t="s">
        <v>38</v>
      </c>
      <c r="B98" s="29" t="s">
        <v>17</v>
      </c>
      <c r="C98" s="29" t="s">
        <v>123</v>
      </c>
      <c r="D98" s="50" t="s">
        <v>130</v>
      </c>
      <c r="E98" s="30" t="s">
        <v>39</v>
      </c>
      <c r="F98" s="31">
        <v>14000</v>
      </c>
    </row>
    <row r="99" spans="1:6" s="42" customFormat="1" ht="51.75">
      <c r="A99" s="35" t="s">
        <v>45</v>
      </c>
      <c r="B99" s="38" t="s">
        <v>17</v>
      </c>
      <c r="C99" s="38" t="s">
        <v>123</v>
      </c>
      <c r="D99" s="38" t="s">
        <v>46</v>
      </c>
      <c r="E99" s="45"/>
      <c r="F99" s="41">
        <f>F100</f>
        <v>27000</v>
      </c>
    </row>
    <row r="100" spans="1:6" ht="25.5">
      <c r="A100" s="51" t="s">
        <v>131</v>
      </c>
      <c r="B100" s="29" t="s">
        <v>17</v>
      </c>
      <c r="C100" s="29" t="s">
        <v>123</v>
      </c>
      <c r="D100" s="29" t="s">
        <v>132</v>
      </c>
      <c r="E100" s="30"/>
      <c r="F100" s="31">
        <f>F101</f>
        <v>27000</v>
      </c>
    </row>
    <row r="101" spans="1:6" ht="25.5">
      <c r="A101" s="9" t="s">
        <v>133</v>
      </c>
      <c r="B101" s="29" t="s">
        <v>17</v>
      </c>
      <c r="C101" s="29" t="s">
        <v>123</v>
      </c>
      <c r="D101" s="50" t="s">
        <v>134</v>
      </c>
      <c r="E101" s="30"/>
      <c r="F101" s="31">
        <f>F102</f>
        <v>27000</v>
      </c>
    </row>
    <row r="102" spans="1:6" ht="26.25">
      <c r="A102" s="35" t="s">
        <v>38</v>
      </c>
      <c r="B102" s="29" t="s">
        <v>17</v>
      </c>
      <c r="C102" s="29" t="s">
        <v>123</v>
      </c>
      <c r="D102" s="50" t="s">
        <v>134</v>
      </c>
      <c r="E102" s="30" t="s">
        <v>39</v>
      </c>
      <c r="F102" s="31">
        <f>27000</f>
        <v>27000</v>
      </c>
    </row>
    <row r="103" spans="1:6" s="42" customFormat="1" ht="51" customHeight="1">
      <c r="A103" s="8" t="s">
        <v>135</v>
      </c>
      <c r="B103" s="38" t="s">
        <v>17</v>
      </c>
      <c r="C103" s="38" t="s">
        <v>123</v>
      </c>
      <c r="D103" s="38" t="s">
        <v>52</v>
      </c>
      <c r="E103" s="45"/>
      <c r="F103" s="41">
        <f>F104+F109</f>
        <v>10000</v>
      </c>
    </row>
    <row r="104" spans="1:6" ht="26.25" hidden="1">
      <c r="A104" s="8" t="s">
        <v>136</v>
      </c>
      <c r="B104" s="29" t="s">
        <v>17</v>
      </c>
      <c r="C104" s="29" t="s">
        <v>123</v>
      </c>
      <c r="D104" s="29" t="s">
        <v>137</v>
      </c>
      <c r="E104" s="30"/>
      <c r="F104" s="31">
        <f>F105+F107</f>
        <v>0</v>
      </c>
    </row>
    <row r="105" spans="1:6" ht="26.25" hidden="1">
      <c r="A105" s="8" t="s">
        <v>138</v>
      </c>
      <c r="B105" s="29" t="s">
        <v>17</v>
      </c>
      <c r="C105" s="29" t="s">
        <v>123</v>
      </c>
      <c r="D105" s="29" t="s">
        <v>139</v>
      </c>
      <c r="E105" s="30"/>
      <c r="F105" s="31">
        <f>F106</f>
        <v>0</v>
      </c>
    </row>
    <row r="106" spans="1:6" ht="26.25" hidden="1">
      <c r="A106" s="35" t="s">
        <v>140</v>
      </c>
      <c r="B106" s="29" t="s">
        <v>17</v>
      </c>
      <c r="C106" s="29" t="s">
        <v>123</v>
      </c>
      <c r="D106" s="29" t="s">
        <v>139</v>
      </c>
      <c r="E106" s="37" t="s">
        <v>141</v>
      </c>
      <c r="F106" s="31"/>
    </row>
    <row r="107" spans="1:6" ht="15" hidden="1">
      <c r="A107" s="8" t="s">
        <v>142</v>
      </c>
      <c r="B107" s="29" t="s">
        <v>17</v>
      </c>
      <c r="C107" s="29" t="s">
        <v>123</v>
      </c>
      <c r="D107" s="29" t="s">
        <v>143</v>
      </c>
      <c r="E107" s="37"/>
      <c r="F107" s="31">
        <f>F108</f>
        <v>0</v>
      </c>
    </row>
    <row r="108" spans="1:6" ht="26.25" hidden="1">
      <c r="A108" s="35" t="s">
        <v>140</v>
      </c>
      <c r="B108" s="29" t="s">
        <v>17</v>
      </c>
      <c r="C108" s="29" t="s">
        <v>123</v>
      </c>
      <c r="D108" s="29" t="s">
        <v>143</v>
      </c>
      <c r="E108" s="37" t="s">
        <v>141</v>
      </c>
      <c r="F108" s="31"/>
    </row>
    <row r="109" spans="1:6" ht="25.5">
      <c r="A109" s="13" t="s">
        <v>53</v>
      </c>
      <c r="B109" s="29" t="s">
        <v>17</v>
      </c>
      <c r="C109" s="29" t="s">
        <v>123</v>
      </c>
      <c r="D109" s="29" t="s">
        <v>54</v>
      </c>
      <c r="E109" s="37"/>
      <c r="F109" s="31">
        <f>F110</f>
        <v>10000</v>
      </c>
    </row>
    <row r="110" spans="1:6" ht="15">
      <c r="A110" s="51" t="s">
        <v>144</v>
      </c>
      <c r="B110" s="29" t="s">
        <v>17</v>
      </c>
      <c r="C110" s="29" t="s">
        <v>123</v>
      </c>
      <c r="D110" s="29" t="s">
        <v>145</v>
      </c>
      <c r="E110" s="37"/>
      <c r="F110" s="31">
        <f>F111</f>
        <v>10000</v>
      </c>
    </row>
    <row r="111" spans="1:6" ht="26.25">
      <c r="A111" s="35" t="s">
        <v>38</v>
      </c>
      <c r="B111" s="29" t="s">
        <v>17</v>
      </c>
      <c r="C111" s="29" t="s">
        <v>123</v>
      </c>
      <c r="D111" s="29" t="s">
        <v>145</v>
      </c>
      <c r="E111" s="37" t="s">
        <v>39</v>
      </c>
      <c r="F111" s="31">
        <f>10000</f>
        <v>10000</v>
      </c>
    </row>
    <row r="112" spans="1:6" ht="38.25">
      <c r="A112" s="52" t="s">
        <v>146</v>
      </c>
      <c r="B112" s="29" t="s">
        <v>17</v>
      </c>
      <c r="C112" s="29" t="s">
        <v>123</v>
      </c>
      <c r="D112" s="29" t="s">
        <v>147</v>
      </c>
      <c r="E112" s="37"/>
      <c r="F112" s="31">
        <f>F113</f>
        <v>515747.39</v>
      </c>
    </row>
    <row r="113" spans="1:6" s="42" customFormat="1" ht="51">
      <c r="A113" s="53" t="s">
        <v>148</v>
      </c>
      <c r="B113" s="38" t="s">
        <v>17</v>
      </c>
      <c r="C113" s="38" t="s">
        <v>123</v>
      </c>
      <c r="D113" s="38" t="s">
        <v>149</v>
      </c>
      <c r="E113" s="40"/>
      <c r="F113" s="41">
        <f>F114</f>
        <v>515747.39</v>
      </c>
    </row>
    <row r="114" spans="1:6" ht="25.5">
      <c r="A114" s="53" t="s">
        <v>150</v>
      </c>
      <c r="B114" s="29" t="s">
        <v>17</v>
      </c>
      <c r="C114" s="29" t="s">
        <v>123</v>
      </c>
      <c r="D114" s="29" t="s">
        <v>151</v>
      </c>
      <c r="E114" s="37"/>
      <c r="F114" s="31">
        <f>F115</f>
        <v>515747.39</v>
      </c>
    </row>
    <row r="115" spans="1:6" ht="20.25" customHeight="1">
      <c r="A115" s="53" t="s">
        <v>152</v>
      </c>
      <c r="B115" s="29" t="s">
        <v>17</v>
      </c>
      <c r="C115" s="29" t="s">
        <v>123</v>
      </c>
      <c r="D115" s="29" t="s">
        <v>153</v>
      </c>
      <c r="E115" s="37"/>
      <c r="F115" s="31">
        <f>F117+F116</f>
        <v>515747.39</v>
      </c>
    </row>
    <row r="116" spans="1:6" ht="39" hidden="1">
      <c r="A116" s="35" t="s">
        <v>26</v>
      </c>
      <c r="B116" s="29" t="s">
        <v>17</v>
      </c>
      <c r="C116" s="29" t="s">
        <v>123</v>
      </c>
      <c r="D116" s="29" t="s">
        <v>153</v>
      </c>
      <c r="E116" s="37" t="s">
        <v>27</v>
      </c>
      <c r="F116" s="31"/>
    </row>
    <row r="117" spans="1:6" ht="26.25">
      <c r="A117" s="35" t="s">
        <v>38</v>
      </c>
      <c r="B117" s="29" t="s">
        <v>17</v>
      </c>
      <c r="C117" s="29" t="s">
        <v>123</v>
      </c>
      <c r="D117" s="29" t="s">
        <v>153</v>
      </c>
      <c r="E117" s="30" t="s">
        <v>39</v>
      </c>
      <c r="F117" s="31">
        <f>426196.99+34887.5+54662.9</f>
        <v>515747.39</v>
      </c>
    </row>
    <row r="118" spans="1:6" ht="39">
      <c r="A118" s="15" t="s">
        <v>154</v>
      </c>
      <c r="B118" s="29" t="s">
        <v>17</v>
      </c>
      <c r="C118" s="29" t="s">
        <v>123</v>
      </c>
      <c r="D118" s="36" t="s">
        <v>60</v>
      </c>
      <c r="E118" s="30"/>
      <c r="F118" s="31">
        <f>F119</f>
        <v>155631.15</v>
      </c>
    </row>
    <row r="119" spans="1:6" s="42" customFormat="1" ht="89.25">
      <c r="A119" s="13" t="s">
        <v>61</v>
      </c>
      <c r="B119" s="29" t="s">
        <v>17</v>
      </c>
      <c r="C119" s="29" t="s">
        <v>123</v>
      </c>
      <c r="D119" s="39" t="s">
        <v>62</v>
      </c>
      <c r="E119" s="45"/>
      <c r="F119" s="41">
        <f>F120</f>
        <v>155631.15</v>
      </c>
    </row>
    <row r="120" spans="1:6" ht="25.5">
      <c r="A120" s="10" t="s">
        <v>63</v>
      </c>
      <c r="B120" s="29" t="s">
        <v>17</v>
      </c>
      <c r="C120" s="29" t="s">
        <v>123</v>
      </c>
      <c r="D120" s="36" t="s">
        <v>64</v>
      </c>
      <c r="E120" s="30"/>
      <c r="F120" s="31">
        <f>F121</f>
        <v>155631.15</v>
      </c>
    </row>
    <row r="121" spans="1:6" ht="26.25">
      <c r="A121" s="35" t="s">
        <v>155</v>
      </c>
      <c r="B121" s="29" t="s">
        <v>17</v>
      </c>
      <c r="C121" s="29" t="s">
        <v>123</v>
      </c>
      <c r="D121" s="36" t="s">
        <v>156</v>
      </c>
      <c r="E121" s="30"/>
      <c r="F121" s="31">
        <f>F122</f>
        <v>155631.15</v>
      </c>
    </row>
    <row r="122" spans="1:6" ht="26.25">
      <c r="A122" s="35" t="s">
        <v>38</v>
      </c>
      <c r="B122" s="29" t="s">
        <v>17</v>
      </c>
      <c r="C122" s="29" t="s">
        <v>123</v>
      </c>
      <c r="D122" s="36" t="s">
        <v>156</v>
      </c>
      <c r="E122" s="37" t="s">
        <v>39</v>
      </c>
      <c r="F122" s="31">
        <v>155631.15</v>
      </c>
    </row>
    <row r="123" spans="1:6" ht="51" hidden="1">
      <c r="A123" s="52" t="s">
        <v>157</v>
      </c>
      <c r="B123" s="29" t="s">
        <v>17</v>
      </c>
      <c r="C123" s="29" t="s">
        <v>123</v>
      </c>
      <c r="D123" s="29" t="s">
        <v>158</v>
      </c>
      <c r="E123" s="30"/>
      <c r="F123" s="31">
        <f>F124</f>
        <v>0</v>
      </c>
    </row>
    <row r="124" spans="1:6" ht="63.75" hidden="1">
      <c r="A124" s="53" t="s">
        <v>159</v>
      </c>
      <c r="B124" s="29" t="s">
        <v>17</v>
      </c>
      <c r="C124" s="29" t="s">
        <v>123</v>
      </c>
      <c r="D124" s="29" t="s">
        <v>160</v>
      </c>
      <c r="E124" s="30"/>
      <c r="F124" s="31">
        <f>F125</f>
        <v>0</v>
      </c>
    </row>
    <row r="125" spans="1:6" ht="25.5" hidden="1">
      <c r="A125" s="54" t="s">
        <v>161</v>
      </c>
      <c r="B125" s="29" t="s">
        <v>17</v>
      </c>
      <c r="C125" s="29" t="s">
        <v>123</v>
      </c>
      <c r="D125" s="29" t="s">
        <v>162</v>
      </c>
      <c r="E125" s="30"/>
      <c r="F125" s="31">
        <f>F126</f>
        <v>0</v>
      </c>
    </row>
    <row r="126" spans="1:6" ht="25.5" hidden="1">
      <c r="A126" s="10" t="s">
        <v>163</v>
      </c>
      <c r="B126" s="29" t="s">
        <v>17</v>
      </c>
      <c r="C126" s="29" t="s">
        <v>123</v>
      </c>
      <c r="D126" s="29" t="s">
        <v>164</v>
      </c>
      <c r="E126" s="30"/>
      <c r="F126" s="31">
        <f>F127</f>
        <v>0</v>
      </c>
    </row>
    <row r="127" spans="1:6" ht="26.25" hidden="1">
      <c r="A127" s="35" t="s">
        <v>38</v>
      </c>
      <c r="B127" s="29" t="s">
        <v>17</v>
      </c>
      <c r="C127" s="29" t="s">
        <v>123</v>
      </c>
      <c r="D127" s="29" t="s">
        <v>164</v>
      </c>
      <c r="E127" s="30" t="s">
        <v>39</v>
      </c>
      <c r="F127" s="31"/>
    </row>
    <row r="128" spans="1:6" ht="46.5" customHeight="1">
      <c r="A128" s="16" t="s">
        <v>67</v>
      </c>
      <c r="B128" s="29" t="s">
        <v>17</v>
      </c>
      <c r="C128" s="29" t="s">
        <v>123</v>
      </c>
      <c r="D128" s="36" t="s">
        <v>68</v>
      </c>
      <c r="E128" s="30"/>
      <c r="F128" s="31">
        <f>F129</f>
        <v>902000</v>
      </c>
    </row>
    <row r="129" spans="1:6" ht="63.75">
      <c r="A129" s="55" t="s">
        <v>165</v>
      </c>
      <c r="B129" s="29" t="s">
        <v>17</v>
      </c>
      <c r="C129" s="29" t="s">
        <v>123</v>
      </c>
      <c r="D129" s="36" t="s">
        <v>166</v>
      </c>
      <c r="E129" s="30"/>
      <c r="F129" s="31">
        <f>F130</f>
        <v>902000</v>
      </c>
    </row>
    <row r="130" spans="1:6" ht="38.25">
      <c r="A130" s="13" t="s">
        <v>167</v>
      </c>
      <c r="B130" s="29" t="s">
        <v>17</v>
      </c>
      <c r="C130" s="29" t="s">
        <v>123</v>
      </c>
      <c r="D130" s="47" t="s">
        <v>168</v>
      </c>
      <c r="E130" s="30"/>
      <c r="F130" s="31">
        <f>F131+F133</f>
        <v>902000</v>
      </c>
    </row>
    <row r="131" spans="1:6" ht="26.25">
      <c r="A131" s="35" t="s">
        <v>169</v>
      </c>
      <c r="B131" s="29" t="s">
        <v>17</v>
      </c>
      <c r="C131" s="29" t="s">
        <v>123</v>
      </c>
      <c r="D131" s="47" t="s">
        <v>170</v>
      </c>
      <c r="E131" s="30"/>
      <c r="F131" s="31">
        <f>F132</f>
        <v>837000</v>
      </c>
    </row>
    <row r="132" spans="1:6" ht="26.25">
      <c r="A132" s="35" t="s">
        <v>38</v>
      </c>
      <c r="B132" s="29" t="s">
        <v>17</v>
      </c>
      <c r="C132" s="29" t="s">
        <v>123</v>
      </c>
      <c r="D132" s="47" t="s">
        <v>170</v>
      </c>
      <c r="E132" s="30" t="s">
        <v>39</v>
      </c>
      <c r="F132" s="31">
        <f>547000+290000</f>
        <v>837000</v>
      </c>
    </row>
    <row r="133" spans="1:6" ht="26.25">
      <c r="A133" s="35" t="s">
        <v>171</v>
      </c>
      <c r="B133" s="29" t="s">
        <v>17</v>
      </c>
      <c r="C133" s="29" t="s">
        <v>123</v>
      </c>
      <c r="D133" s="47" t="s">
        <v>172</v>
      </c>
      <c r="E133" s="30"/>
      <c r="F133" s="31">
        <f>F134</f>
        <v>65000</v>
      </c>
    </row>
    <row r="134" spans="1:6" ht="26.25">
      <c r="A134" s="35" t="s">
        <v>38</v>
      </c>
      <c r="B134" s="29" t="s">
        <v>17</v>
      </c>
      <c r="C134" s="29" t="s">
        <v>123</v>
      </c>
      <c r="D134" s="47" t="s">
        <v>172</v>
      </c>
      <c r="E134" s="30" t="s">
        <v>39</v>
      </c>
      <c r="F134" s="31">
        <v>65000</v>
      </c>
    </row>
    <row r="135" spans="1:6" ht="38.25">
      <c r="A135" s="14" t="s">
        <v>173</v>
      </c>
      <c r="B135" s="29" t="s">
        <v>17</v>
      </c>
      <c r="C135" s="29" t="s">
        <v>123</v>
      </c>
      <c r="D135" s="50" t="s">
        <v>174</v>
      </c>
      <c r="E135" s="30"/>
      <c r="F135" s="31">
        <f>F136+F140</f>
        <v>0</v>
      </c>
    </row>
    <row r="136" spans="1:6" ht="38.25" hidden="1">
      <c r="A136" s="51" t="s">
        <v>175</v>
      </c>
      <c r="B136" s="29" t="s">
        <v>17</v>
      </c>
      <c r="C136" s="29" t="s">
        <v>123</v>
      </c>
      <c r="D136" s="50" t="s">
        <v>176</v>
      </c>
      <c r="E136" s="30"/>
      <c r="F136" s="31">
        <f>F137</f>
        <v>0</v>
      </c>
    </row>
    <row r="137" spans="1:6" ht="25.5" hidden="1">
      <c r="A137" s="51" t="s">
        <v>177</v>
      </c>
      <c r="B137" s="29" t="s">
        <v>17</v>
      </c>
      <c r="C137" s="29" t="s">
        <v>123</v>
      </c>
      <c r="D137" s="50" t="s">
        <v>178</v>
      </c>
      <c r="E137" s="30"/>
      <c r="F137" s="31">
        <f>F138</f>
        <v>0</v>
      </c>
    </row>
    <row r="138" spans="1:6" ht="26.25" hidden="1">
      <c r="A138" s="35" t="s">
        <v>179</v>
      </c>
      <c r="B138" s="29" t="s">
        <v>17</v>
      </c>
      <c r="C138" s="29" t="s">
        <v>123</v>
      </c>
      <c r="D138" s="50" t="s">
        <v>180</v>
      </c>
      <c r="E138" s="30"/>
      <c r="F138" s="31">
        <f>F139</f>
        <v>0</v>
      </c>
    </row>
    <row r="139" spans="1:6" ht="26.25" hidden="1">
      <c r="A139" s="35" t="s">
        <v>38</v>
      </c>
      <c r="B139" s="29" t="s">
        <v>17</v>
      </c>
      <c r="C139" s="29" t="s">
        <v>123</v>
      </c>
      <c r="D139" s="50" t="s">
        <v>180</v>
      </c>
      <c r="E139" s="30" t="s">
        <v>39</v>
      </c>
      <c r="F139" s="31">
        <f>15000-15000</f>
        <v>0</v>
      </c>
    </row>
    <row r="140" spans="1:6" ht="51">
      <c r="A140" s="51" t="s">
        <v>181</v>
      </c>
      <c r="B140" s="29" t="s">
        <v>17</v>
      </c>
      <c r="C140" s="29" t="s">
        <v>123</v>
      </c>
      <c r="D140" s="50" t="s">
        <v>182</v>
      </c>
      <c r="E140" s="30"/>
      <c r="F140" s="31">
        <f>F141</f>
        <v>0</v>
      </c>
    </row>
    <row r="141" spans="1:6" ht="15">
      <c r="A141" s="51" t="s">
        <v>183</v>
      </c>
      <c r="B141" s="29" t="s">
        <v>17</v>
      </c>
      <c r="C141" s="29" t="s">
        <v>123</v>
      </c>
      <c r="D141" s="50" t="s">
        <v>184</v>
      </c>
      <c r="E141" s="30"/>
      <c r="F141" s="31">
        <f>F142</f>
        <v>0</v>
      </c>
    </row>
    <row r="142" spans="1:6" ht="15">
      <c r="A142" s="51" t="s">
        <v>144</v>
      </c>
      <c r="B142" s="29" t="s">
        <v>17</v>
      </c>
      <c r="C142" s="29" t="s">
        <v>123</v>
      </c>
      <c r="D142" s="50" t="s">
        <v>185</v>
      </c>
      <c r="E142" s="30"/>
      <c r="F142" s="31">
        <f>F143</f>
        <v>0</v>
      </c>
    </row>
    <row r="143" spans="1:6" ht="26.25">
      <c r="A143" s="35" t="s">
        <v>38</v>
      </c>
      <c r="B143" s="29" t="s">
        <v>17</v>
      </c>
      <c r="C143" s="29" t="s">
        <v>123</v>
      </c>
      <c r="D143" s="50" t="s">
        <v>185</v>
      </c>
      <c r="E143" s="30" t="s">
        <v>39</v>
      </c>
      <c r="F143" s="31">
        <f>100000-100000</f>
        <v>0</v>
      </c>
    </row>
    <row r="144" spans="1:6" ht="15">
      <c r="A144" s="35" t="s">
        <v>77</v>
      </c>
      <c r="B144" s="29" t="s">
        <v>17</v>
      </c>
      <c r="C144" s="29" t="s">
        <v>123</v>
      </c>
      <c r="D144" s="29" t="s">
        <v>78</v>
      </c>
      <c r="E144" s="56"/>
      <c r="F144" s="31">
        <f>F145</f>
        <v>366000</v>
      </c>
    </row>
    <row r="145" spans="1:6" ht="15">
      <c r="A145" s="8" t="s">
        <v>79</v>
      </c>
      <c r="B145" s="29" t="s">
        <v>17</v>
      </c>
      <c r="C145" s="29" t="s">
        <v>123</v>
      </c>
      <c r="D145" s="29" t="s">
        <v>80</v>
      </c>
      <c r="E145" s="56"/>
      <c r="F145" s="31">
        <f>F146</f>
        <v>366000</v>
      </c>
    </row>
    <row r="146" spans="1:6" ht="25.5">
      <c r="A146" s="9" t="s">
        <v>186</v>
      </c>
      <c r="B146" s="29" t="s">
        <v>17</v>
      </c>
      <c r="C146" s="29" t="s">
        <v>123</v>
      </c>
      <c r="D146" s="29" t="s">
        <v>187</v>
      </c>
      <c r="E146" s="56"/>
      <c r="F146" s="31">
        <f>F147+F148</f>
        <v>366000</v>
      </c>
    </row>
    <row r="147" spans="1:6" ht="38.25" customHeight="1">
      <c r="A147" s="35" t="s">
        <v>26</v>
      </c>
      <c r="B147" s="29" t="s">
        <v>17</v>
      </c>
      <c r="C147" s="29" t="s">
        <v>123</v>
      </c>
      <c r="D147" s="29" t="s">
        <v>187</v>
      </c>
      <c r="E147" s="56" t="s">
        <v>27</v>
      </c>
      <c r="F147" s="31">
        <f>332701+33299</f>
        <v>366000</v>
      </c>
    </row>
    <row r="148" spans="1:6" ht="26.25" hidden="1">
      <c r="A148" s="35" t="s">
        <v>38</v>
      </c>
      <c r="B148" s="29" t="s">
        <v>17</v>
      </c>
      <c r="C148" s="29" t="s">
        <v>123</v>
      </c>
      <c r="D148" s="29" t="s">
        <v>187</v>
      </c>
      <c r="E148" s="56" t="s">
        <v>39</v>
      </c>
      <c r="F148" s="31"/>
    </row>
    <row r="149" spans="1:6" ht="26.25">
      <c r="A149" s="35" t="s">
        <v>188</v>
      </c>
      <c r="B149" s="29" t="s">
        <v>17</v>
      </c>
      <c r="C149" s="29" t="s">
        <v>123</v>
      </c>
      <c r="D149" s="36" t="s">
        <v>189</v>
      </c>
      <c r="E149" s="56"/>
      <c r="F149" s="31">
        <f>F150</f>
        <v>3950140.1999999997</v>
      </c>
    </row>
    <row r="150" spans="1:6" ht="15">
      <c r="A150" s="35" t="s">
        <v>190</v>
      </c>
      <c r="B150" s="29" t="s">
        <v>17</v>
      </c>
      <c r="C150" s="29" t="s">
        <v>123</v>
      </c>
      <c r="D150" s="36" t="s">
        <v>191</v>
      </c>
      <c r="E150" s="56"/>
      <c r="F150" s="31">
        <f>F151</f>
        <v>3950140.1999999997</v>
      </c>
    </row>
    <row r="151" spans="1:8" ht="15.75">
      <c r="A151" s="16" t="s">
        <v>144</v>
      </c>
      <c r="B151" s="29" t="s">
        <v>17</v>
      </c>
      <c r="C151" s="29" t="s">
        <v>123</v>
      </c>
      <c r="D151" s="36" t="s">
        <v>192</v>
      </c>
      <c r="E151" s="56"/>
      <c r="F151" s="31">
        <f>F152+F154+F153</f>
        <v>3950140.1999999997</v>
      </c>
      <c r="H151" s="24"/>
    </row>
    <row r="152" spans="1:6" ht="25.5" customHeight="1">
      <c r="A152" s="35" t="s">
        <v>38</v>
      </c>
      <c r="B152" s="29" t="s">
        <v>17</v>
      </c>
      <c r="C152" s="29" t="s">
        <v>123</v>
      </c>
      <c r="D152" s="36" t="s">
        <v>192</v>
      </c>
      <c r="E152" s="56" t="s">
        <v>39</v>
      </c>
      <c r="F152" s="31">
        <f>4983.55-0.03+4805-2590+316990+28010+80000</f>
        <v>432198.52</v>
      </c>
    </row>
    <row r="153" spans="1:6" ht="15" hidden="1">
      <c r="A153" s="35" t="s">
        <v>193</v>
      </c>
      <c r="B153" s="29" t="s">
        <v>17</v>
      </c>
      <c r="C153" s="29" t="s">
        <v>123</v>
      </c>
      <c r="D153" s="36" t="s">
        <v>192</v>
      </c>
      <c r="E153" s="56" t="s">
        <v>194</v>
      </c>
      <c r="F153" s="31"/>
    </row>
    <row r="154" spans="1:6" ht="15">
      <c r="A154" s="10" t="s">
        <v>84</v>
      </c>
      <c r="B154" s="29" t="s">
        <v>17</v>
      </c>
      <c r="C154" s="29" t="s">
        <v>123</v>
      </c>
      <c r="D154" s="36" t="s">
        <v>192</v>
      </c>
      <c r="E154" s="56" t="s">
        <v>85</v>
      </c>
      <c r="F154" s="31">
        <f>1126229.68+147269-100000+1350000+10000000-344990-28010-80000-9000000+447443</f>
        <v>3517941.6799999997</v>
      </c>
    </row>
    <row r="155" spans="1:6" ht="15">
      <c r="A155" s="16" t="s">
        <v>86</v>
      </c>
      <c r="B155" s="57" t="s">
        <v>17</v>
      </c>
      <c r="C155" s="29" t="s">
        <v>123</v>
      </c>
      <c r="D155" s="47" t="s">
        <v>87</v>
      </c>
      <c r="E155" s="37"/>
      <c r="F155" s="31">
        <f>F162+F156</f>
        <v>13443771.6</v>
      </c>
    </row>
    <row r="156" spans="1:6" ht="25.5">
      <c r="A156" s="13" t="s">
        <v>88</v>
      </c>
      <c r="B156" s="57" t="s">
        <v>17</v>
      </c>
      <c r="C156" s="29" t="s">
        <v>123</v>
      </c>
      <c r="D156" s="47" t="s">
        <v>89</v>
      </c>
      <c r="E156" s="37"/>
      <c r="F156" s="31">
        <f>F157</f>
        <v>998000</v>
      </c>
    </row>
    <row r="157" spans="1:6" ht="26.25">
      <c r="A157" s="8" t="s">
        <v>195</v>
      </c>
      <c r="B157" s="57" t="s">
        <v>17</v>
      </c>
      <c r="C157" s="29" t="s">
        <v>123</v>
      </c>
      <c r="D157" s="47" t="s">
        <v>196</v>
      </c>
      <c r="E157" s="37"/>
      <c r="F157" s="31">
        <f>F158+F159</f>
        <v>998000</v>
      </c>
    </row>
    <row r="158" spans="1:6" ht="39">
      <c r="A158" s="35" t="s">
        <v>26</v>
      </c>
      <c r="B158" s="57" t="s">
        <v>17</v>
      </c>
      <c r="C158" s="29" t="s">
        <v>123</v>
      </c>
      <c r="D158" s="47" t="s">
        <v>196</v>
      </c>
      <c r="E158" s="37" t="s">
        <v>27</v>
      </c>
      <c r="F158" s="31">
        <v>855178</v>
      </c>
    </row>
    <row r="159" spans="1:6" ht="24" customHeight="1">
      <c r="A159" s="35" t="s">
        <v>38</v>
      </c>
      <c r="B159" s="57" t="s">
        <v>17</v>
      </c>
      <c r="C159" s="29" t="s">
        <v>123</v>
      </c>
      <c r="D159" s="47" t="s">
        <v>196</v>
      </c>
      <c r="E159" s="37" t="s">
        <v>39</v>
      </c>
      <c r="F159" s="31">
        <f>38100+34800+69922</f>
        <v>142822</v>
      </c>
    </row>
    <row r="160" spans="1:6" ht="60" hidden="1">
      <c r="A160" s="17" t="s">
        <v>197</v>
      </c>
      <c r="B160" s="57" t="s">
        <v>17</v>
      </c>
      <c r="C160" s="29" t="s">
        <v>123</v>
      </c>
      <c r="D160" s="47" t="s">
        <v>198</v>
      </c>
      <c r="E160" s="37"/>
      <c r="F160" s="31">
        <v>0</v>
      </c>
    </row>
    <row r="161" spans="1:6" ht="26.25" hidden="1">
      <c r="A161" s="35" t="s">
        <v>38</v>
      </c>
      <c r="B161" s="57" t="s">
        <v>17</v>
      </c>
      <c r="C161" s="29" t="s">
        <v>123</v>
      </c>
      <c r="D161" s="47" t="s">
        <v>198</v>
      </c>
      <c r="E161" s="37" t="s">
        <v>39</v>
      </c>
      <c r="F161" s="31"/>
    </row>
    <row r="162" spans="1:6" ht="17.25" customHeight="1">
      <c r="A162" s="16" t="s">
        <v>93</v>
      </c>
      <c r="B162" s="29" t="s">
        <v>17</v>
      </c>
      <c r="C162" s="29" t="s">
        <v>123</v>
      </c>
      <c r="D162" s="29" t="s">
        <v>94</v>
      </c>
      <c r="E162" s="30"/>
      <c r="F162" s="31">
        <f>F165+F171+F169+F163</f>
        <v>12445771.6</v>
      </c>
    </row>
    <row r="163" spans="1:6" ht="19.5" customHeight="1" hidden="1">
      <c r="A163" s="16" t="s">
        <v>199</v>
      </c>
      <c r="B163" s="29" t="s">
        <v>17</v>
      </c>
      <c r="C163" s="29" t="s">
        <v>123</v>
      </c>
      <c r="D163" s="29" t="s">
        <v>200</v>
      </c>
      <c r="E163" s="30"/>
      <c r="F163" s="31">
        <f>F164</f>
        <v>0</v>
      </c>
    </row>
    <row r="164" spans="1:6" ht="30" customHeight="1" hidden="1">
      <c r="A164" s="35" t="s">
        <v>38</v>
      </c>
      <c r="B164" s="29" t="s">
        <v>17</v>
      </c>
      <c r="C164" s="29" t="s">
        <v>123</v>
      </c>
      <c r="D164" s="29" t="s">
        <v>200</v>
      </c>
      <c r="E164" s="30" t="s">
        <v>39</v>
      </c>
      <c r="F164" s="31"/>
    </row>
    <row r="165" spans="1:6" ht="25.5">
      <c r="A165" s="10" t="s">
        <v>201</v>
      </c>
      <c r="B165" s="29" t="s">
        <v>17</v>
      </c>
      <c r="C165" s="29" t="s">
        <v>123</v>
      </c>
      <c r="D165" s="29" t="s">
        <v>202</v>
      </c>
      <c r="E165" s="30"/>
      <c r="F165" s="31">
        <f>F166+F167+F168</f>
        <v>12295771.6</v>
      </c>
    </row>
    <row r="166" spans="1:6" ht="39">
      <c r="A166" s="35" t="s">
        <v>26</v>
      </c>
      <c r="B166" s="29" t="s">
        <v>17</v>
      </c>
      <c r="C166" s="29" t="s">
        <v>123</v>
      </c>
      <c r="D166" s="29" t="s">
        <v>202</v>
      </c>
      <c r="E166" s="37" t="s">
        <v>27</v>
      </c>
      <c r="F166" s="31">
        <f>8344000+457771</f>
        <v>8801771</v>
      </c>
    </row>
    <row r="167" spans="1:6" ht="26.25">
      <c r="A167" s="35" t="s">
        <v>38</v>
      </c>
      <c r="B167" s="29" t="s">
        <v>17</v>
      </c>
      <c r="C167" s="29" t="s">
        <v>123</v>
      </c>
      <c r="D167" s="29" t="s">
        <v>202</v>
      </c>
      <c r="E167" s="37" t="s">
        <v>39</v>
      </c>
      <c r="F167" s="31">
        <f>2262000+925337.1+115112.5+100000-2850+28000</f>
        <v>3427599.6</v>
      </c>
    </row>
    <row r="168" spans="1:6" ht="18.75" customHeight="1">
      <c r="A168" s="10" t="s">
        <v>84</v>
      </c>
      <c r="B168" s="29" t="s">
        <v>17</v>
      </c>
      <c r="C168" s="29" t="s">
        <v>123</v>
      </c>
      <c r="D168" s="29" t="s">
        <v>202</v>
      </c>
      <c r="E168" s="37" t="s">
        <v>85</v>
      </c>
      <c r="F168" s="31">
        <f>63551+2850</f>
        <v>66401</v>
      </c>
    </row>
    <row r="169" spans="1:6" ht="15" hidden="1">
      <c r="A169" s="16" t="s">
        <v>144</v>
      </c>
      <c r="B169" s="29" t="s">
        <v>17</v>
      </c>
      <c r="C169" s="29" t="s">
        <v>123</v>
      </c>
      <c r="D169" s="29" t="s">
        <v>203</v>
      </c>
      <c r="E169" s="37"/>
      <c r="F169" s="31">
        <f>F170</f>
        <v>0</v>
      </c>
    </row>
    <row r="170" spans="1:6" ht="26.25" hidden="1">
      <c r="A170" s="35" t="s">
        <v>38</v>
      </c>
      <c r="B170" s="29" t="s">
        <v>17</v>
      </c>
      <c r="C170" s="29" t="s">
        <v>123</v>
      </c>
      <c r="D170" s="29" t="s">
        <v>203</v>
      </c>
      <c r="E170" s="37" t="s">
        <v>39</v>
      </c>
      <c r="F170" s="31"/>
    </row>
    <row r="171" spans="1:6" ht="15">
      <c r="A171" s="53" t="s">
        <v>204</v>
      </c>
      <c r="B171" s="29" t="s">
        <v>17</v>
      </c>
      <c r="C171" s="29" t="s">
        <v>123</v>
      </c>
      <c r="D171" s="29" t="s">
        <v>205</v>
      </c>
      <c r="E171" s="37"/>
      <c r="F171" s="31">
        <f>F172</f>
        <v>150000</v>
      </c>
    </row>
    <row r="172" spans="1:6" ht="26.25">
      <c r="A172" s="35" t="s">
        <v>38</v>
      </c>
      <c r="B172" s="29" t="s">
        <v>17</v>
      </c>
      <c r="C172" s="29" t="s">
        <v>123</v>
      </c>
      <c r="D172" s="29" t="s">
        <v>205</v>
      </c>
      <c r="E172" s="37" t="s">
        <v>39</v>
      </c>
      <c r="F172" s="31">
        <f>50000+100000</f>
        <v>150000</v>
      </c>
    </row>
    <row r="173" spans="1:6" ht="15" hidden="1">
      <c r="A173" s="16" t="s">
        <v>206</v>
      </c>
      <c r="B173" s="57" t="s">
        <v>17</v>
      </c>
      <c r="C173" s="29" t="s">
        <v>123</v>
      </c>
      <c r="D173" s="47" t="s">
        <v>207</v>
      </c>
      <c r="E173" s="37"/>
      <c r="F173" s="31">
        <f>F174</f>
        <v>0</v>
      </c>
    </row>
    <row r="174" spans="1:6" ht="15" hidden="1">
      <c r="A174" s="35" t="s">
        <v>114</v>
      </c>
      <c r="B174" s="57" t="s">
        <v>17</v>
      </c>
      <c r="C174" s="29" t="s">
        <v>123</v>
      </c>
      <c r="D174" s="47" t="s">
        <v>208</v>
      </c>
      <c r="E174" s="37"/>
      <c r="F174" s="31">
        <f>F175</f>
        <v>0</v>
      </c>
    </row>
    <row r="175" spans="1:6" ht="15" hidden="1">
      <c r="A175" s="35" t="s">
        <v>209</v>
      </c>
      <c r="B175" s="57" t="s">
        <v>17</v>
      </c>
      <c r="C175" s="29" t="s">
        <v>123</v>
      </c>
      <c r="D175" s="47" t="s">
        <v>210</v>
      </c>
      <c r="E175" s="37"/>
      <c r="F175" s="31">
        <f>F176</f>
        <v>0</v>
      </c>
    </row>
    <row r="176" spans="1:6" ht="15" hidden="1">
      <c r="A176" s="48" t="s">
        <v>211</v>
      </c>
      <c r="B176" s="57" t="s">
        <v>17</v>
      </c>
      <c r="C176" s="29" t="s">
        <v>123</v>
      </c>
      <c r="D176" s="47" t="s">
        <v>210</v>
      </c>
      <c r="E176" s="37" t="s">
        <v>212</v>
      </c>
      <c r="F176" s="31"/>
    </row>
    <row r="177" spans="1:6" ht="15">
      <c r="A177" s="16" t="s">
        <v>213</v>
      </c>
      <c r="B177" s="29" t="s">
        <v>29</v>
      </c>
      <c r="C177" s="29" t="s">
        <v>214</v>
      </c>
      <c r="D177" s="47"/>
      <c r="E177" s="37"/>
      <c r="F177" s="31">
        <f>F178</f>
        <v>443000</v>
      </c>
    </row>
    <row r="178" spans="1:6" ht="25.5">
      <c r="A178" s="10" t="s">
        <v>215</v>
      </c>
      <c r="B178" s="29" t="s">
        <v>29</v>
      </c>
      <c r="C178" s="29" t="s">
        <v>216</v>
      </c>
      <c r="D178" s="47"/>
      <c r="E178" s="37"/>
      <c r="F178" s="31">
        <f>F179</f>
        <v>443000</v>
      </c>
    </row>
    <row r="179" spans="1:6" ht="63.75" customHeight="1">
      <c r="A179" s="13" t="s">
        <v>217</v>
      </c>
      <c r="B179" s="29" t="s">
        <v>29</v>
      </c>
      <c r="C179" s="29" t="s">
        <v>216</v>
      </c>
      <c r="D179" s="58" t="s">
        <v>218</v>
      </c>
      <c r="E179" s="37"/>
      <c r="F179" s="31">
        <f>F180</f>
        <v>443000</v>
      </c>
    </row>
    <row r="180" spans="1:6" s="42" customFormat="1" ht="89.25">
      <c r="A180" s="51" t="s">
        <v>219</v>
      </c>
      <c r="B180" s="29" t="s">
        <v>29</v>
      </c>
      <c r="C180" s="29" t="s">
        <v>216</v>
      </c>
      <c r="D180" s="58" t="s">
        <v>220</v>
      </c>
      <c r="E180" s="40"/>
      <c r="F180" s="41">
        <f>F181+F184+F187+F190+F193</f>
        <v>443000</v>
      </c>
    </row>
    <row r="181" spans="1:6" ht="25.5" hidden="1">
      <c r="A181" s="51" t="s">
        <v>221</v>
      </c>
      <c r="B181" s="29" t="s">
        <v>29</v>
      </c>
      <c r="C181" s="29" t="s">
        <v>216</v>
      </c>
      <c r="D181" s="50" t="s">
        <v>222</v>
      </c>
      <c r="E181" s="37"/>
      <c r="F181" s="31">
        <f>F182</f>
        <v>0</v>
      </c>
    </row>
    <row r="182" spans="1:6" ht="39" hidden="1">
      <c r="A182" s="35" t="s">
        <v>223</v>
      </c>
      <c r="B182" s="29" t="s">
        <v>29</v>
      </c>
      <c r="C182" s="29" t="s">
        <v>216</v>
      </c>
      <c r="D182" s="50" t="s">
        <v>224</v>
      </c>
      <c r="E182" s="37"/>
      <c r="F182" s="31">
        <f>F183</f>
        <v>0</v>
      </c>
    </row>
    <row r="183" spans="1:6" ht="26.25" hidden="1">
      <c r="A183" s="35" t="s">
        <v>38</v>
      </c>
      <c r="B183" s="29" t="s">
        <v>29</v>
      </c>
      <c r="C183" s="29" t="s">
        <v>216</v>
      </c>
      <c r="D183" s="50" t="s">
        <v>224</v>
      </c>
      <c r="E183" s="37" t="s">
        <v>39</v>
      </c>
      <c r="F183" s="31"/>
    </row>
    <row r="184" spans="1:6" ht="63.75">
      <c r="A184" s="51" t="s">
        <v>225</v>
      </c>
      <c r="B184" s="29" t="s">
        <v>29</v>
      </c>
      <c r="C184" s="29" t="s">
        <v>216</v>
      </c>
      <c r="D184" s="50" t="s">
        <v>226</v>
      </c>
      <c r="E184" s="37"/>
      <c r="F184" s="31">
        <f>F185</f>
        <v>443000</v>
      </c>
    </row>
    <row r="185" spans="1:6" ht="39">
      <c r="A185" s="35" t="s">
        <v>223</v>
      </c>
      <c r="B185" s="29" t="s">
        <v>29</v>
      </c>
      <c r="C185" s="29" t="s">
        <v>216</v>
      </c>
      <c r="D185" s="50" t="s">
        <v>227</v>
      </c>
      <c r="E185" s="37"/>
      <c r="F185" s="31">
        <f>F186</f>
        <v>443000</v>
      </c>
    </row>
    <row r="186" spans="1:6" ht="27" customHeight="1">
      <c r="A186" s="35" t="s">
        <v>38</v>
      </c>
      <c r="B186" s="29" t="s">
        <v>29</v>
      </c>
      <c r="C186" s="29" t="s">
        <v>216</v>
      </c>
      <c r="D186" s="50" t="s">
        <v>227</v>
      </c>
      <c r="E186" s="37" t="s">
        <v>39</v>
      </c>
      <c r="F186" s="31">
        <f>51000+322000+70000</f>
        <v>443000</v>
      </c>
    </row>
    <row r="187" spans="1:6" ht="38.25" hidden="1">
      <c r="A187" s="51" t="s">
        <v>228</v>
      </c>
      <c r="B187" s="29" t="s">
        <v>29</v>
      </c>
      <c r="C187" s="29" t="s">
        <v>216</v>
      </c>
      <c r="D187" s="50" t="s">
        <v>229</v>
      </c>
      <c r="E187" s="37"/>
      <c r="F187" s="31">
        <f>F188</f>
        <v>0</v>
      </c>
    </row>
    <row r="188" spans="1:6" ht="39" hidden="1">
      <c r="A188" s="35" t="s">
        <v>223</v>
      </c>
      <c r="B188" s="29" t="s">
        <v>29</v>
      </c>
      <c r="C188" s="29" t="s">
        <v>216</v>
      </c>
      <c r="D188" s="50" t="s">
        <v>230</v>
      </c>
      <c r="E188" s="37"/>
      <c r="F188" s="31">
        <f>F189</f>
        <v>0</v>
      </c>
    </row>
    <row r="189" spans="1:6" ht="26.25" hidden="1">
      <c r="A189" s="35" t="s">
        <v>38</v>
      </c>
      <c r="B189" s="29" t="s">
        <v>29</v>
      </c>
      <c r="C189" s="29" t="s">
        <v>216</v>
      </c>
      <c r="D189" s="50" t="s">
        <v>230</v>
      </c>
      <c r="E189" s="37" t="s">
        <v>39</v>
      </c>
      <c r="F189" s="31"/>
    </row>
    <row r="190" spans="1:6" ht="25.5" hidden="1">
      <c r="A190" s="51" t="s">
        <v>231</v>
      </c>
      <c r="B190" s="29" t="s">
        <v>29</v>
      </c>
      <c r="C190" s="29" t="s">
        <v>216</v>
      </c>
      <c r="D190" s="50" t="s">
        <v>232</v>
      </c>
      <c r="E190" s="37"/>
      <c r="F190" s="31">
        <f>F191</f>
        <v>0</v>
      </c>
    </row>
    <row r="191" spans="1:6" ht="39" hidden="1">
      <c r="A191" s="35" t="s">
        <v>223</v>
      </c>
      <c r="B191" s="29" t="s">
        <v>29</v>
      </c>
      <c r="C191" s="29" t="s">
        <v>216</v>
      </c>
      <c r="D191" s="50" t="s">
        <v>233</v>
      </c>
      <c r="E191" s="37"/>
      <c r="F191" s="31">
        <f>F192</f>
        <v>0</v>
      </c>
    </row>
    <row r="192" spans="1:6" ht="26.25" hidden="1">
      <c r="A192" s="35" t="s">
        <v>38</v>
      </c>
      <c r="B192" s="29" t="s">
        <v>29</v>
      </c>
      <c r="C192" s="29" t="s">
        <v>216</v>
      </c>
      <c r="D192" s="50" t="s">
        <v>233</v>
      </c>
      <c r="E192" s="37" t="s">
        <v>39</v>
      </c>
      <c r="F192" s="31"/>
    </row>
    <row r="193" spans="1:6" ht="25.5" hidden="1">
      <c r="A193" s="59" t="s">
        <v>234</v>
      </c>
      <c r="B193" s="29" t="s">
        <v>29</v>
      </c>
      <c r="C193" s="29" t="s">
        <v>216</v>
      </c>
      <c r="D193" s="50" t="s">
        <v>235</v>
      </c>
      <c r="E193" s="37"/>
      <c r="F193" s="31">
        <f>F194</f>
        <v>0</v>
      </c>
    </row>
    <row r="194" spans="1:6" ht="26.25" hidden="1">
      <c r="A194" s="35" t="s">
        <v>236</v>
      </c>
      <c r="B194" s="29" t="s">
        <v>29</v>
      </c>
      <c r="C194" s="29" t="s">
        <v>216</v>
      </c>
      <c r="D194" s="50" t="s">
        <v>237</v>
      </c>
      <c r="E194" s="37"/>
      <c r="F194" s="31">
        <f>F195</f>
        <v>0</v>
      </c>
    </row>
    <row r="195" spans="1:6" ht="26.25" hidden="1">
      <c r="A195" s="35" t="s">
        <v>38</v>
      </c>
      <c r="B195" s="29" t="s">
        <v>29</v>
      </c>
      <c r="C195" s="29" t="s">
        <v>216</v>
      </c>
      <c r="D195" s="50" t="s">
        <v>237</v>
      </c>
      <c r="E195" s="37" t="s">
        <v>39</v>
      </c>
      <c r="F195" s="31"/>
    </row>
    <row r="196" spans="1:6" ht="15">
      <c r="A196" s="16" t="s">
        <v>238</v>
      </c>
      <c r="B196" s="29" t="s">
        <v>42</v>
      </c>
      <c r="C196" s="29"/>
      <c r="D196" s="29"/>
      <c r="E196" s="30"/>
      <c r="F196" s="31">
        <f>F197+F203+F241</f>
        <v>21085217</v>
      </c>
    </row>
    <row r="197" spans="1:6" ht="15">
      <c r="A197" s="16" t="s">
        <v>239</v>
      </c>
      <c r="B197" s="29" t="s">
        <v>42</v>
      </c>
      <c r="C197" s="29" t="s">
        <v>240</v>
      </c>
      <c r="D197" s="29"/>
      <c r="E197" s="30"/>
      <c r="F197" s="31">
        <f>F198</f>
        <v>2882000</v>
      </c>
    </row>
    <row r="198" spans="1:6" ht="51">
      <c r="A198" s="60" t="s">
        <v>157</v>
      </c>
      <c r="B198" s="29" t="s">
        <v>42</v>
      </c>
      <c r="C198" s="29" t="s">
        <v>240</v>
      </c>
      <c r="D198" s="50" t="s">
        <v>158</v>
      </c>
      <c r="E198" s="30"/>
      <c r="F198" s="31">
        <f>F199</f>
        <v>2882000</v>
      </c>
    </row>
    <row r="199" spans="1:6" s="42" customFormat="1" ht="63.75">
      <c r="A199" s="61" t="s">
        <v>241</v>
      </c>
      <c r="B199" s="38" t="s">
        <v>42</v>
      </c>
      <c r="C199" s="38" t="s">
        <v>240</v>
      </c>
      <c r="D199" s="58" t="s">
        <v>242</v>
      </c>
      <c r="E199" s="45"/>
      <c r="F199" s="41">
        <f>F200</f>
        <v>2882000</v>
      </c>
    </row>
    <row r="200" spans="1:6" ht="25.5">
      <c r="A200" s="10" t="s">
        <v>243</v>
      </c>
      <c r="B200" s="29" t="s">
        <v>42</v>
      </c>
      <c r="C200" s="29" t="s">
        <v>240</v>
      </c>
      <c r="D200" s="50" t="s">
        <v>244</v>
      </c>
      <c r="E200" s="30"/>
      <c r="F200" s="31">
        <f>F201</f>
        <v>2882000</v>
      </c>
    </row>
    <row r="201" spans="1:6" ht="15">
      <c r="A201" s="16" t="s">
        <v>245</v>
      </c>
      <c r="B201" s="29" t="s">
        <v>42</v>
      </c>
      <c r="C201" s="29" t="s">
        <v>240</v>
      </c>
      <c r="D201" s="50" t="s">
        <v>246</v>
      </c>
      <c r="E201" s="30"/>
      <c r="F201" s="31">
        <f>F202</f>
        <v>2882000</v>
      </c>
    </row>
    <row r="202" spans="1:6" ht="15">
      <c r="A202" s="35" t="s">
        <v>84</v>
      </c>
      <c r="B202" s="29" t="s">
        <v>42</v>
      </c>
      <c r="C202" s="29" t="s">
        <v>240</v>
      </c>
      <c r="D202" s="50" t="s">
        <v>246</v>
      </c>
      <c r="E202" s="30" t="s">
        <v>85</v>
      </c>
      <c r="F202" s="31">
        <f>1589000+1293000</f>
        <v>2882000</v>
      </c>
    </row>
    <row r="203" spans="1:9" ht="15">
      <c r="A203" s="16" t="s">
        <v>247</v>
      </c>
      <c r="B203" s="29" t="s">
        <v>42</v>
      </c>
      <c r="C203" s="29" t="s">
        <v>248</v>
      </c>
      <c r="D203" s="29"/>
      <c r="E203" s="30"/>
      <c r="F203" s="31">
        <f>F204</f>
        <v>16956717</v>
      </c>
      <c r="I203" s="21"/>
    </row>
    <row r="204" spans="1:9" ht="51">
      <c r="A204" s="62" t="s">
        <v>157</v>
      </c>
      <c r="B204" s="29" t="s">
        <v>42</v>
      </c>
      <c r="C204" s="29" t="s">
        <v>248</v>
      </c>
      <c r="D204" s="50" t="s">
        <v>158</v>
      </c>
      <c r="E204" s="30"/>
      <c r="F204" s="31">
        <f>F205+F235</f>
        <v>16956717</v>
      </c>
      <c r="I204" s="21"/>
    </row>
    <row r="205" spans="1:9" ht="63.75">
      <c r="A205" s="63" t="s">
        <v>249</v>
      </c>
      <c r="B205" s="29" t="s">
        <v>42</v>
      </c>
      <c r="C205" s="29" t="s">
        <v>248</v>
      </c>
      <c r="D205" s="50" t="s">
        <v>250</v>
      </c>
      <c r="E205" s="30"/>
      <c r="F205" s="31">
        <f>F206+F228</f>
        <v>16956717</v>
      </c>
      <c r="I205" s="21"/>
    </row>
    <row r="206" spans="1:9" ht="25.5">
      <c r="A206" s="10" t="s">
        <v>251</v>
      </c>
      <c r="B206" s="29" t="s">
        <v>42</v>
      </c>
      <c r="C206" s="29" t="s">
        <v>248</v>
      </c>
      <c r="D206" s="50" t="s">
        <v>252</v>
      </c>
      <c r="E206" s="30"/>
      <c r="F206" s="31">
        <f>F209+F216+F225+F207+F223</f>
        <v>16646696.000000002</v>
      </c>
      <c r="I206" s="21"/>
    </row>
    <row r="207" spans="1:9" ht="25.5">
      <c r="A207" s="10" t="s">
        <v>273</v>
      </c>
      <c r="B207" s="29" t="s">
        <v>42</v>
      </c>
      <c r="C207" s="29" t="s">
        <v>248</v>
      </c>
      <c r="D207" s="50" t="s">
        <v>744</v>
      </c>
      <c r="E207" s="30"/>
      <c r="F207" s="31">
        <f>F208</f>
        <v>6761132</v>
      </c>
      <c r="I207" s="21"/>
    </row>
    <row r="208" spans="1:9" ht="15">
      <c r="A208" s="35" t="s">
        <v>92</v>
      </c>
      <c r="B208" s="29" t="s">
        <v>42</v>
      </c>
      <c r="C208" s="29" t="s">
        <v>248</v>
      </c>
      <c r="D208" s="50" t="s">
        <v>744</v>
      </c>
      <c r="E208" s="30" t="s">
        <v>39</v>
      </c>
      <c r="F208" s="31">
        <f>557166+6203966</f>
        <v>6761132</v>
      </c>
      <c r="I208" s="21"/>
    </row>
    <row r="209" spans="1:9" ht="15">
      <c r="A209" s="35" t="s">
        <v>253</v>
      </c>
      <c r="B209" s="29" t="s">
        <v>42</v>
      </c>
      <c r="C209" s="29" t="s">
        <v>248</v>
      </c>
      <c r="D209" s="50" t="s">
        <v>254</v>
      </c>
      <c r="E209" s="30"/>
      <c r="F209" s="31">
        <f>F210+F212+F214</f>
        <v>1800000</v>
      </c>
      <c r="I209" s="21"/>
    </row>
    <row r="210" spans="1:9" ht="25.5">
      <c r="A210" s="64" t="s">
        <v>255</v>
      </c>
      <c r="B210" s="29" t="s">
        <v>42</v>
      </c>
      <c r="C210" s="29" t="s">
        <v>248</v>
      </c>
      <c r="D210" s="50" t="s">
        <v>256</v>
      </c>
      <c r="E210" s="30"/>
      <c r="F210" s="31">
        <f>F211</f>
        <v>1800000</v>
      </c>
      <c r="I210" s="21"/>
    </row>
    <row r="211" spans="1:9" ht="14.25" customHeight="1">
      <c r="A211" s="35" t="s">
        <v>92</v>
      </c>
      <c r="B211" s="29" t="s">
        <v>42</v>
      </c>
      <c r="C211" s="29" t="s">
        <v>248</v>
      </c>
      <c r="D211" s="50" t="s">
        <v>256</v>
      </c>
      <c r="E211" s="30" t="s">
        <v>39</v>
      </c>
      <c r="F211" s="31">
        <v>1800000</v>
      </c>
      <c r="I211" s="21"/>
    </row>
    <row r="212" spans="1:9" ht="15" hidden="1">
      <c r="A212" s="64"/>
      <c r="B212" s="29" t="s">
        <v>42</v>
      </c>
      <c r="C212" s="29" t="s">
        <v>248</v>
      </c>
      <c r="D212" s="50" t="s">
        <v>257</v>
      </c>
      <c r="E212" s="30"/>
      <c r="F212" s="31">
        <f>F213</f>
        <v>0</v>
      </c>
      <c r="I212" s="21"/>
    </row>
    <row r="213" spans="1:9" ht="15" hidden="1">
      <c r="A213" s="35" t="s">
        <v>92</v>
      </c>
      <c r="B213" s="29" t="s">
        <v>42</v>
      </c>
      <c r="C213" s="29" t="s">
        <v>248</v>
      </c>
      <c r="D213" s="50" t="s">
        <v>257</v>
      </c>
      <c r="E213" s="30" t="s">
        <v>39</v>
      </c>
      <c r="F213" s="31"/>
      <c r="I213" s="21"/>
    </row>
    <row r="214" spans="1:9" ht="4.5" customHeight="1" hidden="1">
      <c r="A214" s="64"/>
      <c r="B214" s="29" t="s">
        <v>42</v>
      </c>
      <c r="C214" s="29" t="s">
        <v>248</v>
      </c>
      <c r="D214" s="50" t="s">
        <v>258</v>
      </c>
      <c r="E214" s="30"/>
      <c r="F214" s="31">
        <f>F215</f>
        <v>0</v>
      </c>
      <c r="I214" s="21"/>
    </row>
    <row r="215" spans="1:9" ht="15" hidden="1">
      <c r="A215" s="35" t="s">
        <v>92</v>
      </c>
      <c r="B215" s="29" t="s">
        <v>42</v>
      </c>
      <c r="C215" s="29" t="s">
        <v>248</v>
      </c>
      <c r="D215" s="50" t="s">
        <v>258</v>
      </c>
      <c r="E215" s="30" t="s">
        <v>39</v>
      </c>
      <c r="F215" s="31"/>
      <c r="I215" s="21"/>
    </row>
    <row r="216" spans="1:9" ht="15">
      <c r="A216" s="35" t="s">
        <v>259</v>
      </c>
      <c r="B216" s="29" t="s">
        <v>42</v>
      </c>
      <c r="C216" s="29" t="s">
        <v>248</v>
      </c>
      <c r="D216" s="50" t="s">
        <v>260</v>
      </c>
      <c r="E216" s="30"/>
      <c r="F216" s="31">
        <f>F217+F219+F221</f>
        <v>5854698.98</v>
      </c>
      <c r="I216" s="21"/>
    </row>
    <row r="217" spans="1:9" ht="25.5">
      <c r="A217" s="64" t="s">
        <v>255</v>
      </c>
      <c r="B217" s="29" t="s">
        <v>42</v>
      </c>
      <c r="C217" s="29" t="s">
        <v>248</v>
      </c>
      <c r="D217" s="50" t="s">
        <v>261</v>
      </c>
      <c r="E217" s="30"/>
      <c r="F217" s="31">
        <f>F218</f>
        <v>5854698.98</v>
      </c>
      <c r="I217" s="21"/>
    </row>
    <row r="218" spans="1:9" ht="14.25" customHeight="1">
      <c r="A218" s="35" t="s">
        <v>92</v>
      </c>
      <c r="B218" s="29" t="s">
        <v>42</v>
      </c>
      <c r="C218" s="29" t="s">
        <v>248</v>
      </c>
      <c r="D218" s="50" t="s">
        <v>261</v>
      </c>
      <c r="E218" s="30" t="s">
        <v>39</v>
      </c>
      <c r="F218" s="31">
        <f>6079136.48-224437.5</f>
        <v>5854698.98</v>
      </c>
      <c r="I218" s="21"/>
    </row>
    <row r="219" spans="1:9" ht="15" hidden="1">
      <c r="A219" s="64"/>
      <c r="B219" s="29" t="s">
        <v>42</v>
      </c>
      <c r="C219" s="29" t="s">
        <v>248</v>
      </c>
      <c r="D219" s="50" t="s">
        <v>262</v>
      </c>
      <c r="E219" s="30"/>
      <c r="F219" s="31">
        <f>F220</f>
        <v>0</v>
      </c>
      <c r="I219" s="21"/>
    </row>
    <row r="220" spans="1:9" ht="15" hidden="1">
      <c r="A220" s="35" t="s">
        <v>92</v>
      </c>
      <c r="B220" s="29" t="s">
        <v>42</v>
      </c>
      <c r="C220" s="29" t="s">
        <v>248</v>
      </c>
      <c r="D220" s="50" t="s">
        <v>262</v>
      </c>
      <c r="E220" s="30" t="s">
        <v>39</v>
      </c>
      <c r="F220" s="65"/>
      <c r="I220" s="21"/>
    </row>
    <row r="221" spans="1:9" ht="15" hidden="1">
      <c r="A221" s="64"/>
      <c r="B221" s="29" t="s">
        <v>42</v>
      </c>
      <c r="C221" s="29" t="s">
        <v>248</v>
      </c>
      <c r="D221" s="50" t="s">
        <v>263</v>
      </c>
      <c r="E221" s="30"/>
      <c r="F221" s="31">
        <f>F222</f>
        <v>0</v>
      </c>
      <c r="I221" s="21"/>
    </row>
    <row r="222" spans="1:9" ht="15" hidden="1">
      <c r="A222" s="35" t="s">
        <v>92</v>
      </c>
      <c r="B222" s="29" t="s">
        <v>42</v>
      </c>
      <c r="C222" s="29" t="s">
        <v>248</v>
      </c>
      <c r="D222" s="50" t="s">
        <v>263</v>
      </c>
      <c r="E222" s="30" t="s">
        <v>39</v>
      </c>
      <c r="F222" s="31"/>
      <c r="I222" s="21"/>
    </row>
    <row r="223" spans="1:9" ht="39.75" customHeight="1">
      <c r="A223" s="10" t="s">
        <v>275</v>
      </c>
      <c r="B223" s="29" t="s">
        <v>42</v>
      </c>
      <c r="C223" s="29" t="s">
        <v>248</v>
      </c>
      <c r="D223" s="50" t="s">
        <v>266</v>
      </c>
      <c r="E223" s="30"/>
      <c r="F223" s="31">
        <f>F224</f>
        <v>137983.4</v>
      </c>
      <c r="I223" s="21"/>
    </row>
    <row r="224" spans="1:9" ht="15">
      <c r="A224" s="35" t="s">
        <v>92</v>
      </c>
      <c r="B224" s="29" t="s">
        <v>42</v>
      </c>
      <c r="C224" s="29" t="s">
        <v>248</v>
      </c>
      <c r="D224" s="50" t="s">
        <v>266</v>
      </c>
      <c r="E224" s="30" t="s">
        <v>39</v>
      </c>
      <c r="F224" s="31">
        <f>11371+126612.4</f>
        <v>137983.4</v>
      </c>
      <c r="I224" s="21"/>
    </row>
    <row r="225" spans="1:9" ht="26.25">
      <c r="A225" s="35" t="s">
        <v>264</v>
      </c>
      <c r="B225" s="29" t="s">
        <v>42</v>
      </c>
      <c r="C225" s="29" t="s">
        <v>248</v>
      </c>
      <c r="D225" s="50" t="s">
        <v>265</v>
      </c>
      <c r="E225" s="30"/>
      <c r="F225" s="31">
        <f>F226+F227</f>
        <v>2092881.62</v>
      </c>
      <c r="I225" s="21"/>
    </row>
    <row r="226" spans="1:9" ht="15">
      <c r="A226" s="35" t="s">
        <v>92</v>
      </c>
      <c r="B226" s="29" t="s">
        <v>42</v>
      </c>
      <c r="C226" s="29" t="s">
        <v>248</v>
      </c>
      <c r="D226" s="50" t="s">
        <v>265</v>
      </c>
      <c r="E226" s="30" t="s">
        <v>39</v>
      </c>
      <c r="F226" s="31">
        <f>500000+1642325.52-191569.27+97825.1</f>
        <v>2048581.35</v>
      </c>
      <c r="I226" s="21"/>
    </row>
    <row r="227" spans="1:9" ht="15">
      <c r="A227" s="35" t="s">
        <v>84</v>
      </c>
      <c r="B227" s="29" t="s">
        <v>42</v>
      </c>
      <c r="C227" s="29" t="s">
        <v>248</v>
      </c>
      <c r="D227" s="50" t="s">
        <v>265</v>
      </c>
      <c r="E227" s="30" t="s">
        <v>85</v>
      </c>
      <c r="F227" s="31">
        <f>44300.27</f>
        <v>44300.27</v>
      </c>
      <c r="I227" s="21"/>
    </row>
    <row r="228" spans="1:9" ht="25.5">
      <c r="A228" s="10" t="s">
        <v>267</v>
      </c>
      <c r="B228" s="29" t="s">
        <v>42</v>
      </c>
      <c r="C228" s="29" t="s">
        <v>248</v>
      </c>
      <c r="D228" s="50" t="s">
        <v>268</v>
      </c>
      <c r="E228" s="30"/>
      <c r="F228" s="31">
        <f>F229+F233+F231</f>
        <v>310021</v>
      </c>
      <c r="I228" s="21"/>
    </row>
    <row r="229" spans="1:9" ht="26.25">
      <c r="A229" s="35" t="s">
        <v>269</v>
      </c>
      <c r="B229" s="29" t="s">
        <v>42</v>
      </c>
      <c r="C229" s="29" t="s">
        <v>248</v>
      </c>
      <c r="D229" s="50" t="s">
        <v>270</v>
      </c>
      <c r="E229" s="30"/>
      <c r="F229" s="31">
        <f>F230</f>
        <v>300000</v>
      </c>
      <c r="I229" s="21"/>
    </row>
    <row r="230" spans="1:9" ht="29.25" customHeight="1">
      <c r="A230" s="66" t="s">
        <v>271</v>
      </c>
      <c r="B230" s="29" t="s">
        <v>42</v>
      </c>
      <c r="C230" s="29" t="s">
        <v>248</v>
      </c>
      <c r="D230" s="50" t="s">
        <v>270</v>
      </c>
      <c r="E230" s="30" t="s">
        <v>272</v>
      </c>
      <c r="F230" s="31">
        <f>300000</f>
        <v>300000</v>
      </c>
      <c r="I230" s="21"/>
    </row>
    <row r="231" spans="1:9" ht="25.5">
      <c r="A231" s="10" t="s">
        <v>273</v>
      </c>
      <c r="B231" s="29" t="s">
        <v>42</v>
      </c>
      <c r="C231" s="29" t="s">
        <v>248</v>
      </c>
      <c r="D231" s="50" t="s">
        <v>274</v>
      </c>
      <c r="E231" s="30"/>
      <c r="F231" s="31">
        <f>F232</f>
        <v>0</v>
      </c>
      <c r="I231" s="21"/>
    </row>
    <row r="232" spans="1:9" ht="26.25">
      <c r="A232" s="16" t="s">
        <v>271</v>
      </c>
      <c r="B232" s="29" t="s">
        <v>42</v>
      </c>
      <c r="C232" s="29" t="s">
        <v>248</v>
      </c>
      <c r="D232" s="50" t="s">
        <v>274</v>
      </c>
      <c r="E232" s="30" t="s">
        <v>272</v>
      </c>
      <c r="F232" s="31"/>
      <c r="I232" s="21"/>
    </row>
    <row r="233" spans="1:9" ht="38.25">
      <c r="A233" s="10" t="s">
        <v>275</v>
      </c>
      <c r="B233" s="29" t="s">
        <v>42</v>
      </c>
      <c r="C233" s="29" t="s">
        <v>248</v>
      </c>
      <c r="D233" s="50" t="s">
        <v>276</v>
      </c>
      <c r="E233" s="30"/>
      <c r="F233" s="31">
        <f>F234</f>
        <v>10021</v>
      </c>
      <c r="I233" s="21"/>
    </row>
    <row r="234" spans="1:9" ht="24.75" customHeight="1">
      <c r="A234" s="16" t="s">
        <v>271</v>
      </c>
      <c r="B234" s="29" t="s">
        <v>42</v>
      </c>
      <c r="C234" s="29" t="s">
        <v>248</v>
      </c>
      <c r="D234" s="50" t="s">
        <v>276</v>
      </c>
      <c r="E234" s="30" t="s">
        <v>272</v>
      </c>
      <c r="F234" s="31">
        <v>10021</v>
      </c>
      <c r="I234" s="21"/>
    </row>
    <row r="235" spans="1:9" ht="73.5" customHeight="1" hidden="1">
      <c r="A235" s="67" t="s">
        <v>159</v>
      </c>
      <c r="B235" s="29" t="s">
        <v>42</v>
      </c>
      <c r="C235" s="29" t="s">
        <v>248</v>
      </c>
      <c r="D235" s="50" t="s">
        <v>160</v>
      </c>
      <c r="E235" s="30"/>
      <c r="F235" s="31">
        <f>F236</f>
        <v>0</v>
      </c>
      <c r="I235" s="21"/>
    </row>
    <row r="236" spans="1:9" ht="25.5" hidden="1">
      <c r="A236" s="55" t="s">
        <v>277</v>
      </c>
      <c r="B236" s="29" t="s">
        <v>42</v>
      </c>
      <c r="C236" s="29" t="s">
        <v>248</v>
      </c>
      <c r="D236" s="50" t="s">
        <v>278</v>
      </c>
      <c r="E236" s="30"/>
      <c r="F236" s="31">
        <f>F239+F237</f>
        <v>0</v>
      </c>
      <c r="I236" s="21"/>
    </row>
    <row r="237" spans="1:9" ht="25.5" hidden="1">
      <c r="A237" s="10" t="s">
        <v>163</v>
      </c>
      <c r="B237" s="29" t="s">
        <v>42</v>
      </c>
      <c r="C237" s="29" t="s">
        <v>248</v>
      </c>
      <c r="D237" s="50" t="s">
        <v>279</v>
      </c>
      <c r="E237" s="30"/>
      <c r="F237" s="31">
        <f>F238</f>
        <v>0</v>
      </c>
      <c r="I237" s="21"/>
    </row>
    <row r="238" spans="1:9" ht="13.5" customHeight="1" hidden="1">
      <c r="A238" s="35" t="s">
        <v>92</v>
      </c>
      <c r="B238" s="29" t="s">
        <v>42</v>
      </c>
      <c r="C238" s="29" t="s">
        <v>248</v>
      </c>
      <c r="D238" s="50" t="s">
        <v>279</v>
      </c>
      <c r="E238" s="30" t="s">
        <v>39</v>
      </c>
      <c r="F238" s="31"/>
      <c r="I238" s="21"/>
    </row>
    <row r="239" spans="1:9" ht="15" hidden="1">
      <c r="A239" s="10" t="s">
        <v>280</v>
      </c>
      <c r="B239" s="29" t="s">
        <v>42</v>
      </c>
      <c r="C239" s="29" t="s">
        <v>248</v>
      </c>
      <c r="D239" s="50" t="s">
        <v>281</v>
      </c>
      <c r="E239" s="30"/>
      <c r="F239" s="31">
        <f>F240</f>
        <v>0</v>
      </c>
      <c r="I239" s="21"/>
    </row>
    <row r="240" spans="1:9" ht="15" hidden="1">
      <c r="A240" s="35" t="s">
        <v>92</v>
      </c>
      <c r="B240" s="29" t="s">
        <v>42</v>
      </c>
      <c r="C240" s="29" t="s">
        <v>248</v>
      </c>
      <c r="D240" s="50" t="s">
        <v>281</v>
      </c>
      <c r="E240" s="30" t="s">
        <v>39</v>
      </c>
      <c r="F240" s="31"/>
      <c r="I240" s="21"/>
    </row>
    <row r="241" spans="1:9" ht="15">
      <c r="A241" s="16" t="s">
        <v>282</v>
      </c>
      <c r="B241" s="29" t="s">
        <v>42</v>
      </c>
      <c r="C241" s="29" t="s">
        <v>283</v>
      </c>
      <c r="D241" s="29"/>
      <c r="E241" s="30"/>
      <c r="F241" s="31">
        <f>F242+F254+F270+F249+F265</f>
        <v>1246500</v>
      </c>
      <c r="I241" s="21"/>
    </row>
    <row r="242" spans="1:9" ht="38.25">
      <c r="A242" s="52" t="s">
        <v>284</v>
      </c>
      <c r="B242" s="29" t="s">
        <v>42</v>
      </c>
      <c r="C242" s="29" t="s">
        <v>283</v>
      </c>
      <c r="D242" s="29" t="s">
        <v>285</v>
      </c>
      <c r="E242" s="30"/>
      <c r="F242" s="31">
        <f>F243</f>
        <v>1000000</v>
      </c>
      <c r="I242" s="21"/>
    </row>
    <row r="243" spans="1:9" s="42" customFormat="1" ht="63.75">
      <c r="A243" s="68" t="s">
        <v>286</v>
      </c>
      <c r="B243" s="38" t="s">
        <v>42</v>
      </c>
      <c r="C243" s="38" t="s">
        <v>283</v>
      </c>
      <c r="D243" s="38" t="s">
        <v>287</v>
      </c>
      <c r="E243" s="45"/>
      <c r="F243" s="41">
        <f>F244</f>
        <v>1000000</v>
      </c>
      <c r="I243" s="69"/>
    </row>
    <row r="244" spans="1:6" ht="36.75" customHeight="1">
      <c r="A244" s="10" t="s">
        <v>288</v>
      </c>
      <c r="B244" s="29" t="s">
        <v>42</v>
      </c>
      <c r="C244" s="29" t="s">
        <v>283</v>
      </c>
      <c r="D244" s="29" t="s">
        <v>289</v>
      </c>
      <c r="E244" s="30"/>
      <c r="F244" s="31">
        <f>F245+F247</f>
        <v>1000000</v>
      </c>
    </row>
    <row r="245" spans="1:6" ht="15" hidden="1">
      <c r="A245" s="8" t="s">
        <v>290</v>
      </c>
      <c r="B245" s="29" t="s">
        <v>42</v>
      </c>
      <c r="C245" s="29" t="s">
        <v>283</v>
      </c>
      <c r="D245" s="29" t="s">
        <v>291</v>
      </c>
      <c r="E245" s="30"/>
      <c r="F245" s="31">
        <f>F246</f>
        <v>0</v>
      </c>
    </row>
    <row r="246" spans="1:6" ht="26.25" hidden="1">
      <c r="A246" s="35" t="s">
        <v>38</v>
      </c>
      <c r="B246" s="29" t="s">
        <v>42</v>
      </c>
      <c r="C246" s="29" t="s">
        <v>283</v>
      </c>
      <c r="D246" s="29" t="s">
        <v>291</v>
      </c>
      <c r="E246" s="30" t="s">
        <v>39</v>
      </c>
      <c r="F246" s="31"/>
    </row>
    <row r="247" spans="1:6" ht="15">
      <c r="A247" s="8" t="s">
        <v>292</v>
      </c>
      <c r="B247" s="29" t="s">
        <v>42</v>
      </c>
      <c r="C247" s="29" t="s">
        <v>283</v>
      </c>
      <c r="D247" s="29" t="s">
        <v>293</v>
      </c>
      <c r="E247" s="30"/>
      <c r="F247" s="31">
        <f>F248</f>
        <v>1000000</v>
      </c>
    </row>
    <row r="248" spans="1:6" ht="26.25">
      <c r="A248" s="35" t="s">
        <v>38</v>
      </c>
      <c r="B248" s="29" t="s">
        <v>42</v>
      </c>
      <c r="C248" s="29" t="s">
        <v>283</v>
      </c>
      <c r="D248" s="29" t="s">
        <v>293</v>
      </c>
      <c r="E248" s="30" t="s">
        <v>39</v>
      </c>
      <c r="F248" s="31">
        <f>100000+400000+500000</f>
        <v>1000000</v>
      </c>
    </row>
    <row r="249" spans="1:6" ht="51.75" hidden="1">
      <c r="A249" s="70" t="s">
        <v>294</v>
      </c>
      <c r="B249" s="29" t="s">
        <v>42</v>
      </c>
      <c r="C249" s="29" t="s">
        <v>283</v>
      </c>
      <c r="D249" s="57" t="s">
        <v>295</v>
      </c>
      <c r="E249" s="30"/>
      <c r="F249" s="31">
        <f>F250</f>
        <v>0</v>
      </c>
    </row>
    <row r="250" spans="1:6" ht="6" customHeight="1" hidden="1">
      <c r="A250" s="16" t="s">
        <v>296</v>
      </c>
      <c r="B250" s="29" t="s">
        <v>42</v>
      </c>
      <c r="C250" s="29" t="s">
        <v>283</v>
      </c>
      <c r="D250" s="57" t="s">
        <v>297</v>
      </c>
      <c r="E250" s="30"/>
      <c r="F250" s="31">
        <f>F251</f>
        <v>0</v>
      </c>
    </row>
    <row r="251" spans="1:6" ht="25.5" hidden="1">
      <c r="A251" s="10" t="s">
        <v>298</v>
      </c>
      <c r="B251" s="29" t="s">
        <v>42</v>
      </c>
      <c r="C251" s="29" t="s">
        <v>283</v>
      </c>
      <c r="D251" s="71" t="s">
        <v>299</v>
      </c>
      <c r="E251" s="30"/>
      <c r="F251" s="31">
        <f>F252</f>
        <v>0</v>
      </c>
    </row>
    <row r="252" spans="1:6" ht="15" hidden="1">
      <c r="A252" s="15" t="s">
        <v>300</v>
      </c>
      <c r="B252" s="29" t="s">
        <v>42</v>
      </c>
      <c r="C252" s="29" t="s">
        <v>283</v>
      </c>
      <c r="D252" s="57" t="s">
        <v>301</v>
      </c>
      <c r="E252" s="30"/>
      <c r="F252" s="31">
        <f>F253</f>
        <v>0</v>
      </c>
    </row>
    <row r="253" spans="1:6" ht="15" hidden="1">
      <c r="A253" s="35" t="s">
        <v>92</v>
      </c>
      <c r="B253" s="29" t="s">
        <v>42</v>
      </c>
      <c r="C253" s="29" t="s">
        <v>283</v>
      </c>
      <c r="D253" s="57" t="s">
        <v>301</v>
      </c>
      <c r="E253" s="30" t="s">
        <v>39</v>
      </c>
      <c r="F253" s="31"/>
    </row>
    <row r="254" spans="1:8" ht="38.25">
      <c r="A254" s="52" t="s">
        <v>302</v>
      </c>
      <c r="B254" s="29" t="s">
        <v>42</v>
      </c>
      <c r="C254" s="29" t="s">
        <v>283</v>
      </c>
      <c r="D254" s="57" t="s">
        <v>303</v>
      </c>
      <c r="E254" s="30"/>
      <c r="F254" s="31">
        <f>F255</f>
        <v>226500</v>
      </c>
      <c r="H254" s="21"/>
    </row>
    <row r="255" spans="1:6" s="42" customFormat="1" ht="63.75">
      <c r="A255" s="53" t="s">
        <v>304</v>
      </c>
      <c r="B255" s="38" t="s">
        <v>42</v>
      </c>
      <c r="C255" s="38" t="s">
        <v>283</v>
      </c>
      <c r="D255" s="72" t="s">
        <v>305</v>
      </c>
      <c r="E255" s="45"/>
      <c r="F255" s="41">
        <f>F256</f>
        <v>226500</v>
      </c>
    </row>
    <row r="256" spans="1:6" ht="25.5">
      <c r="A256" s="10" t="s">
        <v>306</v>
      </c>
      <c r="B256" s="29" t="s">
        <v>42</v>
      </c>
      <c r="C256" s="29" t="s">
        <v>283</v>
      </c>
      <c r="D256" s="47" t="s">
        <v>307</v>
      </c>
      <c r="E256" s="37"/>
      <c r="F256" s="31">
        <f>F263+F257+F261+F259</f>
        <v>226500</v>
      </c>
    </row>
    <row r="257" spans="1:6" ht="54" customHeight="1">
      <c r="A257" s="10" t="s">
        <v>308</v>
      </c>
      <c r="B257" s="29" t="s">
        <v>42</v>
      </c>
      <c r="C257" s="29" t="s">
        <v>283</v>
      </c>
      <c r="D257" s="47" t="s">
        <v>309</v>
      </c>
      <c r="E257" s="37"/>
      <c r="F257" s="31">
        <f>F258</f>
        <v>158550</v>
      </c>
    </row>
    <row r="258" spans="1:6" ht="25.5" customHeight="1">
      <c r="A258" s="35" t="s">
        <v>38</v>
      </c>
      <c r="B258" s="29" t="s">
        <v>42</v>
      </c>
      <c r="C258" s="29" t="s">
        <v>283</v>
      </c>
      <c r="D258" s="47" t="s">
        <v>309</v>
      </c>
      <c r="E258" s="37" t="s">
        <v>39</v>
      </c>
      <c r="F258" s="31">
        <v>158550</v>
      </c>
    </row>
    <row r="259" spans="1:6" ht="26.25" hidden="1">
      <c r="A259" s="35" t="s">
        <v>310</v>
      </c>
      <c r="B259" s="29" t="s">
        <v>42</v>
      </c>
      <c r="C259" s="29" t="s">
        <v>283</v>
      </c>
      <c r="D259" s="47" t="s">
        <v>311</v>
      </c>
      <c r="E259" s="37"/>
      <c r="F259" s="31">
        <f>F260</f>
        <v>0</v>
      </c>
    </row>
    <row r="260" spans="1:6" ht="26.25" hidden="1">
      <c r="A260" s="35" t="s">
        <v>38</v>
      </c>
      <c r="B260" s="29" t="s">
        <v>42</v>
      </c>
      <c r="C260" s="29" t="s">
        <v>283</v>
      </c>
      <c r="D260" s="47" t="s">
        <v>311</v>
      </c>
      <c r="E260" s="37" t="s">
        <v>39</v>
      </c>
      <c r="F260" s="31"/>
    </row>
    <row r="261" spans="1:6" ht="30.75" customHeight="1">
      <c r="A261" s="10" t="s">
        <v>312</v>
      </c>
      <c r="B261" s="29" t="s">
        <v>42</v>
      </c>
      <c r="C261" s="29" t="s">
        <v>283</v>
      </c>
      <c r="D261" s="47" t="s">
        <v>313</v>
      </c>
      <c r="E261" s="37"/>
      <c r="F261" s="31">
        <f>F262</f>
        <v>67950</v>
      </c>
    </row>
    <row r="262" spans="1:6" ht="27" customHeight="1">
      <c r="A262" s="35" t="s">
        <v>38</v>
      </c>
      <c r="B262" s="29" t="s">
        <v>42</v>
      </c>
      <c r="C262" s="29" t="s">
        <v>283</v>
      </c>
      <c r="D262" s="47" t="s">
        <v>313</v>
      </c>
      <c r="E262" s="37" t="s">
        <v>39</v>
      </c>
      <c r="F262" s="31">
        <v>67950</v>
      </c>
    </row>
    <row r="263" spans="1:6" ht="26.25" hidden="1">
      <c r="A263" s="73" t="s">
        <v>314</v>
      </c>
      <c r="B263" s="29" t="s">
        <v>42</v>
      </c>
      <c r="C263" s="29" t="s">
        <v>283</v>
      </c>
      <c r="D263" s="47" t="s">
        <v>311</v>
      </c>
      <c r="E263" s="37"/>
      <c r="F263" s="31">
        <f>F264</f>
        <v>0</v>
      </c>
    </row>
    <row r="264" spans="1:6" ht="25.5" customHeight="1" hidden="1">
      <c r="A264" s="35" t="s">
        <v>38</v>
      </c>
      <c r="B264" s="29" t="s">
        <v>42</v>
      </c>
      <c r="C264" s="29" t="s">
        <v>283</v>
      </c>
      <c r="D264" s="47" t="s">
        <v>311</v>
      </c>
      <c r="E264" s="37" t="s">
        <v>39</v>
      </c>
      <c r="F264" s="31"/>
    </row>
    <row r="265" spans="1:6" ht="51" hidden="1">
      <c r="A265" s="62" t="s">
        <v>157</v>
      </c>
      <c r="B265" s="29" t="s">
        <v>42</v>
      </c>
      <c r="C265" s="29" t="s">
        <v>283</v>
      </c>
      <c r="D265" s="47" t="s">
        <v>158</v>
      </c>
      <c r="E265" s="37"/>
      <c r="F265" s="31">
        <f>F266</f>
        <v>0</v>
      </c>
    </row>
    <row r="266" spans="1:6" ht="63.75" hidden="1">
      <c r="A266" s="67" t="s">
        <v>159</v>
      </c>
      <c r="B266" s="29" t="s">
        <v>42</v>
      </c>
      <c r="C266" s="29" t="s">
        <v>283</v>
      </c>
      <c r="D266" s="58" t="s">
        <v>160</v>
      </c>
      <c r="E266" s="30"/>
      <c r="F266" s="31">
        <f>F267</f>
        <v>0</v>
      </c>
    </row>
    <row r="267" spans="1:6" ht="25.5" hidden="1">
      <c r="A267" s="55" t="s">
        <v>277</v>
      </c>
      <c r="B267" s="29" t="s">
        <v>42</v>
      </c>
      <c r="C267" s="29" t="s">
        <v>283</v>
      </c>
      <c r="D267" s="50" t="s">
        <v>278</v>
      </c>
      <c r="E267" s="30"/>
      <c r="F267" s="31">
        <f>F268</f>
        <v>0</v>
      </c>
    </row>
    <row r="268" spans="1:6" ht="15" hidden="1">
      <c r="A268" s="10" t="s">
        <v>280</v>
      </c>
      <c r="B268" s="29" t="s">
        <v>42</v>
      </c>
      <c r="C268" s="29" t="s">
        <v>283</v>
      </c>
      <c r="D268" s="50" t="s">
        <v>281</v>
      </c>
      <c r="E268" s="30"/>
      <c r="F268" s="31">
        <f>F269</f>
        <v>0</v>
      </c>
    </row>
    <row r="269" spans="1:6" ht="15" hidden="1">
      <c r="A269" s="35" t="s">
        <v>92</v>
      </c>
      <c r="B269" s="29" t="s">
        <v>42</v>
      </c>
      <c r="C269" s="29" t="s">
        <v>283</v>
      </c>
      <c r="D269" s="50" t="s">
        <v>281</v>
      </c>
      <c r="E269" s="30" t="s">
        <v>39</v>
      </c>
      <c r="F269" s="31"/>
    </row>
    <row r="270" spans="1:6" ht="38.25">
      <c r="A270" s="63" t="s">
        <v>315</v>
      </c>
      <c r="B270" s="29" t="s">
        <v>42</v>
      </c>
      <c r="C270" s="29" t="s">
        <v>283</v>
      </c>
      <c r="D270" s="29" t="s">
        <v>316</v>
      </c>
      <c r="E270" s="37"/>
      <c r="F270" s="31">
        <f>F271+F275</f>
        <v>20000</v>
      </c>
    </row>
    <row r="271" spans="1:6" s="42" customFormat="1" ht="84.75" customHeight="1">
      <c r="A271" s="74" t="s">
        <v>317</v>
      </c>
      <c r="B271" s="29" t="s">
        <v>42</v>
      </c>
      <c r="C271" s="29" t="s">
        <v>283</v>
      </c>
      <c r="D271" s="29" t="s">
        <v>318</v>
      </c>
      <c r="E271" s="37"/>
      <c r="F271" s="31">
        <f>F272</f>
        <v>20000</v>
      </c>
    </row>
    <row r="272" spans="1:6" ht="34.5" customHeight="1">
      <c r="A272" s="13" t="s">
        <v>319</v>
      </c>
      <c r="B272" s="29" t="s">
        <v>42</v>
      </c>
      <c r="C272" s="29" t="s">
        <v>283</v>
      </c>
      <c r="D272" s="29" t="s">
        <v>320</v>
      </c>
      <c r="E272" s="37"/>
      <c r="F272" s="31">
        <f>F273</f>
        <v>20000</v>
      </c>
    </row>
    <row r="273" spans="1:6" ht="26.25">
      <c r="A273" s="8" t="s">
        <v>321</v>
      </c>
      <c r="B273" s="29" t="s">
        <v>42</v>
      </c>
      <c r="C273" s="29" t="s">
        <v>283</v>
      </c>
      <c r="D273" s="29" t="s">
        <v>322</v>
      </c>
      <c r="E273" s="37"/>
      <c r="F273" s="31">
        <f>F274</f>
        <v>20000</v>
      </c>
    </row>
    <row r="274" spans="1:6" ht="24.75" customHeight="1">
      <c r="A274" s="35" t="s">
        <v>38</v>
      </c>
      <c r="B274" s="29" t="s">
        <v>42</v>
      </c>
      <c r="C274" s="29" t="s">
        <v>283</v>
      </c>
      <c r="D274" s="29" t="s">
        <v>322</v>
      </c>
      <c r="E274" s="37" t="s">
        <v>39</v>
      </c>
      <c r="F274" s="31">
        <f>20000</f>
        <v>20000</v>
      </c>
    </row>
    <row r="275" spans="1:6" ht="67.5" customHeight="1" hidden="1">
      <c r="A275" s="13" t="s">
        <v>323</v>
      </c>
      <c r="B275" s="29" t="s">
        <v>42</v>
      </c>
      <c r="C275" s="29" t="s">
        <v>283</v>
      </c>
      <c r="D275" s="29" t="s">
        <v>324</v>
      </c>
      <c r="E275" s="37"/>
      <c r="F275" s="31">
        <f>F276</f>
        <v>0</v>
      </c>
    </row>
    <row r="276" spans="1:6" ht="48" customHeight="1" hidden="1">
      <c r="A276" s="13" t="s">
        <v>325</v>
      </c>
      <c r="B276" s="29" t="s">
        <v>42</v>
      </c>
      <c r="C276" s="29" t="s">
        <v>283</v>
      </c>
      <c r="D276" s="29" t="s">
        <v>326</v>
      </c>
      <c r="E276" s="37"/>
      <c r="F276" s="31">
        <f>F277</f>
        <v>0</v>
      </c>
    </row>
    <row r="277" spans="1:6" ht="48" customHeight="1" hidden="1">
      <c r="A277" s="35" t="s">
        <v>327</v>
      </c>
      <c r="B277" s="29" t="s">
        <v>42</v>
      </c>
      <c r="C277" s="29" t="s">
        <v>283</v>
      </c>
      <c r="D277" s="29" t="s">
        <v>328</v>
      </c>
      <c r="E277" s="37"/>
      <c r="F277" s="31">
        <f>F278</f>
        <v>0</v>
      </c>
    </row>
    <row r="278" spans="1:6" ht="15" hidden="1">
      <c r="A278" s="35" t="s">
        <v>84</v>
      </c>
      <c r="B278" s="29" t="s">
        <v>42</v>
      </c>
      <c r="C278" s="29" t="s">
        <v>283</v>
      </c>
      <c r="D278" s="29" t="s">
        <v>328</v>
      </c>
      <c r="E278" s="37" t="s">
        <v>85</v>
      </c>
      <c r="F278" s="31"/>
    </row>
    <row r="279" spans="1:6" ht="14.25" customHeight="1">
      <c r="A279" s="35" t="s">
        <v>329</v>
      </c>
      <c r="B279" s="29" t="s">
        <v>98</v>
      </c>
      <c r="C279" s="29"/>
      <c r="D279" s="29"/>
      <c r="E279" s="37"/>
      <c r="F279" s="31">
        <f>F293+F280</f>
        <v>7000000</v>
      </c>
    </row>
    <row r="280" spans="1:6" ht="15" hidden="1">
      <c r="A280" s="35" t="s">
        <v>330</v>
      </c>
      <c r="B280" s="29" t="s">
        <v>98</v>
      </c>
      <c r="C280" s="29" t="s">
        <v>17</v>
      </c>
      <c r="D280" s="29"/>
      <c r="E280" s="37"/>
      <c r="F280" s="31">
        <f aca="true" t="shared" si="0" ref="F280:F287">F281</f>
        <v>0</v>
      </c>
    </row>
    <row r="281" spans="1:6" ht="39" hidden="1">
      <c r="A281" s="35" t="s">
        <v>331</v>
      </c>
      <c r="B281" s="29" t="s">
        <v>98</v>
      </c>
      <c r="C281" s="29" t="s">
        <v>17</v>
      </c>
      <c r="D281" s="29" t="s">
        <v>303</v>
      </c>
      <c r="E281" s="37"/>
      <c r="F281" s="31">
        <f t="shared" si="0"/>
        <v>0</v>
      </c>
    </row>
    <row r="282" spans="1:6" ht="56.25" customHeight="1" hidden="1">
      <c r="A282" s="35" t="s">
        <v>332</v>
      </c>
      <c r="B282" s="29" t="s">
        <v>98</v>
      </c>
      <c r="C282" s="29" t="s">
        <v>17</v>
      </c>
      <c r="D282" s="29" t="s">
        <v>305</v>
      </c>
      <c r="E282" s="37"/>
      <c r="F282" s="31">
        <f t="shared" si="0"/>
        <v>0</v>
      </c>
    </row>
    <row r="283" spans="1:6" ht="15" hidden="1">
      <c r="A283" s="35" t="s">
        <v>330</v>
      </c>
      <c r="B283" s="29" t="s">
        <v>98</v>
      </c>
      <c r="C283" s="29" t="s">
        <v>17</v>
      </c>
      <c r="D283" s="29"/>
      <c r="E283" s="37"/>
      <c r="F283" s="31">
        <f>F284+F289</f>
        <v>0</v>
      </c>
    </row>
    <row r="284" spans="1:6" ht="39" hidden="1">
      <c r="A284" s="75" t="s">
        <v>333</v>
      </c>
      <c r="B284" s="29" t="s">
        <v>98</v>
      </c>
      <c r="C284" s="29" t="s">
        <v>17</v>
      </c>
      <c r="D284" s="50" t="s">
        <v>303</v>
      </c>
      <c r="E284" s="37"/>
      <c r="F284" s="31">
        <f t="shared" si="0"/>
        <v>0</v>
      </c>
    </row>
    <row r="285" spans="1:6" ht="76.5" hidden="1">
      <c r="A285" s="76" t="s">
        <v>334</v>
      </c>
      <c r="B285" s="29" t="s">
        <v>98</v>
      </c>
      <c r="C285" s="29" t="s">
        <v>17</v>
      </c>
      <c r="D285" s="50" t="s">
        <v>335</v>
      </c>
      <c r="E285" s="37"/>
      <c r="F285" s="31">
        <f t="shared" si="0"/>
        <v>0</v>
      </c>
    </row>
    <row r="286" spans="1:6" ht="26.25" hidden="1">
      <c r="A286" s="35" t="s">
        <v>336</v>
      </c>
      <c r="B286" s="29" t="s">
        <v>98</v>
      </c>
      <c r="C286" s="29" t="s">
        <v>17</v>
      </c>
      <c r="D286" s="50" t="s">
        <v>337</v>
      </c>
      <c r="E286" s="37"/>
      <c r="F286" s="31">
        <f t="shared" si="0"/>
        <v>0</v>
      </c>
    </row>
    <row r="287" spans="1:6" ht="15" hidden="1">
      <c r="A287" s="35" t="s">
        <v>290</v>
      </c>
      <c r="B287" s="29" t="s">
        <v>98</v>
      </c>
      <c r="C287" s="29" t="s">
        <v>17</v>
      </c>
      <c r="D287" s="50" t="s">
        <v>338</v>
      </c>
      <c r="E287" s="37"/>
      <c r="F287" s="31">
        <f t="shared" si="0"/>
        <v>0</v>
      </c>
    </row>
    <row r="288" spans="1:6" ht="26.25" hidden="1">
      <c r="A288" s="16" t="s">
        <v>271</v>
      </c>
      <c r="B288" s="29" t="s">
        <v>98</v>
      </c>
      <c r="C288" s="29" t="s">
        <v>17</v>
      </c>
      <c r="D288" s="50" t="s">
        <v>338</v>
      </c>
      <c r="E288" s="37" t="s">
        <v>272</v>
      </c>
      <c r="F288" s="31"/>
    </row>
    <row r="289" spans="1:6" ht="15" hidden="1">
      <c r="A289" s="16" t="s">
        <v>86</v>
      </c>
      <c r="B289" s="29" t="s">
        <v>98</v>
      </c>
      <c r="C289" s="29" t="s">
        <v>17</v>
      </c>
      <c r="D289" s="47" t="s">
        <v>87</v>
      </c>
      <c r="E289" s="37"/>
      <c r="F289" s="31">
        <f>F295+F290</f>
        <v>0</v>
      </c>
    </row>
    <row r="290" spans="1:6" ht="19.5" customHeight="1" hidden="1">
      <c r="A290" s="16" t="s">
        <v>93</v>
      </c>
      <c r="B290" s="29" t="s">
        <v>98</v>
      </c>
      <c r="C290" s="29" t="s">
        <v>17</v>
      </c>
      <c r="D290" s="29" t="s">
        <v>94</v>
      </c>
      <c r="E290" s="30"/>
      <c r="F290" s="31">
        <f>F291</f>
        <v>0</v>
      </c>
    </row>
    <row r="291" spans="1:6" ht="15.75" customHeight="1" hidden="1">
      <c r="A291" s="35" t="s">
        <v>290</v>
      </c>
      <c r="B291" s="29" t="s">
        <v>98</v>
      </c>
      <c r="C291" s="29" t="s">
        <v>17</v>
      </c>
      <c r="D291" s="29" t="s">
        <v>339</v>
      </c>
      <c r="E291" s="37"/>
      <c r="F291" s="31">
        <f>F292</f>
        <v>0</v>
      </c>
    </row>
    <row r="292" spans="1:6" ht="28.5" customHeight="1" hidden="1">
      <c r="A292" s="35" t="s">
        <v>38</v>
      </c>
      <c r="B292" s="29" t="s">
        <v>98</v>
      </c>
      <c r="C292" s="29" t="s">
        <v>17</v>
      </c>
      <c r="D292" s="29" t="s">
        <v>339</v>
      </c>
      <c r="E292" s="37" t="s">
        <v>39</v>
      </c>
      <c r="F292" s="31"/>
    </row>
    <row r="293" spans="1:6" ht="14.25" customHeight="1">
      <c r="A293" s="35" t="s">
        <v>340</v>
      </c>
      <c r="B293" s="29" t="s">
        <v>98</v>
      </c>
      <c r="C293" s="29" t="s">
        <v>19</v>
      </c>
      <c r="D293" s="29"/>
      <c r="E293" s="37"/>
      <c r="F293" s="31">
        <f>F294+F306</f>
        <v>7000000</v>
      </c>
    </row>
    <row r="294" spans="1:8" ht="39" hidden="1">
      <c r="A294" s="15" t="s">
        <v>341</v>
      </c>
      <c r="B294" s="29" t="s">
        <v>98</v>
      </c>
      <c r="C294" s="29" t="s">
        <v>19</v>
      </c>
      <c r="D294" s="50" t="s">
        <v>342</v>
      </c>
      <c r="E294" s="37"/>
      <c r="F294" s="31">
        <f>F295</f>
        <v>0</v>
      </c>
      <c r="H294" s="21"/>
    </row>
    <row r="295" spans="1:6" s="42" customFormat="1" ht="18.75" customHeight="1" hidden="1">
      <c r="A295" s="77" t="s">
        <v>343</v>
      </c>
      <c r="B295" s="38" t="s">
        <v>98</v>
      </c>
      <c r="C295" s="38" t="s">
        <v>19</v>
      </c>
      <c r="D295" s="50" t="s">
        <v>344</v>
      </c>
      <c r="E295" s="40"/>
      <c r="F295" s="41">
        <f>F296</f>
        <v>0</v>
      </c>
    </row>
    <row r="296" spans="1:6" ht="25.5" hidden="1">
      <c r="A296" s="10" t="s">
        <v>345</v>
      </c>
      <c r="B296" s="29" t="s">
        <v>98</v>
      </c>
      <c r="C296" s="29" t="s">
        <v>19</v>
      </c>
      <c r="D296" s="50" t="s">
        <v>344</v>
      </c>
      <c r="E296" s="37"/>
      <c r="F296" s="31">
        <f>F297+F300+F303</f>
        <v>0</v>
      </c>
    </row>
    <row r="297" spans="1:6" ht="38.25" hidden="1">
      <c r="A297" s="51" t="s">
        <v>346</v>
      </c>
      <c r="B297" s="29" t="s">
        <v>98</v>
      </c>
      <c r="C297" s="29" t="s">
        <v>19</v>
      </c>
      <c r="D297" s="50" t="s">
        <v>347</v>
      </c>
      <c r="E297" s="37"/>
      <c r="F297" s="31">
        <f>F298+F299</f>
        <v>0</v>
      </c>
    </row>
    <row r="298" spans="1:6" ht="26.25" hidden="1">
      <c r="A298" s="16" t="s">
        <v>271</v>
      </c>
      <c r="B298" s="29" t="s">
        <v>98</v>
      </c>
      <c r="C298" s="29" t="s">
        <v>19</v>
      </c>
      <c r="D298" s="50" t="s">
        <v>347</v>
      </c>
      <c r="E298" s="37" t="s">
        <v>272</v>
      </c>
      <c r="F298" s="31"/>
    </row>
    <row r="299" spans="1:6" ht="15" hidden="1">
      <c r="A299" s="73" t="s">
        <v>193</v>
      </c>
      <c r="B299" s="29" t="s">
        <v>98</v>
      </c>
      <c r="C299" s="29" t="s">
        <v>19</v>
      </c>
      <c r="D299" s="50" t="s">
        <v>347</v>
      </c>
      <c r="E299" s="37" t="s">
        <v>194</v>
      </c>
      <c r="F299" s="31"/>
    </row>
    <row r="300" spans="1:6" ht="38.25" hidden="1">
      <c r="A300" s="51" t="s">
        <v>348</v>
      </c>
      <c r="B300" s="29" t="s">
        <v>98</v>
      </c>
      <c r="C300" s="29" t="s">
        <v>19</v>
      </c>
      <c r="D300" s="50" t="s">
        <v>349</v>
      </c>
      <c r="E300" s="37"/>
      <c r="F300" s="31">
        <f>F301+F302</f>
        <v>0</v>
      </c>
    </row>
    <row r="301" spans="1:6" ht="26.25" hidden="1">
      <c r="A301" s="16" t="s">
        <v>271</v>
      </c>
      <c r="B301" s="29" t="s">
        <v>98</v>
      </c>
      <c r="C301" s="29" t="s">
        <v>19</v>
      </c>
      <c r="D301" s="50" t="s">
        <v>349</v>
      </c>
      <c r="E301" s="37" t="s">
        <v>272</v>
      </c>
      <c r="F301" s="31"/>
    </row>
    <row r="302" spans="1:6" ht="15" hidden="1">
      <c r="A302" s="73" t="s">
        <v>193</v>
      </c>
      <c r="B302" s="29" t="s">
        <v>98</v>
      </c>
      <c r="C302" s="29" t="s">
        <v>19</v>
      </c>
      <c r="D302" s="50" t="s">
        <v>349</v>
      </c>
      <c r="E302" s="37" t="s">
        <v>194</v>
      </c>
      <c r="F302" s="31"/>
    </row>
    <row r="303" spans="1:6" ht="25.5" hidden="1">
      <c r="A303" s="51" t="s">
        <v>350</v>
      </c>
      <c r="B303" s="29" t="s">
        <v>98</v>
      </c>
      <c r="C303" s="29" t="s">
        <v>19</v>
      </c>
      <c r="D303" s="50" t="s">
        <v>351</v>
      </c>
      <c r="E303" s="37"/>
      <c r="F303" s="31">
        <f>F304+F305</f>
        <v>0</v>
      </c>
    </row>
    <row r="304" spans="1:6" ht="26.25" hidden="1">
      <c r="A304" s="16" t="s">
        <v>271</v>
      </c>
      <c r="B304" s="29" t="s">
        <v>98</v>
      </c>
      <c r="C304" s="29" t="s">
        <v>19</v>
      </c>
      <c r="D304" s="50" t="s">
        <v>351</v>
      </c>
      <c r="E304" s="37" t="s">
        <v>272</v>
      </c>
      <c r="F304" s="31"/>
    </row>
    <row r="305" spans="1:6" ht="15" hidden="1">
      <c r="A305" s="73" t="s">
        <v>193</v>
      </c>
      <c r="B305" s="29" t="s">
        <v>98</v>
      </c>
      <c r="C305" s="29" t="s">
        <v>19</v>
      </c>
      <c r="D305" s="50" t="s">
        <v>351</v>
      </c>
      <c r="E305" s="37" t="s">
        <v>194</v>
      </c>
      <c r="F305" s="31"/>
    </row>
    <row r="306" spans="1:6" ht="39">
      <c r="A306" s="77" t="s">
        <v>333</v>
      </c>
      <c r="B306" s="29" t="s">
        <v>98</v>
      </c>
      <c r="C306" s="29" t="s">
        <v>19</v>
      </c>
      <c r="D306" s="50" t="s">
        <v>303</v>
      </c>
      <c r="E306" s="37"/>
      <c r="F306" s="31">
        <f>F307</f>
        <v>7000000</v>
      </c>
    </row>
    <row r="307" spans="1:6" s="42" customFormat="1" ht="77.25">
      <c r="A307" s="73" t="s">
        <v>334</v>
      </c>
      <c r="B307" s="38" t="s">
        <v>98</v>
      </c>
      <c r="C307" s="38" t="s">
        <v>19</v>
      </c>
      <c r="D307" s="58" t="s">
        <v>335</v>
      </c>
      <c r="E307" s="40"/>
      <c r="F307" s="41">
        <f>F308+F315</f>
        <v>7000000</v>
      </c>
    </row>
    <row r="308" spans="1:6" ht="38.25">
      <c r="A308" s="10" t="s">
        <v>352</v>
      </c>
      <c r="B308" s="29" t="s">
        <v>98</v>
      </c>
      <c r="C308" s="29" t="s">
        <v>19</v>
      </c>
      <c r="D308" s="47" t="s">
        <v>353</v>
      </c>
      <c r="E308" s="37"/>
      <c r="F308" s="31">
        <f>F309+F313</f>
        <v>0</v>
      </c>
    </row>
    <row r="309" spans="1:6" ht="25.5">
      <c r="A309" s="10" t="s">
        <v>354</v>
      </c>
      <c r="B309" s="29" t="s">
        <v>98</v>
      </c>
      <c r="C309" s="29" t="s">
        <v>19</v>
      </c>
      <c r="D309" s="47" t="s">
        <v>355</v>
      </c>
      <c r="E309" s="37"/>
      <c r="F309" s="31">
        <f>F310+F312+F311</f>
        <v>0</v>
      </c>
    </row>
    <row r="310" spans="1:6" s="42" customFormat="1" ht="13.5" customHeight="1">
      <c r="A310" s="35" t="s">
        <v>92</v>
      </c>
      <c r="B310" s="29" t="s">
        <v>98</v>
      </c>
      <c r="C310" s="29" t="s">
        <v>19</v>
      </c>
      <c r="D310" s="47" t="s">
        <v>355</v>
      </c>
      <c r="E310" s="37" t="s">
        <v>39</v>
      </c>
      <c r="F310" s="31">
        <f>447443-447443</f>
        <v>0</v>
      </c>
    </row>
    <row r="311" spans="1:6" s="42" customFormat="1" ht="26.25" hidden="1">
      <c r="A311" s="16" t="s">
        <v>271</v>
      </c>
      <c r="B311" s="29" t="s">
        <v>98</v>
      </c>
      <c r="C311" s="29" t="s">
        <v>19</v>
      </c>
      <c r="D311" s="47" t="s">
        <v>355</v>
      </c>
      <c r="E311" s="37" t="s">
        <v>272</v>
      </c>
      <c r="F311" s="31"/>
    </row>
    <row r="312" spans="1:6" s="42" customFormat="1" ht="15" hidden="1">
      <c r="A312" s="35" t="s">
        <v>84</v>
      </c>
      <c r="B312" s="29" t="s">
        <v>98</v>
      </c>
      <c r="C312" s="29" t="s">
        <v>19</v>
      </c>
      <c r="D312" s="47" t="s">
        <v>355</v>
      </c>
      <c r="E312" s="37" t="s">
        <v>85</v>
      </c>
      <c r="F312" s="31"/>
    </row>
    <row r="313" spans="1:6" s="42" customFormat="1" ht="38.25" hidden="1">
      <c r="A313" s="9" t="s">
        <v>356</v>
      </c>
      <c r="B313" s="29" t="s">
        <v>98</v>
      </c>
      <c r="C313" s="29" t="s">
        <v>19</v>
      </c>
      <c r="D313" s="47" t="s">
        <v>357</v>
      </c>
      <c r="E313" s="37"/>
      <c r="F313" s="31">
        <f>F314</f>
        <v>0</v>
      </c>
    </row>
    <row r="314" spans="1:6" s="42" customFormat="1" ht="15" hidden="1">
      <c r="A314" s="35" t="s">
        <v>193</v>
      </c>
      <c r="B314" s="29" t="s">
        <v>98</v>
      </c>
      <c r="C314" s="29" t="s">
        <v>19</v>
      </c>
      <c r="D314" s="47" t="s">
        <v>357</v>
      </c>
      <c r="E314" s="37" t="s">
        <v>194</v>
      </c>
      <c r="F314" s="31">
        <f>400000-400000</f>
        <v>0</v>
      </c>
    </row>
    <row r="315" spans="1:6" s="42" customFormat="1" ht="31.5" customHeight="1">
      <c r="A315" s="35" t="s">
        <v>358</v>
      </c>
      <c r="B315" s="29" t="s">
        <v>98</v>
      </c>
      <c r="C315" s="29" t="s">
        <v>19</v>
      </c>
      <c r="D315" s="47" t="s">
        <v>359</v>
      </c>
      <c r="E315" s="37"/>
      <c r="F315" s="31">
        <f>F316</f>
        <v>7000000</v>
      </c>
    </row>
    <row r="316" spans="1:6" s="42" customFormat="1" ht="18" customHeight="1">
      <c r="A316" s="35" t="s">
        <v>360</v>
      </c>
      <c r="B316" s="29" t="s">
        <v>98</v>
      </c>
      <c r="C316" s="29" t="s">
        <v>19</v>
      </c>
      <c r="D316" s="47" t="s">
        <v>361</v>
      </c>
      <c r="E316" s="37"/>
      <c r="F316" s="31">
        <f>F317</f>
        <v>7000000</v>
      </c>
    </row>
    <row r="317" spans="1:6" s="42" customFormat="1" ht="15">
      <c r="A317" s="35" t="s">
        <v>84</v>
      </c>
      <c r="B317" s="29" t="s">
        <v>98</v>
      </c>
      <c r="C317" s="29" t="s">
        <v>19</v>
      </c>
      <c r="D317" s="47" t="s">
        <v>361</v>
      </c>
      <c r="E317" s="37" t="s">
        <v>85</v>
      </c>
      <c r="F317" s="31">
        <f>300000+2700000+4000000</f>
        <v>7000000</v>
      </c>
    </row>
    <row r="318" spans="1:6" ht="15">
      <c r="A318" s="73" t="s">
        <v>362</v>
      </c>
      <c r="B318" s="29" t="s">
        <v>102</v>
      </c>
      <c r="C318" s="29"/>
      <c r="D318" s="50"/>
      <c r="E318" s="37"/>
      <c r="F318" s="31">
        <f aca="true" t="shared" si="1" ref="F318:F323">F319</f>
        <v>2700000</v>
      </c>
    </row>
    <row r="319" spans="1:6" ht="15">
      <c r="A319" s="48" t="s">
        <v>363</v>
      </c>
      <c r="B319" s="29" t="s">
        <v>102</v>
      </c>
      <c r="C319" s="29" t="s">
        <v>98</v>
      </c>
      <c r="D319" s="50"/>
      <c r="E319" s="37"/>
      <c r="F319" s="31">
        <f t="shared" si="1"/>
        <v>2700000</v>
      </c>
    </row>
    <row r="320" spans="1:6" ht="39">
      <c r="A320" s="16" t="s">
        <v>341</v>
      </c>
      <c r="B320" s="29" t="s">
        <v>102</v>
      </c>
      <c r="C320" s="29" t="s">
        <v>98</v>
      </c>
      <c r="D320" s="50" t="s">
        <v>342</v>
      </c>
      <c r="E320" s="37"/>
      <c r="F320" s="31">
        <f t="shared" si="1"/>
        <v>2700000</v>
      </c>
    </row>
    <row r="321" spans="1:6" ht="51.75">
      <c r="A321" s="16" t="s">
        <v>343</v>
      </c>
      <c r="B321" s="29" t="s">
        <v>102</v>
      </c>
      <c r="C321" s="29" t="s">
        <v>98</v>
      </c>
      <c r="D321" s="50" t="s">
        <v>344</v>
      </c>
      <c r="E321" s="37"/>
      <c r="F321" s="31">
        <f t="shared" si="1"/>
        <v>2700000</v>
      </c>
    </row>
    <row r="322" spans="1:6" ht="15">
      <c r="A322" s="16" t="s">
        <v>364</v>
      </c>
      <c r="B322" s="29" t="s">
        <v>102</v>
      </c>
      <c r="C322" s="29" t="s">
        <v>98</v>
      </c>
      <c r="D322" s="50" t="s">
        <v>365</v>
      </c>
      <c r="E322" s="37"/>
      <c r="F322" s="31">
        <f t="shared" si="1"/>
        <v>2700000</v>
      </c>
    </row>
    <row r="323" spans="1:6" ht="15">
      <c r="A323" s="16" t="s">
        <v>366</v>
      </c>
      <c r="B323" s="29" t="s">
        <v>102</v>
      </c>
      <c r="C323" s="29" t="s">
        <v>98</v>
      </c>
      <c r="D323" s="50" t="s">
        <v>367</v>
      </c>
      <c r="E323" s="37"/>
      <c r="F323" s="31">
        <f t="shared" si="1"/>
        <v>2700000</v>
      </c>
    </row>
    <row r="324" spans="1:6" ht="26.25">
      <c r="A324" s="35" t="s">
        <v>38</v>
      </c>
      <c r="B324" s="29" t="s">
        <v>102</v>
      </c>
      <c r="C324" s="29" t="s">
        <v>98</v>
      </c>
      <c r="D324" s="50" t="s">
        <v>367</v>
      </c>
      <c r="E324" s="37" t="s">
        <v>39</v>
      </c>
      <c r="F324" s="31">
        <f>900000+1800000</f>
        <v>2700000</v>
      </c>
    </row>
    <row r="325" spans="1:8" ht="18.75" customHeight="1">
      <c r="A325" s="16" t="s">
        <v>368</v>
      </c>
      <c r="B325" s="29" t="s">
        <v>109</v>
      </c>
      <c r="C325" s="29"/>
      <c r="D325" s="50"/>
      <c r="E325" s="56"/>
      <c r="F325" s="31">
        <f>F461+F326+F351+F494+F440</f>
        <v>508439011.6</v>
      </c>
      <c r="H325" s="21"/>
    </row>
    <row r="326" spans="1:8" ht="15">
      <c r="A326" s="16" t="s">
        <v>369</v>
      </c>
      <c r="B326" s="29" t="s">
        <v>109</v>
      </c>
      <c r="C326" s="29" t="s">
        <v>17</v>
      </c>
      <c r="D326" s="50"/>
      <c r="E326" s="56"/>
      <c r="F326" s="31">
        <f>F327+F342</f>
        <v>108557030.72</v>
      </c>
      <c r="H326" s="21"/>
    </row>
    <row r="327" spans="1:6" ht="26.25">
      <c r="A327" s="16" t="s">
        <v>370</v>
      </c>
      <c r="B327" s="29" t="s">
        <v>109</v>
      </c>
      <c r="C327" s="29" t="s">
        <v>17</v>
      </c>
      <c r="D327" s="29" t="s">
        <v>371</v>
      </c>
      <c r="E327" s="30"/>
      <c r="F327" s="31">
        <f>F328</f>
        <v>108557030.72</v>
      </c>
    </row>
    <row r="328" spans="1:6" s="42" customFormat="1" ht="39">
      <c r="A328" s="15" t="s">
        <v>372</v>
      </c>
      <c r="B328" s="38" t="s">
        <v>109</v>
      </c>
      <c r="C328" s="38" t="s">
        <v>17</v>
      </c>
      <c r="D328" s="38" t="s">
        <v>373</v>
      </c>
      <c r="E328" s="45"/>
      <c r="F328" s="41">
        <f>F329+F347</f>
        <v>108557030.72</v>
      </c>
    </row>
    <row r="329" spans="1:6" ht="25.5">
      <c r="A329" s="10" t="s">
        <v>374</v>
      </c>
      <c r="B329" s="29" t="s">
        <v>109</v>
      </c>
      <c r="C329" s="29" t="s">
        <v>17</v>
      </c>
      <c r="D329" s="29" t="s">
        <v>375</v>
      </c>
      <c r="E329" s="30"/>
      <c r="F329" s="31">
        <f>F330+F337+F333+F335</f>
        <v>104069686.72</v>
      </c>
    </row>
    <row r="330" spans="1:6" ht="73.5" customHeight="1">
      <c r="A330" s="44" t="s">
        <v>376</v>
      </c>
      <c r="B330" s="29" t="s">
        <v>109</v>
      </c>
      <c r="C330" s="29" t="s">
        <v>17</v>
      </c>
      <c r="D330" s="29" t="s">
        <v>377</v>
      </c>
      <c r="E330" s="30"/>
      <c r="F330" s="31">
        <f>F331+F332</f>
        <v>57617557</v>
      </c>
    </row>
    <row r="331" spans="1:6" ht="38.25">
      <c r="A331" s="78" t="s">
        <v>26</v>
      </c>
      <c r="B331" s="29" t="s">
        <v>109</v>
      </c>
      <c r="C331" s="29" t="s">
        <v>17</v>
      </c>
      <c r="D331" s="29" t="s">
        <v>377</v>
      </c>
      <c r="E331" s="30" t="s">
        <v>27</v>
      </c>
      <c r="F331" s="31">
        <v>57132120</v>
      </c>
    </row>
    <row r="332" spans="1:6" ht="26.25">
      <c r="A332" s="35" t="s">
        <v>38</v>
      </c>
      <c r="B332" s="29" t="s">
        <v>109</v>
      </c>
      <c r="C332" s="29" t="s">
        <v>17</v>
      </c>
      <c r="D332" s="29" t="s">
        <v>377</v>
      </c>
      <c r="E332" s="30" t="s">
        <v>39</v>
      </c>
      <c r="F332" s="31">
        <v>485437</v>
      </c>
    </row>
    <row r="333" spans="1:6" ht="26.25">
      <c r="A333" s="35" t="s">
        <v>408</v>
      </c>
      <c r="B333" s="29" t="s">
        <v>109</v>
      </c>
      <c r="C333" s="29" t="s">
        <v>17</v>
      </c>
      <c r="D333" s="29" t="s">
        <v>686</v>
      </c>
      <c r="E333" s="30"/>
      <c r="F333" s="31">
        <v>585916</v>
      </c>
    </row>
    <row r="334" spans="1:6" ht="26.25">
      <c r="A334" s="35" t="s">
        <v>38</v>
      </c>
      <c r="B334" s="29" t="s">
        <v>109</v>
      </c>
      <c r="C334" s="29" t="s">
        <v>17</v>
      </c>
      <c r="D334" s="29" t="s">
        <v>686</v>
      </c>
      <c r="E334" s="30" t="s">
        <v>39</v>
      </c>
      <c r="F334" s="31">
        <v>585916</v>
      </c>
    </row>
    <row r="335" spans="1:6" ht="26.25">
      <c r="A335" s="35" t="s">
        <v>410</v>
      </c>
      <c r="B335" s="29" t="s">
        <v>109</v>
      </c>
      <c r="C335" s="29" t="s">
        <v>17</v>
      </c>
      <c r="D335" s="29" t="s">
        <v>687</v>
      </c>
      <c r="E335" s="30"/>
      <c r="F335" s="31">
        <v>315494</v>
      </c>
    </row>
    <row r="336" spans="1:6" ht="26.25">
      <c r="A336" s="35" t="s">
        <v>38</v>
      </c>
      <c r="B336" s="29" t="s">
        <v>109</v>
      </c>
      <c r="C336" s="29" t="s">
        <v>17</v>
      </c>
      <c r="D336" s="29" t="s">
        <v>687</v>
      </c>
      <c r="E336" s="30" t="s">
        <v>39</v>
      </c>
      <c r="F336" s="31">
        <v>315494</v>
      </c>
    </row>
    <row r="337" spans="1:6" ht="25.5">
      <c r="A337" s="10" t="s">
        <v>201</v>
      </c>
      <c r="B337" s="29" t="s">
        <v>109</v>
      </c>
      <c r="C337" s="29" t="s">
        <v>17</v>
      </c>
      <c r="D337" s="29" t="s">
        <v>378</v>
      </c>
      <c r="E337" s="30"/>
      <c r="F337" s="31">
        <f>F338+F339+F341+F340</f>
        <v>45550719.72</v>
      </c>
    </row>
    <row r="338" spans="1:8" ht="39">
      <c r="A338" s="35" t="s">
        <v>26</v>
      </c>
      <c r="B338" s="29" t="s">
        <v>109</v>
      </c>
      <c r="C338" s="29" t="s">
        <v>17</v>
      </c>
      <c r="D338" s="29" t="s">
        <v>378</v>
      </c>
      <c r="E338" s="30" t="s">
        <v>27</v>
      </c>
      <c r="F338" s="31">
        <f>21066254+6322746</f>
        <v>27389000</v>
      </c>
      <c r="H338" s="21"/>
    </row>
    <row r="339" spans="1:6" ht="26.25">
      <c r="A339" s="35" t="s">
        <v>38</v>
      </c>
      <c r="B339" s="29" t="s">
        <v>109</v>
      </c>
      <c r="C339" s="29" t="s">
        <v>17</v>
      </c>
      <c r="D339" s="29" t="s">
        <v>378</v>
      </c>
      <c r="E339" s="30" t="s">
        <v>39</v>
      </c>
      <c r="F339" s="31">
        <f>15992497.32+430018.4-10000</f>
        <v>16412515.72</v>
      </c>
    </row>
    <row r="340" spans="1:6" ht="26.25" hidden="1">
      <c r="A340" s="16" t="s">
        <v>271</v>
      </c>
      <c r="B340" s="29" t="s">
        <v>109</v>
      </c>
      <c r="C340" s="29" t="s">
        <v>17</v>
      </c>
      <c r="D340" s="29" t="s">
        <v>378</v>
      </c>
      <c r="E340" s="30" t="s">
        <v>272</v>
      </c>
      <c r="F340" s="31"/>
    </row>
    <row r="341" spans="1:9" ht="14.25" customHeight="1">
      <c r="A341" s="10" t="s">
        <v>84</v>
      </c>
      <c r="B341" s="29" t="s">
        <v>109</v>
      </c>
      <c r="C341" s="29" t="s">
        <v>17</v>
      </c>
      <c r="D341" s="29" t="s">
        <v>378</v>
      </c>
      <c r="E341" s="30" t="s">
        <v>85</v>
      </c>
      <c r="F341" s="31">
        <v>1749204</v>
      </c>
      <c r="H341" s="79"/>
      <c r="I341" s="21"/>
    </row>
    <row r="342" spans="1:9" ht="39" hidden="1">
      <c r="A342" s="75" t="s">
        <v>379</v>
      </c>
      <c r="B342" s="29" t="s">
        <v>109</v>
      </c>
      <c r="C342" s="29" t="s">
        <v>17</v>
      </c>
      <c r="D342" s="50" t="s">
        <v>295</v>
      </c>
      <c r="E342" s="30"/>
      <c r="F342" s="31">
        <f>F343</f>
        <v>0</v>
      </c>
      <c r="H342" s="79"/>
      <c r="I342" s="21"/>
    </row>
    <row r="343" spans="1:9" ht="51.75" hidden="1">
      <c r="A343" s="73" t="s">
        <v>380</v>
      </c>
      <c r="B343" s="29" t="s">
        <v>109</v>
      </c>
      <c r="C343" s="29" t="s">
        <v>17</v>
      </c>
      <c r="D343" s="50" t="s">
        <v>381</v>
      </c>
      <c r="E343" s="30"/>
      <c r="F343" s="31">
        <f>F344</f>
        <v>0</v>
      </c>
      <c r="H343" s="79"/>
      <c r="I343" s="21"/>
    </row>
    <row r="344" spans="1:9" ht="15" hidden="1">
      <c r="A344" s="10" t="s">
        <v>382</v>
      </c>
      <c r="B344" s="29" t="s">
        <v>109</v>
      </c>
      <c r="C344" s="29" t="s">
        <v>17</v>
      </c>
      <c r="D344" s="47" t="s">
        <v>299</v>
      </c>
      <c r="E344" s="30"/>
      <c r="F344" s="31">
        <f>F345</f>
        <v>0</v>
      </c>
      <c r="H344" s="79"/>
      <c r="I344" s="21"/>
    </row>
    <row r="345" spans="1:9" ht="15" hidden="1">
      <c r="A345" s="80" t="s">
        <v>300</v>
      </c>
      <c r="B345" s="29" t="s">
        <v>109</v>
      </c>
      <c r="C345" s="29" t="s">
        <v>17</v>
      </c>
      <c r="D345" s="47" t="s">
        <v>301</v>
      </c>
      <c r="E345" s="30"/>
      <c r="F345" s="31">
        <f>F346</f>
        <v>0</v>
      </c>
      <c r="H345" s="79"/>
      <c r="I345" s="21"/>
    </row>
    <row r="346" spans="1:9" ht="26.25" hidden="1">
      <c r="A346" s="35" t="s">
        <v>38</v>
      </c>
      <c r="B346" s="29" t="s">
        <v>109</v>
      </c>
      <c r="C346" s="29" t="s">
        <v>17</v>
      </c>
      <c r="D346" s="47" t="s">
        <v>301</v>
      </c>
      <c r="E346" s="30" t="s">
        <v>39</v>
      </c>
      <c r="F346" s="31"/>
      <c r="H346" s="79"/>
      <c r="I346" s="21"/>
    </row>
    <row r="347" spans="1:9" ht="26.25">
      <c r="A347" s="35" t="s">
        <v>570</v>
      </c>
      <c r="B347" s="29" t="s">
        <v>109</v>
      </c>
      <c r="C347" s="29" t="s">
        <v>17</v>
      </c>
      <c r="D347" s="47" t="s">
        <v>571</v>
      </c>
      <c r="E347" s="30"/>
      <c r="F347" s="31">
        <v>4487344</v>
      </c>
      <c r="H347" s="79"/>
      <c r="I347" s="21"/>
    </row>
    <row r="348" spans="1:9" ht="39">
      <c r="A348" s="35" t="s">
        <v>760</v>
      </c>
      <c r="B348" s="29" t="s">
        <v>109</v>
      </c>
      <c r="C348" s="29" t="s">
        <v>17</v>
      </c>
      <c r="D348" s="47" t="s">
        <v>759</v>
      </c>
      <c r="E348" s="30"/>
      <c r="F348" s="31">
        <v>4487344</v>
      </c>
      <c r="H348" s="79"/>
      <c r="I348" s="21"/>
    </row>
    <row r="349" spans="1:9" ht="39">
      <c r="A349" s="35" t="s">
        <v>26</v>
      </c>
      <c r="B349" s="29" t="s">
        <v>109</v>
      </c>
      <c r="C349" s="29" t="s">
        <v>17</v>
      </c>
      <c r="D349" s="47" t="s">
        <v>759</v>
      </c>
      <c r="E349" s="30" t="s">
        <v>27</v>
      </c>
      <c r="F349" s="31">
        <v>3227344</v>
      </c>
      <c r="H349" s="79"/>
      <c r="I349" s="21"/>
    </row>
    <row r="350" spans="1:9" ht="15">
      <c r="A350" s="35" t="s">
        <v>211</v>
      </c>
      <c r="B350" s="29" t="s">
        <v>109</v>
      </c>
      <c r="C350" s="29" t="s">
        <v>17</v>
      </c>
      <c r="D350" s="47" t="s">
        <v>759</v>
      </c>
      <c r="E350" s="30" t="s">
        <v>212</v>
      </c>
      <c r="F350" s="31">
        <v>1260000</v>
      </c>
      <c r="H350" s="79"/>
      <c r="I350" s="21"/>
    </row>
    <row r="351" spans="1:8" ht="15">
      <c r="A351" s="16" t="s">
        <v>383</v>
      </c>
      <c r="B351" s="29" t="s">
        <v>109</v>
      </c>
      <c r="C351" s="29" t="s">
        <v>19</v>
      </c>
      <c r="D351" s="29"/>
      <c r="E351" s="30"/>
      <c r="F351" s="31">
        <f>F352+F422+F430+F408+F435+F413</f>
        <v>362691467.88</v>
      </c>
      <c r="H351" s="32"/>
    </row>
    <row r="352" spans="1:6" ht="26.25">
      <c r="A352" s="16" t="s">
        <v>370</v>
      </c>
      <c r="B352" s="29" t="s">
        <v>109</v>
      </c>
      <c r="C352" s="29" t="s">
        <v>19</v>
      </c>
      <c r="D352" s="29" t="s">
        <v>371</v>
      </c>
      <c r="E352" s="30"/>
      <c r="F352" s="31">
        <f>F353+F402</f>
        <v>362634507.88</v>
      </c>
    </row>
    <row r="353" spans="1:6" s="42" customFormat="1" ht="39">
      <c r="A353" s="15" t="s">
        <v>372</v>
      </c>
      <c r="B353" s="29" t="s">
        <v>109</v>
      </c>
      <c r="C353" s="29" t="s">
        <v>19</v>
      </c>
      <c r="D353" s="29" t="s">
        <v>373</v>
      </c>
      <c r="E353" s="30"/>
      <c r="F353" s="41">
        <f>F354+F360+F363+F358+F396</f>
        <v>362634507.88</v>
      </c>
    </row>
    <row r="354" spans="1:6" s="42" customFormat="1" ht="15">
      <c r="A354" s="10" t="s">
        <v>384</v>
      </c>
      <c r="B354" s="29" t="s">
        <v>109</v>
      </c>
      <c r="C354" s="29" t="s">
        <v>19</v>
      </c>
      <c r="D354" s="29" t="s">
        <v>385</v>
      </c>
      <c r="E354" s="45"/>
      <c r="F354" s="41">
        <f>F355</f>
        <v>4487736</v>
      </c>
    </row>
    <row r="355" spans="1:6" s="42" customFormat="1" ht="53.25" customHeight="1">
      <c r="A355" s="10" t="s">
        <v>386</v>
      </c>
      <c r="B355" s="29" t="s">
        <v>109</v>
      </c>
      <c r="C355" s="29" t="s">
        <v>19</v>
      </c>
      <c r="D355" s="29" t="s">
        <v>387</v>
      </c>
      <c r="E355" s="45"/>
      <c r="F355" s="41">
        <f>F356</f>
        <v>4487736</v>
      </c>
    </row>
    <row r="356" spans="1:6" s="42" customFormat="1" ht="25.5" customHeight="1">
      <c r="A356" s="35" t="s">
        <v>38</v>
      </c>
      <c r="B356" s="29" t="s">
        <v>109</v>
      </c>
      <c r="C356" s="29" t="s">
        <v>19</v>
      </c>
      <c r="D356" s="29" t="s">
        <v>387</v>
      </c>
      <c r="E356" s="30" t="s">
        <v>39</v>
      </c>
      <c r="F356" s="31">
        <v>4487736</v>
      </c>
    </row>
    <row r="357" spans="1:6" s="42" customFormat="1" ht="15">
      <c r="A357" s="81" t="s">
        <v>388</v>
      </c>
      <c r="B357" s="29" t="s">
        <v>109</v>
      </c>
      <c r="C357" s="29" t="s">
        <v>19</v>
      </c>
      <c r="D357" s="29" t="s">
        <v>389</v>
      </c>
      <c r="E357" s="45"/>
      <c r="F357" s="31">
        <f>F358</f>
        <v>4435742</v>
      </c>
    </row>
    <row r="358" spans="1:6" s="42" customFormat="1" ht="26.25">
      <c r="A358" s="81" t="s">
        <v>390</v>
      </c>
      <c r="B358" s="29" t="s">
        <v>109</v>
      </c>
      <c r="C358" s="29" t="s">
        <v>19</v>
      </c>
      <c r="D358" s="29" t="s">
        <v>391</v>
      </c>
      <c r="E358" s="45"/>
      <c r="F358" s="31">
        <f>F359</f>
        <v>4435742</v>
      </c>
    </row>
    <row r="359" spans="1:6" s="42" customFormat="1" ht="26.25">
      <c r="A359" s="35" t="s">
        <v>38</v>
      </c>
      <c r="B359" s="29" t="s">
        <v>109</v>
      </c>
      <c r="C359" s="29" t="s">
        <v>19</v>
      </c>
      <c r="D359" s="29" t="s">
        <v>391</v>
      </c>
      <c r="E359" s="30" t="s">
        <v>39</v>
      </c>
      <c r="F359" s="31">
        <f>4434764+978</f>
        <v>4435742</v>
      </c>
    </row>
    <row r="360" spans="1:6" s="42" customFormat="1" ht="25.5">
      <c r="A360" s="10" t="s">
        <v>392</v>
      </c>
      <c r="B360" s="29" t="s">
        <v>109</v>
      </c>
      <c r="C360" s="29" t="s">
        <v>19</v>
      </c>
      <c r="D360" s="29" t="s">
        <v>393</v>
      </c>
      <c r="E360" s="30"/>
      <c r="F360" s="31">
        <f>F361</f>
        <v>7746796</v>
      </c>
    </row>
    <row r="361" spans="1:6" s="42" customFormat="1" ht="36" customHeight="1">
      <c r="A361" s="59" t="s">
        <v>394</v>
      </c>
      <c r="B361" s="29" t="s">
        <v>109</v>
      </c>
      <c r="C361" s="29" t="s">
        <v>19</v>
      </c>
      <c r="D361" s="47" t="s">
        <v>395</v>
      </c>
      <c r="E361" s="30"/>
      <c r="F361" s="31">
        <f>F362</f>
        <v>7746796</v>
      </c>
    </row>
    <row r="362" spans="1:6" s="42" customFormat="1" ht="26.25">
      <c r="A362" s="35" t="s">
        <v>38</v>
      </c>
      <c r="B362" s="29" t="s">
        <v>109</v>
      </c>
      <c r="C362" s="29" t="s">
        <v>19</v>
      </c>
      <c r="D362" s="47" t="s">
        <v>395</v>
      </c>
      <c r="E362" s="30" t="s">
        <v>39</v>
      </c>
      <c r="F362" s="31">
        <v>7746796</v>
      </c>
    </row>
    <row r="363" spans="1:6" ht="25.5">
      <c r="A363" s="10" t="s">
        <v>396</v>
      </c>
      <c r="B363" s="29" t="s">
        <v>109</v>
      </c>
      <c r="C363" s="29" t="s">
        <v>19</v>
      </c>
      <c r="D363" s="29" t="s">
        <v>397</v>
      </c>
      <c r="E363" s="30"/>
      <c r="F363" s="31">
        <f>F372+F375+F377+F379+F381+F383+F385+F388+F392+F394+F366+F364+F368+F370</f>
        <v>329950987.88</v>
      </c>
    </row>
    <row r="364" spans="1:6" ht="38.25">
      <c r="A364" s="59" t="s">
        <v>398</v>
      </c>
      <c r="B364" s="29" t="s">
        <v>109</v>
      </c>
      <c r="C364" s="29" t="s">
        <v>19</v>
      </c>
      <c r="D364" s="47" t="s">
        <v>399</v>
      </c>
      <c r="E364" s="30"/>
      <c r="F364" s="31">
        <f>F365</f>
        <v>8427743</v>
      </c>
    </row>
    <row r="365" spans="1:6" ht="26.25">
      <c r="A365" s="35" t="s">
        <v>38</v>
      </c>
      <c r="B365" s="29" t="s">
        <v>109</v>
      </c>
      <c r="C365" s="29" t="s">
        <v>19</v>
      </c>
      <c r="D365" s="47" t="s">
        <v>399</v>
      </c>
      <c r="E365" s="30" t="s">
        <v>39</v>
      </c>
      <c r="F365" s="31">
        <v>8427743</v>
      </c>
    </row>
    <row r="366" spans="1:6" ht="43.5" customHeight="1">
      <c r="A366" s="10" t="s">
        <v>400</v>
      </c>
      <c r="B366" s="29" t="s">
        <v>109</v>
      </c>
      <c r="C366" s="29" t="s">
        <v>19</v>
      </c>
      <c r="D366" s="29" t="s">
        <v>401</v>
      </c>
      <c r="E366" s="30"/>
      <c r="F366" s="31">
        <f>F367</f>
        <v>16439201</v>
      </c>
    </row>
    <row r="367" spans="1:6" ht="39">
      <c r="A367" s="35" t="s">
        <v>26</v>
      </c>
      <c r="B367" s="29" t="s">
        <v>109</v>
      </c>
      <c r="C367" s="29" t="s">
        <v>19</v>
      </c>
      <c r="D367" s="29" t="s">
        <v>401</v>
      </c>
      <c r="E367" s="30" t="s">
        <v>27</v>
      </c>
      <c r="F367" s="31">
        <f>16873920-434719</f>
        <v>16439201</v>
      </c>
    </row>
    <row r="368" spans="1:6" ht="38.25" hidden="1">
      <c r="A368" s="59" t="s">
        <v>402</v>
      </c>
      <c r="B368" s="29" t="s">
        <v>109</v>
      </c>
      <c r="C368" s="29" t="s">
        <v>19</v>
      </c>
      <c r="D368" s="47" t="s">
        <v>403</v>
      </c>
      <c r="E368" s="30"/>
      <c r="F368" s="31">
        <f>F369</f>
        <v>0</v>
      </c>
    </row>
    <row r="369" spans="1:6" ht="26.25" hidden="1">
      <c r="A369" s="35" t="s">
        <v>38</v>
      </c>
      <c r="B369" s="29" t="s">
        <v>109</v>
      </c>
      <c r="C369" s="29" t="s">
        <v>19</v>
      </c>
      <c r="D369" s="47" t="s">
        <v>403</v>
      </c>
      <c r="E369" s="30" t="s">
        <v>39</v>
      </c>
      <c r="F369" s="31"/>
    </row>
    <row r="370" spans="1:6" ht="38.25" hidden="1">
      <c r="A370" s="59" t="s">
        <v>404</v>
      </c>
      <c r="B370" s="29" t="s">
        <v>109</v>
      </c>
      <c r="C370" s="29" t="s">
        <v>19</v>
      </c>
      <c r="D370" s="47" t="s">
        <v>405</v>
      </c>
      <c r="E370" s="30"/>
      <c r="F370" s="31">
        <f>F371</f>
        <v>0</v>
      </c>
    </row>
    <row r="371" spans="1:6" ht="26.25" hidden="1">
      <c r="A371" s="35" t="s">
        <v>38</v>
      </c>
      <c r="B371" s="29" t="s">
        <v>109</v>
      </c>
      <c r="C371" s="29" t="s">
        <v>19</v>
      </c>
      <c r="D371" s="47" t="s">
        <v>405</v>
      </c>
      <c r="E371" s="30" t="s">
        <v>39</v>
      </c>
      <c r="F371" s="31"/>
    </row>
    <row r="372" spans="1:6" ht="77.25">
      <c r="A372" s="44" t="s">
        <v>406</v>
      </c>
      <c r="B372" s="29" t="s">
        <v>109</v>
      </c>
      <c r="C372" s="29" t="s">
        <v>19</v>
      </c>
      <c r="D372" s="29" t="s">
        <v>407</v>
      </c>
      <c r="E372" s="30"/>
      <c r="F372" s="31">
        <f>F373+F374</f>
        <v>257764217</v>
      </c>
    </row>
    <row r="373" spans="1:8" ht="39">
      <c r="A373" s="35" t="s">
        <v>26</v>
      </c>
      <c r="B373" s="29" t="s">
        <v>109</v>
      </c>
      <c r="C373" s="29" t="s">
        <v>19</v>
      </c>
      <c r="D373" s="29" t="s">
        <v>407</v>
      </c>
      <c r="E373" s="30" t="s">
        <v>27</v>
      </c>
      <c r="F373" s="31">
        <v>250857823</v>
      </c>
      <c r="H373" s="21"/>
    </row>
    <row r="374" spans="1:6" ht="26.25">
      <c r="A374" s="35" t="s">
        <v>38</v>
      </c>
      <c r="B374" s="29" t="s">
        <v>109</v>
      </c>
      <c r="C374" s="29" t="s">
        <v>19</v>
      </c>
      <c r="D374" s="29" t="s">
        <v>407</v>
      </c>
      <c r="E374" s="30" t="s">
        <v>39</v>
      </c>
      <c r="F374" s="31">
        <f>742224+280800+5741970+141400</f>
        <v>6906394</v>
      </c>
    </row>
    <row r="375" spans="1:6" ht="26.25">
      <c r="A375" s="44" t="s">
        <v>408</v>
      </c>
      <c r="B375" s="29" t="s">
        <v>109</v>
      </c>
      <c r="C375" s="29" t="s">
        <v>19</v>
      </c>
      <c r="D375" s="29" t="s">
        <v>409</v>
      </c>
      <c r="E375" s="30"/>
      <c r="F375" s="31">
        <f>F376</f>
        <v>2700483</v>
      </c>
    </row>
    <row r="376" spans="1:6" ht="26.25">
      <c r="A376" s="35" t="s">
        <v>38</v>
      </c>
      <c r="B376" s="29" t="s">
        <v>109</v>
      </c>
      <c r="C376" s="29" t="s">
        <v>19</v>
      </c>
      <c r="D376" s="29" t="s">
        <v>409</v>
      </c>
      <c r="E376" s="30" t="s">
        <v>39</v>
      </c>
      <c r="F376" s="31">
        <v>2700483</v>
      </c>
    </row>
    <row r="377" spans="1:6" ht="26.25">
      <c r="A377" s="44" t="s">
        <v>410</v>
      </c>
      <c r="B377" s="29" t="s">
        <v>109</v>
      </c>
      <c r="C377" s="29" t="s">
        <v>19</v>
      </c>
      <c r="D377" s="29" t="s">
        <v>411</v>
      </c>
      <c r="E377" s="30"/>
      <c r="F377" s="31">
        <f>F378</f>
        <v>1454107</v>
      </c>
    </row>
    <row r="378" spans="1:6" ht="26.25">
      <c r="A378" s="35" t="s">
        <v>38</v>
      </c>
      <c r="B378" s="29" t="s">
        <v>109</v>
      </c>
      <c r="C378" s="29" t="s">
        <v>19</v>
      </c>
      <c r="D378" s="29" t="s">
        <v>411</v>
      </c>
      <c r="E378" s="30" t="s">
        <v>39</v>
      </c>
      <c r="F378" s="31">
        <v>1454107</v>
      </c>
    </row>
    <row r="379" spans="1:6" ht="41.25" customHeight="1">
      <c r="A379" s="44" t="s">
        <v>412</v>
      </c>
      <c r="B379" s="29" t="s">
        <v>109</v>
      </c>
      <c r="C379" s="29" t="s">
        <v>19</v>
      </c>
      <c r="D379" s="29" t="s">
        <v>413</v>
      </c>
      <c r="E379" s="30"/>
      <c r="F379" s="31">
        <f>F380</f>
        <v>1085644</v>
      </c>
    </row>
    <row r="380" spans="1:6" ht="26.25">
      <c r="A380" s="35" t="s">
        <v>38</v>
      </c>
      <c r="B380" s="29" t="s">
        <v>109</v>
      </c>
      <c r="C380" s="29" t="s">
        <v>19</v>
      </c>
      <c r="D380" s="29" t="s">
        <v>413</v>
      </c>
      <c r="E380" s="30" t="s">
        <v>39</v>
      </c>
      <c r="F380" s="31">
        <v>1085644</v>
      </c>
    </row>
    <row r="381" spans="1:6" ht="38.25">
      <c r="A381" s="59" t="s">
        <v>414</v>
      </c>
      <c r="B381" s="29" t="s">
        <v>109</v>
      </c>
      <c r="C381" s="29" t="s">
        <v>19</v>
      </c>
      <c r="D381" s="29" t="s">
        <v>415</v>
      </c>
      <c r="E381" s="30"/>
      <c r="F381" s="31">
        <f>F382</f>
        <v>1670986</v>
      </c>
    </row>
    <row r="382" spans="1:6" ht="29.25" customHeight="1">
      <c r="A382" s="35" t="s">
        <v>38</v>
      </c>
      <c r="B382" s="29" t="s">
        <v>109</v>
      </c>
      <c r="C382" s="29" t="s">
        <v>19</v>
      </c>
      <c r="D382" s="29" t="s">
        <v>415</v>
      </c>
      <c r="E382" s="30" t="s">
        <v>39</v>
      </c>
      <c r="F382" s="31">
        <v>1670986</v>
      </c>
    </row>
    <row r="383" spans="1:6" ht="51.75">
      <c r="A383" s="44" t="s">
        <v>416</v>
      </c>
      <c r="B383" s="29" t="s">
        <v>109</v>
      </c>
      <c r="C383" s="29" t="s">
        <v>19</v>
      </c>
      <c r="D383" s="29" t="s">
        <v>417</v>
      </c>
      <c r="E383" s="30"/>
      <c r="F383" s="31">
        <f>F384</f>
        <v>737089</v>
      </c>
    </row>
    <row r="384" spans="1:6" ht="26.25">
      <c r="A384" s="35" t="s">
        <v>38</v>
      </c>
      <c r="B384" s="29" t="s">
        <v>109</v>
      </c>
      <c r="C384" s="29" t="s">
        <v>19</v>
      </c>
      <c r="D384" s="29" t="s">
        <v>417</v>
      </c>
      <c r="E384" s="30" t="s">
        <v>39</v>
      </c>
      <c r="F384" s="31">
        <v>737089</v>
      </c>
    </row>
    <row r="385" spans="1:6" ht="39">
      <c r="A385" s="44" t="s">
        <v>418</v>
      </c>
      <c r="B385" s="29" t="s">
        <v>109</v>
      </c>
      <c r="C385" s="29" t="s">
        <v>19</v>
      </c>
      <c r="D385" s="29" t="s">
        <v>419</v>
      </c>
      <c r="E385" s="30"/>
      <c r="F385" s="31">
        <f>F386+F387</f>
        <v>4929639</v>
      </c>
    </row>
    <row r="386" spans="1:6" ht="30" customHeight="1">
      <c r="A386" s="35" t="s">
        <v>38</v>
      </c>
      <c r="B386" s="29" t="s">
        <v>109</v>
      </c>
      <c r="C386" s="29" t="s">
        <v>19</v>
      </c>
      <c r="D386" s="29" t="s">
        <v>419</v>
      </c>
      <c r="E386" s="30" t="s">
        <v>39</v>
      </c>
      <c r="F386" s="31">
        <f>4929639-628496-1151382</f>
        <v>3149761</v>
      </c>
    </row>
    <row r="387" spans="1:6" ht="15">
      <c r="A387" s="35" t="s">
        <v>211</v>
      </c>
      <c r="B387" s="29" t="s">
        <v>109</v>
      </c>
      <c r="C387" s="29" t="s">
        <v>19</v>
      </c>
      <c r="D387" s="29" t="s">
        <v>419</v>
      </c>
      <c r="E387" s="30" t="s">
        <v>212</v>
      </c>
      <c r="F387" s="31">
        <f>628496+1151382</f>
        <v>1779878</v>
      </c>
    </row>
    <row r="388" spans="1:6" ht="25.5">
      <c r="A388" s="10" t="s">
        <v>201</v>
      </c>
      <c r="B388" s="29" t="s">
        <v>109</v>
      </c>
      <c r="C388" s="29" t="s">
        <v>19</v>
      </c>
      <c r="D388" s="29" t="s">
        <v>420</v>
      </c>
      <c r="E388" s="30"/>
      <c r="F388" s="31">
        <f>F389+F391+F390</f>
        <v>34641878.88</v>
      </c>
    </row>
    <row r="389" spans="1:6" ht="27.75" customHeight="1">
      <c r="A389" s="35" t="s">
        <v>38</v>
      </c>
      <c r="B389" s="29" t="s">
        <v>109</v>
      </c>
      <c r="C389" s="29" t="s">
        <v>19</v>
      </c>
      <c r="D389" s="29" t="s">
        <v>420</v>
      </c>
      <c r="E389" s="30" t="s">
        <v>39</v>
      </c>
      <c r="F389" s="31">
        <f>29120686.28-12950+2585898.6+502980+201800+10000</f>
        <v>32408414.880000003</v>
      </c>
    </row>
    <row r="390" spans="1:6" ht="26.25" hidden="1">
      <c r="A390" s="16" t="s">
        <v>271</v>
      </c>
      <c r="B390" s="29" t="s">
        <v>109</v>
      </c>
      <c r="C390" s="29" t="s">
        <v>19</v>
      </c>
      <c r="D390" s="29" t="s">
        <v>420</v>
      </c>
      <c r="E390" s="30" t="s">
        <v>272</v>
      </c>
      <c r="F390" s="31"/>
    </row>
    <row r="391" spans="1:9" ht="17.25" customHeight="1">
      <c r="A391" s="10" t="s">
        <v>84</v>
      </c>
      <c r="B391" s="29" t="s">
        <v>109</v>
      </c>
      <c r="C391" s="29" t="s">
        <v>19</v>
      </c>
      <c r="D391" s="29" t="s">
        <v>420</v>
      </c>
      <c r="E391" s="30" t="s">
        <v>85</v>
      </c>
      <c r="F391" s="31">
        <v>2233464</v>
      </c>
      <c r="I391" s="21"/>
    </row>
    <row r="392" spans="1:6" ht="15">
      <c r="A392" s="35" t="s">
        <v>421</v>
      </c>
      <c r="B392" s="29" t="s">
        <v>109</v>
      </c>
      <c r="C392" s="29" t="s">
        <v>19</v>
      </c>
      <c r="D392" s="29" t="s">
        <v>422</v>
      </c>
      <c r="E392" s="30"/>
      <c r="F392" s="31">
        <f>F393</f>
        <v>100000</v>
      </c>
    </row>
    <row r="393" spans="1:6" ht="13.5" customHeight="1">
      <c r="A393" s="35" t="s">
        <v>211</v>
      </c>
      <c r="B393" s="29" t="s">
        <v>109</v>
      </c>
      <c r="C393" s="29" t="s">
        <v>19</v>
      </c>
      <c r="D393" s="29" t="s">
        <v>422</v>
      </c>
      <c r="E393" s="30" t="s">
        <v>212</v>
      </c>
      <c r="F393" s="31">
        <v>100000</v>
      </c>
    </row>
    <row r="394" spans="1:6" ht="25.5" hidden="1">
      <c r="A394" s="10" t="s">
        <v>236</v>
      </c>
      <c r="B394" s="29" t="s">
        <v>109</v>
      </c>
      <c r="C394" s="29" t="s">
        <v>19</v>
      </c>
      <c r="D394" s="29" t="s">
        <v>423</v>
      </c>
      <c r="E394" s="30"/>
      <c r="F394" s="31">
        <f>F395</f>
        <v>0</v>
      </c>
    </row>
    <row r="395" spans="1:6" ht="26.25" hidden="1">
      <c r="A395" s="35" t="s">
        <v>38</v>
      </c>
      <c r="B395" s="29" t="s">
        <v>109</v>
      </c>
      <c r="C395" s="29" t="s">
        <v>19</v>
      </c>
      <c r="D395" s="29" t="s">
        <v>423</v>
      </c>
      <c r="E395" s="30" t="s">
        <v>39</v>
      </c>
      <c r="F395" s="31"/>
    </row>
    <row r="396" spans="1:6" ht="25.5">
      <c r="A396" s="10" t="s">
        <v>570</v>
      </c>
      <c r="B396" s="29" t="s">
        <v>109</v>
      </c>
      <c r="C396" s="29" t="s">
        <v>19</v>
      </c>
      <c r="D396" s="29" t="s">
        <v>571</v>
      </c>
      <c r="E396" s="30"/>
      <c r="F396" s="31">
        <f>F397+F400</f>
        <v>16013246</v>
      </c>
    </row>
    <row r="397" spans="1:6" ht="39">
      <c r="A397" s="35" t="s">
        <v>760</v>
      </c>
      <c r="B397" s="29" t="s">
        <v>109</v>
      </c>
      <c r="C397" s="29" t="s">
        <v>19</v>
      </c>
      <c r="D397" s="29" t="s">
        <v>759</v>
      </c>
      <c r="E397" s="30"/>
      <c r="F397" s="31">
        <v>15871078</v>
      </c>
    </row>
    <row r="398" spans="1:6" ht="39">
      <c r="A398" s="35" t="s">
        <v>26</v>
      </c>
      <c r="B398" s="29" t="s">
        <v>109</v>
      </c>
      <c r="C398" s="29" t="s">
        <v>19</v>
      </c>
      <c r="D398" s="29" t="s">
        <v>759</v>
      </c>
      <c r="E398" s="30" t="s">
        <v>27</v>
      </c>
      <c r="F398" s="31">
        <v>11791078</v>
      </c>
    </row>
    <row r="399" spans="1:6" ht="15">
      <c r="A399" s="35" t="s">
        <v>211</v>
      </c>
      <c r="B399" s="29" t="s">
        <v>109</v>
      </c>
      <c r="C399" s="29" t="s">
        <v>19</v>
      </c>
      <c r="D399" s="29" t="s">
        <v>759</v>
      </c>
      <c r="E399" s="30" t="s">
        <v>212</v>
      </c>
      <c r="F399" s="31">
        <v>4080000</v>
      </c>
    </row>
    <row r="400" spans="1:6" ht="77.25">
      <c r="A400" s="35" t="s">
        <v>765</v>
      </c>
      <c r="B400" s="29" t="s">
        <v>109</v>
      </c>
      <c r="C400" s="29" t="s">
        <v>19</v>
      </c>
      <c r="D400" s="29" t="s">
        <v>764</v>
      </c>
      <c r="E400" s="30"/>
      <c r="F400" s="31">
        <v>142168</v>
      </c>
    </row>
    <row r="401" spans="1:6" ht="26.25">
      <c r="A401" s="35" t="s">
        <v>38</v>
      </c>
      <c r="B401" s="29" t="s">
        <v>109</v>
      </c>
      <c r="C401" s="29" t="s">
        <v>19</v>
      </c>
      <c r="D401" s="29" t="s">
        <v>764</v>
      </c>
      <c r="E401" s="30" t="s">
        <v>39</v>
      </c>
      <c r="F401" s="31">
        <v>142168</v>
      </c>
    </row>
    <row r="402" spans="1:6" s="42" customFormat="1" ht="39" hidden="1">
      <c r="A402" s="15" t="s">
        <v>752</v>
      </c>
      <c r="B402" s="29" t="s">
        <v>109</v>
      </c>
      <c r="C402" s="29" t="s">
        <v>19</v>
      </c>
      <c r="D402" s="29" t="s">
        <v>751</v>
      </c>
      <c r="E402" s="30"/>
      <c r="F402" s="31">
        <f>F403</f>
        <v>0</v>
      </c>
    </row>
    <row r="403" spans="1:6" ht="38.25" hidden="1">
      <c r="A403" s="10" t="s">
        <v>753</v>
      </c>
      <c r="B403" s="29" t="s">
        <v>109</v>
      </c>
      <c r="C403" s="29" t="s">
        <v>19</v>
      </c>
      <c r="D403" s="29" t="s">
        <v>754</v>
      </c>
      <c r="E403" s="30"/>
      <c r="F403" s="31">
        <f>F404</f>
        <v>0</v>
      </c>
    </row>
    <row r="404" spans="1:6" ht="25.5" hidden="1">
      <c r="A404" s="10" t="s">
        <v>201</v>
      </c>
      <c r="B404" s="29" t="s">
        <v>109</v>
      </c>
      <c r="C404" s="29" t="s">
        <v>19</v>
      </c>
      <c r="D404" s="29" t="s">
        <v>755</v>
      </c>
      <c r="E404" s="30"/>
      <c r="F404" s="31">
        <f>F405</f>
        <v>0</v>
      </c>
    </row>
    <row r="405" spans="1:6" ht="26.25" hidden="1">
      <c r="A405" s="35" t="s">
        <v>271</v>
      </c>
      <c r="B405" s="29" t="s">
        <v>109</v>
      </c>
      <c r="C405" s="29" t="s">
        <v>19</v>
      </c>
      <c r="D405" s="29" t="s">
        <v>755</v>
      </c>
      <c r="E405" s="30" t="s">
        <v>272</v>
      </c>
      <c r="F405" s="31"/>
    </row>
    <row r="406" spans="1:6" ht="15" hidden="1">
      <c r="A406" s="35"/>
      <c r="B406" s="29"/>
      <c r="C406" s="29"/>
      <c r="D406" s="29"/>
      <c r="E406" s="30"/>
      <c r="F406" s="31"/>
    </row>
    <row r="407" spans="1:6" ht="15" hidden="1">
      <c r="A407" s="35"/>
      <c r="B407" s="29"/>
      <c r="C407" s="29"/>
      <c r="D407" s="29"/>
      <c r="E407" s="30"/>
      <c r="F407" s="31"/>
    </row>
    <row r="408" spans="1:6" ht="39" hidden="1">
      <c r="A408" s="75" t="s">
        <v>379</v>
      </c>
      <c r="B408" s="29" t="s">
        <v>109</v>
      </c>
      <c r="C408" s="29" t="s">
        <v>19</v>
      </c>
      <c r="D408" s="50" t="s">
        <v>295</v>
      </c>
      <c r="E408" s="30"/>
      <c r="F408" s="31">
        <f>F409</f>
        <v>0</v>
      </c>
    </row>
    <row r="409" spans="1:6" ht="51.75" hidden="1">
      <c r="A409" s="73" t="s">
        <v>380</v>
      </c>
      <c r="B409" s="29" t="s">
        <v>109</v>
      </c>
      <c r="C409" s="29" t="s">
        <v>19</v>
      </c>
      <c r="D409" s="50" t="s">
        <v>381</v>
      </c>
      <c r="E409" s="30"/>
      <c r="F409" s="31">
        <f>F410</f>
        <v>0</v>
      </c>
    </row>
    <row r="410" spans="1:6" ht="4.5" customHeight="1" hidden="1">
      <c r="A410" s="10" t="s">
        <v>382</v>
      </c>
      <c r="B410" s="29" t="s">
        <v>109</v>
      </c>
      <c r="C410" s="29" t="s">
        <v>19</v>
      </c>
      <c r="D410" s="47" t="s">
        <v>299</v>
      </c>
      <c r="E410" s="30"/>
      <c r="F410" s="31">
        <f>F411</f>
        <v>0</v>
      </c>
    </row>
    <row r="411" spans="1:6" ht="15" hidden="1">
      <c r="A411" s="80" t="s">
        <v>300</v>
      </c>
      <c r="B411" s="29" t="s">
        <v>109</v>
      </c>
      <c r="C411" s="29" t="s">
        <v>19</v>
      </c>
      <c r="D411" s="47" t="s">
        <v>301</v>
      </c>
      <c r="E411" s="30"/>
      <c r="F411" s="31">
        <f>F412</f>
        <v>0</v>
      </c>
    </row>
    <row r="412" spans="1:6" ht="26.25" hidden="1">
      <c r="A412" s="35" t="s">
        <v>38</v>
      </c>
      <c r="B412" s="29" t="s">
        <v>109</v>
      </c>
      <c r="C412" s="29" t="s">
        <v>19</v>
      </c>
      <c r="D412" s="47" t="s">
        <v>301</v>
      </c>
      <c r="E412" s="30" t="s">
        <v>39</v>
      </c>
      <c r="F412" s="31"/>
    </row>
    <row r="413" spans="1:6" ht="39" hidden="1">
      <c r="A413" s="77" t="s">
        <v>333</v>
      </c>
      <c r="B413" s="29" t="s">
        <v>109</v>
      </c>
      <c r="C413" s="29" t="s">
        <v>19</v>
      </c>
      <c r="D413" s="50" t="s">
        <v>303</v>
      </c>
      <c r="E413" s="30"/>
      <c r="F413" s="31">
        <f>F414</f>
        <v>0</v>
      </c>
    </row>
    <row r="414" spans="1:6" ht="55.5" customHeight="1" hidden="1">
      <c r="A414" s="73" t="s">
        <v>334</v>
      </c>
      <c r="B414" s="29" t="s">
        <v>109</v>
      </c>
      <c r="C414" s="29" t="s">
        <v>19</v>
      </c>
      <c r="D414" s="50" t="s">
        <v>335</v>
      </c>
      <c r="E414" s="30"/>
      <c r="F414" s="31">
        <f>F415</f>
        <v>0</v>
      </c>
    </row>
    <row r="415" spans="1:6" ht="38.25" hidden="1">
      <c r="A415" s="10" t="s">
        <v>424</v>
      </c>
      <c r="B415" s="29" t="s">
        <v>109</v>
      </c>
      <c r="C415" s="29" t="s">
        <v>19</v>
      </c>
      <c r="D415" s="50" t="s">
        <v>425</v>
      </c>
      <c r="E415" s="30"/>
      <c r="F415" s="31">
        <f>F416+F418+F420</f>
        <v>0</v>
      </c>
    </row>
    <row r="416" spans="1:6" ht="24" hidden="1">
      <c r="A416" s="80" t="s">
        <v>426</v>
      </c>
      <c r="B416" s="29" t="s">
        <v>109</v>
      </c>
      <c r="C416" s="29" t="s">
        <v>19</v>
      </c>
      <c r="D416" s="47" t="s">
        <v>427</v>
      </c>
      <c r="E416" s="30"/>
      <c r="F416" s="31">
        <f>F417</f>
        <v>0</v>
      </c>
    </row>
    <row r="417" spans="1:6" ht="26.25" hidden="1">
      <c r="A417" s="16" t="s">
        <v>271</v>
      </c>
      <c r="B417" s="29" t="s">
        <v>109</v>
      </c>
      <c r="C417" s="29" t="s">
        <v>19</v>
      </c>
      <c r="D417" s="47" t="s">
        <v>427</v>
      </c>
      <c r="E417" s="30" t="s">
        <v>272</v>
      </c>
      <c r="F417" s="31"/>
    </row>
    <row r="418" spans="1:6" ht="24" hidden="1">
      <c r="A418" s="80" t="s">
        <v>428</v>
      </c>
      <c r="B418" s="29" t="s">
        <v>109</v>
      </c>
      <c r="C418" s="29" t="s">
        <v>19</v>
      </c>
      <c r="D418" s="47" t="s">
        <v>429</v>
      </c>
      <c r="E418" s="30"/>
      <c r="F418" s="31">
        <f>F419</f>
        <v>0</v>
      </c>
    </row>
    <row r="419" spans="1:6" ht="26.25" hidden="1">
      <c r="A419" s="16" t="s">
        <v>271</v>
      </c>
      <c r="B419" s="29" t="s">
        <v>109</v>
      </c>
      <c r="C419" s="29" t="s">
        <v>19</v>
      </c>
      <c r="D419" s="47" t="s">
        <v>429</v>
      </c>
      <c r="E419" s="30" t="s">
        <v>272</v>
      </c>
      <c r="F419" s="31"/>
    </row>
    <row r="420" spans="1:6" ht="36" hidden="1">
      <c r="A420" s="80" t="s">
        <v>430</v>
      </c>
      <c r="B420" s="29" t="s">
        <v>109</v>
      </c>
      <c r="C420" s="29" t="s">
        <v>19</v>
      </c>
      <c r="D420" s="47" t="s">
        <v>431</v>
      </c>
      <c r="E420" s="30"/>
      <c r="F420" s="31">
        <f>F421</f>
        <v>0</v>
      </c>
    </row>
    <row r="421" spans="1:6" ht="26.25" hidden="1">
      <c r="A421" s="16" t="s">
        <v>271</v>
      </c>
      <c r="B421" s="29" t="s">
        <v>109</v>
      </c>
      <c r="C421" s="29" t="s">
        <v>19</v>
      </c>
      <c r="D421" s="47" t="s">
        <v>431</v>
      </c>
      <c r="E421" s="30" t="s">
        <v>272</v>
      </c>
      <c r="F421" s="31"/>
    </row>
    <row r="422" spans="1:6" ht="51" hidden="1">
      <c r="A422" s="60" t="s">
        <v>157</v>
      </c>
      <c r="B422" s="29" t="s">
        <v>109</v>
      </c>
      <c r="C422" s="29" t="s">
        <v>19</v>
      </c>
      <c r="D422" s="50" t="s">
        <v>158</v>
      </c>
      <c r="E422" s="30"/>
      <c r="F422" s="31">
        <f>F423</f>
        <v>36960</v>
      </c>
    </row>
    <row r="423" spans="1:6" s="42" customFormat="1" ht="63.75">
      <c r="A423" s="61" t="s">
        <v>159</v>
      </c>
      <c r="B423" s="38" t="s">
        <v>109</v>
      </c>
      <c r="C423" s="38" t="s">
        <v>19</v>
      </c>
      <c r="D423" s="58" t="s">
        <v>160</v>
      </c>
      <c r="E423" s="45"/>
      <c r="F423" s="41">
        <f>F424+F427</f>
        <v>36960</v>
      </c>
    </row>
    <row r="424" spans="1:6" ht="25.5" hidden="1">
      <c r="A424" s="68" t="s">
        <v>161</v>
      </c>
      <c r="B424" s="29" t="s">
        <v>109</v>
      </c>
      <c r="C424" s="29" t="s">
        <v>19</v>
      </c>
      <c r="D424" s="50" t="s">
        <v>162</v>
      </c>
      <c r="E424" s="30"/>
      <c r="F424" s="31">
        <f>F425</f>
        <v>0</v>
      </c>
    </row>
    <row r="425" spans="1:6" ht="25.5" hidden="1">
      <c r="A425" s="10" t="s">
        <v>163</v>
      </c>
      <c r="B425" s="29" t="s">
        <v>109</v>
      </c>
      <c r="C425" s="29" t="s">
        <v>19</v>
      </c>
      <c r="D425" s="50" t="s">
        <v>164</v>
      </c>
      <c r="E425" s="30"/>
      <c r="F425" s="31">
        <f>F426</f>
        <v>0</v>
      </c>
    </row>
    <row r="426" spans="1:6" ht="26.25" hidden="1">
      <c r="A426" s="35" t="s">
        <v>38</v>
      </c>
      <c r="B426" s="29" t="s">
        <v>109</v>
      </c>
      <c r="C426" s="29" t="s">
        <v>19</v>
      </c>
      <c r="D426" s="50" t="s">
        <v>164</v>
      </c>
      <c r="E426" s="30" t="s">
        <v>39</v>
      </c>
      <c r="F426" s="31"/>
    </row>
    <row r="427" spans="1:6" ht="51">
      <c r="A427" s="68" t="s">
        <v>432</v>
      </c>
      <c r="B427" s="29" t="s">
        <v>109</v>
      </c>
      <c r="C427" s="29" t="s">
        <v>19</v>
      </c>
      <c r="D427" s="50" t="s">
        <v>433</v>
      </c>
      <c r="E427" s="30"/>
      <c r="F427" s="31">
        <f>F428</f>
        <v>36960</v>
      </c>
    </row>
    <row r="428" spans="1:6" ht="25.5">
      <c r="A428" s="10" t="s">
        <v>163</v>
      </c>
      <c r="B428" s="29" t="s">
        <v>109</v>
      </c>
      <c r="C428" s="29" t="s">
        <v>19</v>
      </c>
      <c r="D428" s="50" t="s">
        <v>434</v>
      </c>
      <c r="E428" s="30"/>
      <c r="F428" s="31">
        <f>F429</f>
        <v>36960</v>
      </c>
    </row>
    <row r="429" spans="1:6" ht="26.25">
      <c r="A429" s="35" t="s">
        <v>38</v>
      </c>
      <c r="B429" s="29" t="s">
        <v>109</v>
      </c>
      <c r="C429" s="29" t="s">
        <v>19</v>
      </c>
      <c r="D429" s="50" t="s">
        <v>434</v>
      </c>
      <c r="E429" s="30" t="s">
        <v>39</v>
      </c>
      <c r="F429" s="31">
        <v>36960</v>
      </c>
    </row>
    <row r="430" spans="1:6" ht="25.5">
      <c r="A430" s="52" t="s">
        <v>435</v>
      </c>
      <c r="B430" s="29" t="s">
        <v>109</v>
      </c>
      <c r="C430" s="29" t="s">
        <v>19</v>
      </c>
      <c r="D430" s="29" t="s">
        <v>436</v>
      </c>
      <c r="E430" s="37"/>
      <c r="F430" s="31">
        <f>F431</f>
        <v>20000</v>
      </c>
    </row>
    <row r="431" spans="1:6" ht="51">
      <c r="A431" s="13" t="s">
        <v>437</v>
      </c>
      <c r="B431" s="29" t="s">
        <v>109</v>
      </c>
      <c r="C431" s="29" t="s">
        <v>19</v>
      </c>
      <c r="D431" s="29" t="s">
        <v>438</v>
      </c>
      <c r="E431" s="37"/>
      <c r="F431" s="31">
        <f>F432</f>
        <v>20000</v>
      </c>
    </row>
    <row r="432" spans="1:6" ht="25.5">
      <c r="A432" s="51" t="s">
        <v>439</v>
      </c>
      <c r="B432" s="29" t="s">
        <v>109</v>
      </c>
      <c r="C432" s="29" t="s">
        <v>19</v>
      </c>
      <c r="D432" s="29" t="s">
        <v>440</v>
      </c>
      <c r="E432" s="37"/>
      <c r="F432" s="31">
        <f>F433</f>
        <v>20000</v>
      </c>
    </row>
    <row r="433" spans="1:6" ht="15">
      <c r="A433" s="51" t="s">
        <v>441</v>
      </c>
      <c r="B433" s="29" t="s">
        <v>109</v>
      </c>
      <c r="C433" s="29" t="s">
        <v>19</v>
      </c>
      <c r="D433" s="29" t="s">
        <v>442</v>
      </c>
      <c r="E433" s="37"/>
      <c r="F433" s="31">
        <f>F434</f>
        <v>20000</v>
      </c>
    </row>
    <row r="434" spans="1:6" ht="26.25">
      <c r="A434" s="35" t="s">
        <v>38</v>
      </c>
      <c r="B434" s="29" t="s">
        <v>109</v>
      </c>
      <c r="C434" s="29" t="s">
        <v>19</v>
      </c>
      <c r="D434" s="29" t="s">
        <v>442</v>
      </c>
      <c r="E434" s="30" t="s">
        <v>39</v>
      </c>
      <c r="F434" s="31">
        <v>20000</v>
      </c>
    </row>
    <row r="435" spans="1:6" ht="51" hidden="1">
      <c r="A435" s="60" t="s">
        <v>443</v>
      </c>
      <c r="B435" s="29" t="s">
        <v>109</v>
      </c>
      <c r="C435" s="29" t="s">
        <v>19</v>
      </c>
      <c r="D435" s="29" t="s">
        <v>444</v>
      </c>
      <c r="E435" s="30"/>
      <c r="F435" s="31">
        <f>F436</f>
        <v>0</v>
      </c>
    </row>
    <row r="436" spans="1:6" ht="64.5" hidden="1">
      <c r="A436" s="35" t="s">
        <v>445</v>
      </c>
      <c r="B436" s="29" t="s">
        <v>109</v>
      </c>
      <c r="C436" s="29" t="s">
        <v>19</v>
      </c>
      <c r="D436" s="29" t="s">
        <v>446</v>
      </c>
      <c r="E436" s="30"/>
      <c r="F436" s="31">
        <f>F437</f>
        <v>0</v>
      </c>
    </row>
    <row r="437" spans="1:6" ht="26.25" hidden="1">
      <c r="A437" s="35" t="s">
        <v>447</v>
      </c>
      <c r="B437" s="29" t="s">
        <v>109</v>
      </c>
      <c r="C437" s="29" t="s">
        <v>19</v>
      </c>
      <c r="D437" s="29" t="s">
        <v>448</v>
      </c>
      <c r="E437" s="30"/>
      <c r="F437" s="31">
        <f>F438</f>
        <v>0</v>
      </c>
    </row>
    <row r="438" spans="1:6" ht="25.5" hidden="1">
      <c r="A438" s="10" t="s">
        <v>163</v>
      </c>
      <c r="B438" s="29" t="s">
        <v>109</v>
      </c>
      <c r="C438" s="29" t="s">
        <v>19</v>
      </c>
      <c r="D438" s="29" t="s">
        <v>449</v>
      </c>
      <c r="E438" s="30"/>
      <c r="F438" s="31">
        <f>F439</f>
        <v>0</v>
      </c>
    </row>
    <row r="439" spans="1:6" ht="26.25" hidden="1">
      <c r="A439" s="35" t="s">
        <v>38</v>
      </c>
      <c r="B439" s="29" t="s">
        <v>109</v>
      </c>
      <c r="C439" s="29" t="s">
        <v>19</v>
      </c>
      <c r="D439" s="29" t="s">
        <v>449</v>
      </c>
      <c r="E439" s="30" t="s">
        <v>39</v>
      </c>
      <c r="F439" s="31"/>
    </row>
    <row r="440" spans="1:8" ht="15">
      <c r="A440" s="35" t="s">
        <v>450</v>
      </c>
      <c r="B440" s="29" t="s">
        <v>109</v>
      </c>
      <c r="C440" s="29" t="s">
        <v>29</v>
      </c>
      <c r="D440" s="29"/>
      <c r="E440" s="30"/>
      <c r="F440" s="31">
        <f>F441</f>
        <v>23353512</v>
      </c>
      <c r="H440" s="21"/>
    </row>
    <row r="441" spans="1:6" ht="25.5" customHeight="1">
      <c r="A441" s="16" t="s">
        <v>370</v>
      </c>
      <c r="B441" s="29" t="s">
        <v>109</v>
      </c>
      <c r="C441" s="29" t="s">
        <v>29</v>
      </c>
      <c r="D441" s="29" t="s">
        <v>371</v>
      </c>
      <c r="E441" s="30"/>
      <c r="F441" s="31">
        <f>F446+F442</f>
        <v>23353512</v>
      </c>
    </row>
    <row r="442" spans="1:6" s="42" customFormat="1" ht="39" hidden="1">
      <c r="A442" s="15" t="s">
        <v>372</v>
      </c>
      <c r="B442" s="29" t="s">
        <v>109</v>
      </c>
      <c r="C442" s="29" t="s">
        <v>29</v>
      </c>
      <c r="D442" s="29" t="s">
        <v>373</v>
      </c>
      <c r="E442" s="30"/>
      <c r="F442" s="41">
        <f>F443</f>
        <v>0</v>
      </c>
    </row>
    <row r="443" spans="1:6" s="42" customFormat="1" ht="15" hidden="1">
      <c r="A443" s="10" t="s">
        <v>451</v>
      </c>
      <c r="B443" s="29" t="s">
        <v>109</v>
      </c>
      <c r="C443" s="29" t="s">
        <v>29</v>
      </c>
      <c r="D443" s="29" t="s">
        <v>389</v>
      </c>
      <c r="E443" s="45"/>
      <c r="F443" s="31">
        <f>F444</f>
        <v>0</v>
      </c>
    </row>
    <row r="444" spans="1:6" s="42" customFormat="1" ht="38.25" hidden="1">
      <c r="A444" s="59" t="s">
        <v>452</v>
      </c>
      <c r="B444" s="29" t="s">
        <v>109</v>
      </c>
      <c r="C444" s="29" t="s">
        <v>29</v>
      </c>
      <c r="D444" s="29" t="s">
        <v>453</v>
      </c>
      <c r="E444" s="45"/>
      <c r="F444" s="31">
        <f>F445</f>
        <v>0</v>
      </c>
    </row>
    <row r="445" spans="1:6" s="42" customFormat="1" ht="26.25" hidden="1">
      <c r="A445" s="35" t="s">
        <v>38</v>
      </c>
      <c r="B445" s="29" t="s">
        <v>109</v>
      </c>
      <c r="C445" s="29" t="s">
        <v>29</v>
      </c>
      <c r="D445" s="29" t="s">
        <v>453</v>
      </c>
      <c r="E445" s="30" t="s">
        <v>39</v>
      </c>
      <c r="F445" s="31"/>
    </row>
    <row r="446" spans="1:6" ht="51.75">
      <c r="A446" s="35" t="s">
        <v>454</v>
      </c>
      <c r="B446" s="29" t="s">
        <v>109</v>
      </c>
      <c r="C446" s="29" t="s">
        <v>29</v>
      </c>
      <c r="D446" s="38" t="s">
        <v>455</v>
      </c>
      <c r="E446" s="30"/>
      <c r="F446" s="31">
        <f>F447+F458+F453</f>
        <v>23353512</v>
      </c>
    </row>
    <row r="447" spans="1:6" ht="25.5">
      <c r="A447" s="10" t="s">
        <v>456</v>
      </c>
      <c r="B447" s="29" t="s">
        <v>109</v>
      </c>
      <c r="C447" s="29" t="s">
        <v>29</v>
      </c>
      <c r="D447" s="29" t="s">
        <v>457</v>
      </c>
      <c r="E447" s="30"/>
      <c r="F447" s="31">
        <f>F448</f>
        <v>11064839</v>
      </c>
    </row>
    <row r="448" spans="1:6" ht="24" customHeight="1">
      <c r="A448" s="10" t="s">
        <v>201</v>
      </c>
      <c r="B448" s="29" t="s">
        <v>109</v>
      </c>
      <c r="C448" s="29" t="s">
        <v>29</v>
      </c>
      <c r="D448" s="29" t="s">
        <v>458</v>
      </c>
      <c r="E448" s="30"/>
      <c r="F448" s="31">
        <f>F449+F450+F452+F451</f>
        <v>11064839</v>
      </c>
    </row>
    <row r="449" spans="1:6" ht="39" hidden="1">
      <c r="A449" s="35" t="s">
        <v>26</v>
      </c>
      <c r="B449" s="29" t="s">
        <v>109</v>
      </c>
      <c r="C449" s="29" t="s">
        <v>29</v>
      </c>
      <c r="D449" s="29" t="s">
        <v>458</v>
      </c>
      <c r="E449" s="30" t="s">
        <v>27</v>
      </c>
      <c r="F449" s="31"/>
    </row>
    <row r="450" spans="1:6" ht="25.5" customHeight="1" hidden="1">
      <c r="A450" s="35" t="s">
        <v>38</v>
      </c>
      <c r="B450" s="29" t="s">
        <v>109</v>
      </c>
      <c r="C450" s="29" t="s">
        <v>29</v>
      </c>
      <c r="D450" s="29" t="s">
        <v>458</v>
      </c>
      <c r="E450" s="30" t="s">
        <v>39</v>
      </c>
      <c r="F450" s="31"/>
    </row>
    <row r="451" spans="1:8" ht="27.75" customHeight="1">
      <c r="A451" s="16" t="s">
        <v>140</v>
      </c>
      <c r="B451" s="29" t="s">
        <v>109</v>
      </c>
      <c r="C451" s="29" t="s">
        <v>29</v>
      </c>
      <c r="D451" s="29" t="s">
        <v>458</v>
      </c>
      <c r="E451" s="30" t="s">
        <v>141</v>
      </c>
      <c r="F451" s="31">
        <f>11007589+12950+44300</f>
        <v>11064839</v>
      </c>
      <c r="H451" s="21"/>
    </row>
    <row r="452" spans="1:6" ht="15" hidden="1">
      <c r="A452" s="10" t="s">
        <v>84</v>
      </c>
      <c r="B452" s="29" t="s">
        <v>109</v>
      </c>
      <c r="C452" s="29" t="s">
        <v>29</v>
      </c>
      <c r="D452" s="29" t="s">
        <v>458</v>
      </c>
      <c r="E452" s="30" t="s">
        <v>85</v>
      </c>
      <c r="F452" s="31"/>
    </row>
    <row r="453" spans="1:6" ht="25.5">
      <c r="A453" s="10" t="s">
        <v>574</v>
      </c>
      <c r="B453" s="29" t="s">
        <v>109</v>
      </c>
      <c r="C453" s="29" t="s">
        <v>29</v>
      </c>
      <c r="D453" s="29" t="s">
        <v>575</v>
      </c>
      <c r="E453" s="30"/>
      <c r="F453" s="31">
        <v>845023</v>
      </c>
    </row>
    <row r="454" spans="1:6" ht="38.25">
      <c r="A454" s="10" t="s">
        <v>760</v>
      </c>
      <c r="B454" s="29" t="s">
        <v>109</v>
      </c>
      <c r="C454" s="29" t="s">
        <v>29</v>
      </c>
      <c r="D454" s="29" t="s">
        <v>766</v>
      </c>
      <c r="E454" s="30"/>
      <c r="F454" s="31">
        <v>778515</v>
      </c>
    </row>
    <row r="455" spans="1:6" ht="25.5">
      <c r="A455" s="10" t="s">
        <v>140</v>
      </c>
      <c r="B455" s="29" t="s">
        <v>109</v>
      </c>
      <c r="C455" s="29" t="s">
        <v>29</v>
      </c>
      <c r="D455" s="29" t="s">
        <v>766</v>
      </c>
      <c r="E455" s="30" t="s">
        <v>141</v>
      </c>
      <c r="F455" s="31">
        <v>778515</v>
      </c>
    </row>
    <row r="456" spans="1:6" ht="76.5">
      <c r="A456" s="10" t="s">
        <v>765</v>
      </c>
      <c r="B456" s="29" t="s">
        <v>109</v>
      </c>
      <c r="C456" s="29" t="s">
        <v>29</v>
      </c>
      <c r="D456" s="29" t="s">
        <v>767</v>
      </c>
      <c r="E456" s="30"/>
      <c r="F456" s="31">
        <v>66508</v>
      </c>
    </row>
    <row r="457" spans="1:6" ht="25.5">
      <c r="A457" s="10" t="s">
        <v>140</v>
      </c>
      <c r="B457" s="29" t="s">
        <v>109</v>
      </c>
      <c r="C457" s="29" t="s">
        <v>29</v>
      </c>
      <c r="D457" s="29" t="s">
        <v>767</v>
      </c>
      <c r="E457" s="30" t="s">
        <v>141</v>
      </c>
      <c r="F457" s="31">
        <v>66508</v>
      </c>
    </row>
    <row r="458" spans="1:6" ht="31.5" customHeight="1">
      <c r="A458" s="10" t="s">
        <v>459</v>
      </c>
      <c r="B458" s="29" t="s">
        <v>109</v>
      </c>
      <c r="C458" s="29" t="s">
        <v>29</v>
      </c>
      <c r="D458" s="29" t="s">
        <v>460</v>
      </c>
      <c r="E458" s="30"/>
      <c r="F458" s="31">
        <f>F459</f>
        <v>11443650</v>
      </c>
    </row>
    <row r="459" spans="1:6" ht="25.5">
      <c r="A459" s="10" t="s">
        <v>201</v>
      </c>
      <c r="B459" s="29" t="s">
        <v>109</v>
      </c>
      <c r="C459" s="29" t="s">
        <v>29</v>
      </c>
      <c r="D459" s="29" t="s">
        <v>461</v>
      </c>
      <c r="E459" s="30"/>
      <c r="F459" s="31">
        <f>F460</f>
        <v>11443650</v>
      </c>
    </row>
    <row r="460" spans="1:6" ht="26.25">
      <c r="A460" s="16" t="s">
        <v>140</v>
      </c>
      <c r="B460" s="29" t="s">
        <v>109</v>
      </c>
      <c r="C460" s="29" t="s">
        <v>29</v>
      </c>
      <c r="D460" s="29" t="s">
        <v>461</v>
      </c>
      <c r="E460" s="30" t="s">
        <v>141</v>
      </c>
      <c r="F460" s="31">
        <f>9783224+1660426</f>
        <v>11443650</v>
      </c>
    </row>
    <row r="461" spans="1:8" ht="15">
      <c r="A461" s="16" t="s">
        <v>462</v>
      </c>
      <c r="B461" s="29" t="s">
        <v>109</v>
      </c>
      <c r="C461" s="29" t="s">
        <v>109</v>
      </c>
      <c r="D461" s="29"/>
      <c r="E461" s="30"/>
      <c r="F461" s="31">
        <f>F462</f>
        <v>3755976</v>
      </c>
      <c r="H461" s="21"/>
    </row>
    <row r="462" spans="1:8" ht="51">
      <c r="A462" s="10" t="s">
        <v>463</v>
      </c>
      <c r="B462" s="29" t="s">
        <v>109</v>
      </c>
      <c r="C462" s="29" t="s">
        <v>109</v>
      </c>
      <c r="D462" s="50" t="s">
        <v>464</v>
      </c>
      <c r="E462" s="30"/>
      <c r="F462" s="31">
        <f>F463+F468</f>
        <v>3755976</v>
      </c>
      <c r="H462" s="21"/>
    </row>
    <row r="463" spans="1:6" s="42" customFormat="1" ht="63.75">
      <c r="A463" s="10" t="s">
        <v>465</v>
      </c>
      <c r="B463" s="38" t="s">
        <v>109</v>
      </c>
      <c r="C463" s="38" t="s">
        <v>109</v>
      </c>
      <c r="D463" s="58" t="s">
        <v>466</v>
      </c>
      <c r="E463" s="82"/>
      <c r="F463" s="41">
        <f>F464</f>
        <v>100000</v>
      </c>
    </row>
    <row r="464" spans="1:6" ht="38.25">
      <c r="A464" s="10" t="s">
        <v>467</v>
      </c>
      <c r="B464" s="29" t="s">
        <v>109</v>
      </c>
      <c r="C464" s="29" t="s">
        <v>109</v>
      </c>
      <c r="D464" s="50" t="s">
        <v>468</v>
      </c>
      <c r="E464" s="56"/>
      <c r="F464" s="31">
        <f>F465</f>
        <v>100000</v>
      </c>
    </row>
    <row r="465" spans="1:6" ht="15">
      <c r="A465" s="10" t="s">
        <v>469</v>
      </c>
      <c r="B465" s="29" t="s">
        <v>109</v>
      </c>
      <c r="C465" s="29" t="s">
        <v>109</v>
      </c>
      <c r="D465" s="50" t="s">
        <v>470</v>
      </c>
      <c r="E465" s="56"/>
      <c r="F465" s="31">
        <f>F466+F467</f>
        <v>100000</v>
      </c>
    </row>
    <row r="466" spans="1:6" ht="24" customHeight="1">
      <c r="A466" s="35" t="s">
        <v>38</v>
      </c>
      <c r="B466" s="29" t="s">
        <v>109</v>
      </c>
      <c r="C466" s="29" t="s">
        <v>109</v>
      </c>
      <c r="D466" s="50" t="s">
        <v>470</v>
      </c>
      <c r="E466" s="56" t="s">
        <v>39</v>
      </c>
      <c r="F466" s="31">
        <v>100000</v>
      </c>
    </row>
    <row r="467" spans="1:6" ht="15" hidden="1">
      <c r="A467" s="16" t="s">
        <v>211</v>
      </c>
      <c r="B467" s="29" t="s">
        <v>109</v>
      </c>
      <c r="C467" s="29" t="s">
        <v>109</v>
      </c>
      <c r="D467" s="50" t="s">
        <v>470</v>
      </c>
      <c r="E467" s="56" t="s">
        <v>212</v>
      </c>
      <c r="F467" s="31"/>
    </row>
    <row r="468" spans="1:6" s="42" customFormat="1" ht="64.5" customHeight="1">
      <c r="A468" s="53" t="s">
        <v>471</v>
      </c>
      <c r="B468" s="38" t="s">
        <v>109</v>
      </c>
      <c r="C468" s="38" t="s">
        <v>109</v>
      </c>
      <c r="D468" s="58" t="s">
        <v>472</v>
      </c>
      <c r="E468" s="82"/>
      <c r="F468" s="41">
        <f>F469+F481+F478</f>
        <v>3655976</v>
      </c>
    </row>
    <row r="469" spans="1:6" ht="25.5">
      <c r="A469" s="10" t="s">
        <v>473</v>
      </c>
      <c r="B469" s="29" t="s">
        <v>109</v>
      </c>
      <c r="C469" s="29" t="s">
        <v>109</v>
      </c>
      <c r="D469" s="50" t="s">
        <v>474</v>
      </c>
      <c r="E469" s="56"/>
      <c r="F469" s="31">
        <f>F470+F473+F476</f>
        <v>2926500</v>
      </c>
    </row>
    <row r="470" spans="1:6" ht="14.25" customHeight="1">
      <c r="A470" s="16" t="s">
        <v>475</v>
      </c>
      <c r="B470" s="29" t="s">
        <v>109</v>
      </c>
      <c r="C470" s="29" t="s">
        <v>109</v>
      </c>
      <c r="D470" s="50" t="s">
        <v>476</v>
      </c>
      <c r="E470" s="30"/>
      <c r="F470" s="31">
        <f>F471+F472</f>
        <v>1141335</v>
      </c>
    </row>
    <row r="471" spans="1:6" ht="26.25">
      <c r="A471" s="35" t="s">
        <v>38</v>
      </c>
      <c r="B471" s="29" t="s">
        <v>109</v>
      </c>
      <c r="C471" s="29" t="s">
        <v>109</v>
      </c>
      <c r="D471" s="50" t="s">
        <v>476</v>
      </c>
      <c r="E471" s="56" t="s">
        <v>39</v>
      </c>
      <c r="F471" s="31">
        <f>458835-458835</f>
        <v>0</v>
      </c>
    </row>
    <row r="472" spans="1:6" ht="15">
      <c r="A472" s="16" t="s">
        <v>211</v>
      </c>
      <c r="B472" s="29" t="s">
        <v>109</v>
      </c>
      <c r="C472" s="29" t="s">
        <v>109</v>
      </c>
      <c r="D472" s="50" t="s">
        <v>476</v>
      </c>
      <c r="E472" s="56" t="s">
        <v>212</v>
      </c>
      <c r="F472" s="31">
        <f>682500+458835</f>
        <v>1141335</v>
      </c>
    </row>
    <row r="473" spans="1:6" ht="14.25" customHeight="1">
      <c r="A473" s="44" t="s">
        <v>477</v>
      </c>
      <c r="B473" s="29" t="s">
        <v>109</v>
      </c>
      <c r="C473" s="29" t="s">
        <v>109</v>
      </c>
      <c r="D473" s="50" t="s">
        <v>478</v>
      </c>
      <c r="E473" s="30"/>
      <c r="F473" s="31">
        <f>F475+F474</f>
        <v>1785165</v>
      </c>
    </row>
    <row r="474" spans="1:8" ht="26.25">
      <c r="A474" s="35" t="s">
        <v>38</v>
      </c>
      <c r="B474" s="29" t="s">
        <v>109</v>
      </c>
      <c r="C474" s="29" t="s">
        <v>109</v>
      </c>
      <c r="D474" s="50" t="s">
        <v>478</v>
      </c>
      <c r="E474" s="30" t="s">
        <v>39</v>
      </c>
      <c r="F474" s="31">
        <f>693165-693165</f>
        <v>0</v>
      </c>
      <c r="H474" s="21"/>
    </row>
    <row r="475" spans="1:8" ht="17.25" customHeight="1">
      <c r="A475" s="16" t="s">
        <v>211</v>
      </c>
      <c r="B475" s="29" t="s">
        <v>109</v>
      </c>
      <c r="C475" s="29" t="s">
        <v>109</v>
      </c>
      <c r="D475" s="50" t="s">
        <v>478</v>
      </c>
      <c r="E475" s="56" t="s">
        <v>212</v>
      </c>
      <c r="F475" s="31">
        <f>1092000+693165</f>
        <v>1785165</v>
      </c>
      <c r="H475" s="21"/>
    </row>
    <row r="476" spans="1:6" ht="15" hidden="1">
      <c r="A476" s="83" t="s">
        <v>479</v>
      </c>
      <c r="B476" s="29" t="s">
        <v>109</v>
      </c>
      <c r="C476" s="29" t="s">
        <v>109</v>
      </c>
      <c r="D476" s="50" t="s">
        <v>480</v>
      </c>
      <c r="E476" s="30"/>
      <c r="F476" s="31">
        <f>F477</f>
        <v>0</v>
      </c>
    </row>
    <row r="477" spans="1:6" ht="15" hidden="1">
      <c r="A477" s="16" t="s">
        <v>211</v>
      </c>
      <c r="B477" s="29" t="s">
        <v>109</v>
      </c>
      <c r="C477" s="29" t="s">
        <v>109</v>
      </c>
      <c r="D477" s="50" t="s">
        <v>480</v>
      </c>
      <c r="E477" s="56" t="s">
        <v>212</v>
      </c>
      <c r="F477" s="31"/>
    </row>
    <row r="478" spans="1:6" ht="15" hidden="1">
      <c r="A478" s="10" t="s">
        <v>481</v>
      </c>
      <c r="B478" s="29" t="s">
        <v>109</v>
      </c>
      <c r="C478" s="29" t="s">
        <v>109</v>
      </c>
      <c r="D478" s="50" t="s">
        <v>482</v>
      </c>
      <c r="E478" s="56"/>
      <c r="F478" s="31">
        <f>F479</f>
        <v>0</v>
      </c>
    </row>
    <row r="479" spans="1:6" ht="14.25" customHeight="1" hidden="1">
      <c r="A479" s="35" t="s">
        <v>479</v>
      </c>
      <c r="B479" s="29" t="s">
        <v>109</v>
      </c>
      <c r="C479" s="29" t="s">
        <v>109</v>
      </c>
      <c r="D479" s="50" t="s">
        <v>483</v>
      </c>
      <c r="E479" s="56"/>
      <c r="F479" s="31">
        <f>F480</f>
        <v>0</v>
      </c>
    </row>
    <row r="480" spans="1:6" ht="26.25" hidden="1">
      <c r="A480" s="35" t="s">
        <v>38</v>
      </c>
      <c r="B480" s="29" t="s">
        <v>109</v>
      </c>
      <c r="C480" s="29" t="s">
        <v>109</v>
      </c>
      <c r="D480" s="50" t="s">
        <v>483</v>
      </c>
      <c r="E480" s="56" t="s">
        <v>39</v>
      </c>
      <c r="F480" s="31"/>
    </row>
    <row r="481" spans="1:6" ht="45" customHeight="1">
      <c r="A481" s="10" t="s">
        <v>484</v>
      </c>
      <c r="B481" s="29" t="s">
        <v>109</v>
      </c>
      <c r="C481" s="29" t="s">
        <v>109</v>
      </c>
      <c r="D481" s="50" t="s">
        <v>485</v>
      </c>
      <c r="E481" s="56"/>
      <c r="F481" s="31">
        <f>F486+F482+F484+F491</f>
        <v>729476</v>
      </c>
    </row>
    <row r="482" spans="1:6" ht="31.5" customHeight="1" hidden="1">
      <c r="A482" s="10" t="s">
        <v>486</v>
      </c>
      <c r="B482" s="29" t="s">
        <v>109</v>
      </c>
      <c r="C482" s="29" t="s">
        <v>109</v>
      </c>
      <c r="D482" s="50" t="s">
        <v>487</v>
      </c>
      <c r="E482" s="56"/>
      <c r="F482" s="31">
        <f>F483</f>
        <v>0</v>
      </c>
    </row>
    <row r="483" spans="1:6" ht="26.25" hidden="1">
      <c r="A483" s="35" t="s">
        <v>38</v>
      </c>
      <c r="B483" s="29" t="s">
        <v>109</v>
      </c>
      <c r="C483" s="29" t="s">
        <v>109</v>
      </c>
      <c r="D483" s="50" t="s">
        <v>487</v>
      </c>
      <c r="E483" s="56" t="s">
        <v>39</v>
      </c>
      <c r="F483" s="31"/>
    </row>
    <row r="484" spans="1:6" ht="32.25" customHeight="1" hidden="1">
      <c r="A484" s="10" t="s">
        <v>488</v>
      </c>
      <c r="B484" s="29" t="s">
        <v>109</v>
      </c>
      <c r="C484" s="29" t="s">
        <v>109</v>
      </c>
      <c r="D484" s="50" t="s">
        <v>489</v>
      </c>
      <c r="E484" s="56"/>
      <c r="F484" s="31">
        <f>F485</f>
        <v>0</v>
      </c>
    </row>
    <row r="485" spans="1:6" ht="6.75" customHeight="1" hidden="1">
      <c r="A485" s="35" t="s">
        <v>38</v>
      </c>
      <c r="B485" s="29" t="s">
        <v>109</v>
      </c>
      <c r="C485" s="29" t="s">
        <v>109</v>
      </c>
      <c r="D485" s="50" t="s">
        <v>489</v>
      </c>
      <c r="E485" s="56" t="s">
        <v>39</v>
      </c>
      <c r="F485" s="31"/>
    </row>
    <row r="486" spans="1:6" ht="25.5" customHeight="1">
      <c r="A486" s="8" t="s">
        <v>201</v>
      </c>
      <c r="B486" s="29" t="s">
        <v>109</v>
      </c>
      <c r="C486" s="29" t="s">
        <v>109</v>
      </c>
      <c r="D486" s="50" t="s">
        <v>490</v>
      </c>
      <c r="E486" s="56"/>
      <c r="F486" s="31">
        <f>F487+F488+F490+F489</f>
        <v>729476</v>
      </c>
    </row>
    <row r="487" spans="1:6" ht="26.25" hidden="1">
      <c r="A487" s="16" t="s">
        <v>491</v>
      </c>
      <c r="B487" s="29" t="s">
        <v>109</v>
      </c>
      <c r="C487" s="29" t="s">
        <v>109</v>
      </c>
      <c r="D487" s="50" t="s">
        <v>490</v>
      </c>
      <c r="E487" s="30" t="s">
        <v>27</v>
      </c>
      <c r="F487" s="31"/>
    </row>
    <row r="488" spans="1:6" ht="26.25" hidden="1">
      <c r="A488" s="35" t="s">
        <v>38</v>
      </c>
      <c r="B488" s="29" t="s">
        <v>109</v>
      </c>
      <c r="C488" s="29" t="s">
        <v>109</v>
      </c>
      <c r="D488" s="50" t="s">
        <v>490</v>
      </c>
      <c r="E488" s="56" t="s">
        <v>39</v>
      </c>
      <c r="F488" s="31"/>
    </row>
    <row r="489" spans="1:6" ht="24.75" customHeight="1">
      <c r="A489" s="16" t="s">
        <v>140</v>
      </c>
      <c r="B489" s="29" t="s">
        <v>109</v>
      </c>
      <c r="C489" s="29" t="s">
        <v>109</v>
      </c>
      <c r="D489" s="50" t="s">
        <v>490</v>
      </c>
      <c r="E489" s="56" t="s">
        <v>141</v>
      </c>
      <c r="F489" s="31">
        <f>925276+6000-201800</f>
        <v>729476</v>
      </c>
    </row>
    <row r="490" spans="1:6" ht="15" hidden="1">
      <c r="A490" s="10" t="s">
        <v>84</v>
      </c>
      <c r="B490" s="29" t="s">
        <v>109</v>
      </c>
      <c r="C490" s="29" t="s">
        <v>109</v>
      </c>
      <c r="D490" s="50" t="s">
        <v>490</v>
      </c>
      <c r="E490" s="56" t="s">
        <v>85</v>
      </c>
      <c r="F490" s="31">
        <f>51113-113-51000</f>
        <v>0</v>
      </c>
    </row>
    <row r="491" spans="1:6" ht="24.75" customHeight="1" hidden="1">
      <c r="A491" s="84" t="s">
        <v>236</v>
      </c>
      <c r="B491" s="29" t="s">
        <v>109</v>
      </c>
      <c r="C491" s="29" t="s">
        <v>109</v>
      </c>
      <c r="D491" s="50" t="s">
        <v>492</v>
      </c>
      <c r="E491" s="56"/>
      <c r="F491" s="31">
        <f>F492+F493</f>
        <v>0</v>
      </c>
    </row>
    <row r="492" spans="1:6" ht="26.25" hidden="1">
      <c r="A492" s="35" t="s">
        <v>38</v>
      </c>
      <c r="B492" s="29" t="s">
        <v>109</v>
      </c>
      <c r="C492" s="29" t="s">
        <v>109</v>
      </c>
      <c r="D492" s="50" t="s">
        <v>492</v>
      </c>
      <c r="E492" s="56" t="s">
        <v>39</v>
      </c>
      <c r="F492" s="31">
        <f>137740-137740</f>
        <v>0</v>
      </c>
    </row>
    <row r="493" spans="1:6" ht="26.25" hidden="1">
      <c r="A493" s="16" t="s">
        <v>140</v>
      </c>
      <c r="B493" s="29" t="s">
        <v>109</v>
      </c>
      <c r="C493" s="29" t="s">
        <v>109</v>
      </c>
      <c r="D493" s="50" t="s">
        <v>492</v>
      </c>
      <c r="E493" s="56" t="s">
        <v>141</v>
      </c>
      <c r="F493" s="31"/>
    </row>
    <row r="494" spans="1:6" ht="15">
      <c r="A494" s="16" t="s">
        <v>493</v>
      </c>
      <c r="B494" s="29" t="s">
        <v>109</v>
      </c>
      <c r="C494" s="29" t="s">
        <v>248</v>
      </c>
      <c r="D494" s="29"/>
      <c r="E494" s="30"/>
      <c r="F494" s="31">
        <f>F495+F507</f>
        <v>10081025</v>
      </c>
    </row>
    <row r="495" spans="1:6" ht="26.25">
      <c r="A495" s="16" t="s">
        <v>370</v>
      </c>
      <c r="B495" s="29" t="s">
        <v>109</v>
      </c>
      <c r="C495" s="29" t="s">
        <v>248</v>
      </c>
      <c r="D495" s="29" t="s">
        <v>371</v>
      </c>
      <c r="E495" s="30"/>
      <c r="F495" s="31">
        <f>F496</f>
        <v>10081025</v>
      </c>
    </row>
    <row r="496" spans="1:6" s="42" customFormat="1" ht="51">
      <c r="A496" s="52" t="s">
        <v>494</v>
      </c>
      <c r="B496" s="38" t="s">
        <v>109</v>
      </c>
      <c r="C496" s="38" t="s">
        <v>248</v>
      </c>
      <c r="D496" s="38" t="s">
        <v>495</v>
      </c>
      <c r="E496" s="45"/>
      <c r="F496" s="41">
        <f>F497+F502</f>
        <v>10081025</v>
      </c>
    </row>
    <row r="497" spans="1:6" ht="25.5">
      <c r="A497" s="10" t="s">
        <v>496</v>
      </c>
      <c r="B497" s="29" t="s">
        <v>109</v>
      </c>
      <c r="C497" s="29" t="s">
        <v>248</v>
      </c>
      <c r="D497" s="29" t="s">
        <v>497</v>
      </c>
      <c r="E497" s="30"/>
      <c r="F497" s="31">
        <f>F498</f>
        <v>9791150</v>
      </c>
    </row>
    <row r="498" spans="1:6" ht="25.5">
      <c r="A498" s="10" t="s">
        <v>201</v>
      </c>
      <c r="B498" s="29" t="s">
        <v>109</v>
      </c>
      <c r="C498" s="29" t="s">
        <v>248</v>
      </c>
      <c r="D498" s="29" t="s">
        <v>498</v>
      </c>
      <c r="E498" s="30"/>
      <c r="F498" s="31">
        <f>F499+F500+F501</f>
        <v>9791150</v>
      </c>
    </row>
    <row r="499" spans="1:6" ht="39">
      <c r="A499" s="35" t="s">
        <v>26</v>
      </c>
      <c r="B499" s="29" t="s">
        <v>109</v>
      </c>
      <c r="C499" s="29" t="s">
        <v>248</v>
      </c>
      <c r="D499" s="29" t="s">
        <v>498</v>
      </c>
      <c r="E499" s="30" t="s">
        <v>27</v>
      </c>
      <c r="F499" s="31">
        <v>8473000</v>
      </c>
    </row>
    <row r="500" spans="1:6" ht="26.25">
      <c r="A500" s="35" t="s">
        <v>38</v>
      </c>
      <c r="B500" s="29" t="s">
        <v>109</v>
      </c>
      <c r="C500" s="29" t="s">
        <v>248</v>
      </c>
      <c r="D500" s="29" t="s">
        <v>498</v>
      </c>
      <c r="E500" s="30" t="s">
        <v>39</v>
      </c>
      <c r="F500" s="31">
        <f>1155422+49800+88200</f>
        <v>1293422</v>
      </c>
    </row>
    <row r="501" spans="1:9" ht="15">
      <c r="A501" s="10" t="s">
        <v>84</v>
      </c>
      <c r="B501" s="29" t="s">
        <v>109</v>
      </c>
      <c r="C501" s="29" t="s">
        <v>248</v>
      </c>
      <c r="D501" s="29" t="s">
        <v>498</v>
      </c>
      <c r="E501" s="30" t="s">
        <v>85</v>
      </c>
      <c r="F501" s="31">
        <v>24728</v>
      </c>
      <c r="I501" s="21"/>
    </row>
    <row r="502" spans="1:6" ht="25.5">
      <c r="A502" s="10" t="s">
        <v>499</v>
      </c>
      <c r="B502" s="29" t="s">
        <v>109</v>
      </c>
      <c r="C502" s="29" t="s">
        <v>248</v>
      </c>
      <c r="D502" s="29" t="s">
        <v>500</v>
      </c>
      <c r="E502" s="30"/>
      <c r="F502" s="31">
        <f>F503+F505</f>
        <v>289875</v>
      </c>
    </row>
    <row r="503" spans="1:6" ht="26.25">
      <c r="A503" s="8" t="s">
        <v>501</v>
      </c>
      <c r="B503" s="29" t="s">
        <v>109</v>
      </c>
      <c r="C503" s="29" t="s">
        <v>248</v>
      </c>
      <c r="D503" s="29" t="s">
        <v>502</v>
      </c>
      <c r="E503" s="30"/>
      <c r="F503" s="31">
        <f>F504</f>
        <v>289875</v>
      </c>
    </row>
    <row r="504" spans="1:6" ht="39">
      <c r="A504" s="35" t="s">
        <v>26</v>
      </c>
      <c r="B504" s="29" t="s">
        <v>109</v>
      </c>
      <c r="C504" s="29" t="s">
        <v>248</v>
      </c>
      <c r="D504" s="29" t="s">
        <v>502</v>
      </c>
      <c r="E504" s="30" t="s">
        <v>27</v>
      </c>
      <c r="F504" s="31">
        <v>289875</v>
      </c>
    </row>
    <row r="505" spans="1:6" ht="15" hidden="1">
      <c r="A505" s="35" t="s">
        <v>421</v>
      </c>
      <c r="B505" s="29" t="s">
        <v>109</v>
      </c>
      <c r="C505" s="29" t="s">
        <v>248</v>
      </c>
      <c r="D505" s="29" t="s">
        <v>503</v>
      </c>
      <c r="E505" s="30"/>
      <c r="F505" s="31">
        <f>F506</f>
        <v>0</v>
      </c>
    </row>
    <row r="506" spans="1:6" ht="26.25" hidden="1">
      <c r="A506" s="35" t="s">
        <v>38</v>
      </c>
      <c r="B506" s="29" t="s">
        <v>109</v>
      </c>
      <c r="C506" s="29" t="s">
        <v>248</v>
      </c>
      <c r="D506" s="29" t="s">
        <v>503</v>
      </c>
      <c r="E506" s="30" t="s">
        <v>39</v>
      </c>
      <c r="F506" s="31"/>
    </row>
    <row r="507" spans="1:6" ht="25.5" hidden="1">
      <c r="A507" s="10" t="s">
        <v>504</v>
      </c>
      <c r="B507" s="29" t="s">
        <v>109</v>
      </c>
      <c r="C507" s="29" t="s">
        <v>248</v>
      </c>
      <c r="D507" s="36" t="s">
        <v>505</v>
      </c>
      <c r="E507" s="30"/>
      <c r="F507" s="31">
        <f>F508</f>
        <v>0</v>
      </c>
    </row>
    <row r="508" spans="1:6" ht="25.5" hidden="1">
      <c r="A508" s="10" t="s">
        <v>506</v>
      </c>
      <c r="B508" s="29" t="s">
        <v>109</v>
      </c>
      <c r="C508" s="29" t="s">
        <v>248</v>
      </c>
      <c r="D508" s="36" t="s">
        <v>507</v>
      </c>
      <c r="E508" s="30"/>
      <c r="F508" s="31">
        <f>F509</f>
        <v>0</v>
      </c>
    </row>
    <row r="509" spans="1:6" ht="15" hidden="1">
      <c r="A509" s="10" t="s">
        <v>508</v>
      </c>
      <c r="B509" s="29" t="s">
        <v>109</v>
      </c>
      <c r="C509" s="29" t="s">
        <v>248</v>
      </c>
      <c r="D509" s="85" t="s">
        <v>509</v>
      </c>
      <c r="E509" s="30"/>
      <c r="F509" s="31">
        <f>F510</f>
        <v>0</v>
      </c>
    </row>
    <row r="510" spans="1:6" ht="26.25" hidden="1">
      <c r="A510" s="35" t="s">
        <v>38</v>
      </c>
      <c r="B510" s="29" t="s">
        <v>109</v>
      </c>
      <c r="C510" s="29" t="s">
        <v>248</v>
      </c>
      <c r="D510" s="36" t="s">
        <v>509</v>
      </c>
      <c r="E510" s="30" t="s">
        <v>39</v>
      </c>
      <c r="F510" s="31"/>
    </row>
    <row r="511" spans="1:6" ht="15">
      <c r="A511" s="16" t="s">
        <v>510</v>
      </c>
      <c r="B511" s="29" t="s">
        <v>240</v>
      </c>
      <c r="C511" s="29"/>
      <c r="D511" s="29"/>
      <c r="E511" s="56"/>
      <c r="F511" s="31">
        <f>F512+F543</f>
        <v>35097232.61</v>
      </c>
    </row>
    <row r="512" spans="1:8" ht="15">
      <c r="A512" s="16" t="s">
        <v>511</v>
      </c>
      <c r="B512" s="29" t="s">
        <v>240</v>
      </c>
      <c r="C512" s="29" t="s">
        <v>17</v>
      </c>
      <c r="D512" s="50"/>
      <c r="E512" s="56"/>
      <c r="F512" s="31">
        <f>F513+F534+F539</f>
        <v>31141381.61</v>
      </c>
      <c r="H512" s="21"/>
    </row>
    <row r="513" spans="1:6" ht="26.25">
      <c r="A513" s="16" t="s">
        <v>512</v>
      </c>
      <c r="B513" s="29" t="s">
        <v>240</v>
      </c>
      <c r="C513" s="29" t="s">
        <v>17</v>
      </c>
      <c r="D513" s="29" t="s">
        <v>513</v>
      </c>
      <c r="E513" s="56"/>
      <c r="F513" s="31">
        <f>F514+F523+F529</f>
        <v>31131381.61</v>
      </c>
    </row>
    <row r="514" spans="1:6" s="42" customFormat="1" ht="39">
      <c r="A514" s="16" t="s">
        <v>514</v>
      </c>
      <c r="B514" s="38" t="s">
        <v>515</v>
      </c>
      <c r="C514" s="38" t="s">
        <v>17</v>
      </c>
      <c r="D514" s="38" t="s">
        <v>516</v>
      </c>
      <c r="E514" s="45"/>
      <c r="F514" s="41">
        <f>F515</f>
        <v>17349180.61</v>
      </c>
    </row>
    <row r="515" spans="1:6" ht="38.25">
      <c r="A515" s="13" t="s">
        <v>517</v>
      </c>
      <c r="B515" s="29" t="s">
        <v>515</v>
      </c>
      <c r="C515" s="29" t="s">
        <v>17</v>
      </c>
      <c r="D515" s="29" t="s">
        <v>518</v>
      </c>
      <c r="E515" s="30"/>
      <c r="F515" s="31">
        <f>F516+F521</f>
        <v>17349180.61</v>
      </c>
    </row>
    <row r="516" spans="1:6" ht="26.25">
      <c r="A516" s="16" t="s">
        <v>201</v>
      </c>
      <c r="B516" s="29" t="s">
        <v>515</v>
      </c>
      <c r="C516" s="29" t="s">
        <v>17</v>
      </c>
      <c r="D516" s="29" t="s">
        <v>519</v>
      </c>
      <c r="E516" s="30"/>
      <c r="F516" s="31">
        <f>F517+F518+F520+F519</f>
        <v>17349180.61</v>
      </c>
    </row>
    <row r="517" spans="1:6" ht="39">
      <c r="A517" s="35" t="s">
        <v>26</v>
      </c>
      <c r="B517" s="29" t="s">
        <v>515</v>
      </c>
      <c r="C517" s="29" t="s">
        <v>17</v>
      </c>
      <c r="D517" s="29" t="s">
        <v>519</v>
      </c>
      <c r="E517" s="30" t="s">
        <v>27</v>
      </c>
      <c r="F517" s="31">
        <f>13477300+767879</f>
        <v>14245179</v>
      </c>
    </row>
    <row r="518" spans="1:6" ht="22.5" customHeight="1">
      <c r="A518" s="35" t="s">
        <v>38</v>
      </c>
      <c r="B518" s="29" t="s">
        <v>515</v>
      </c>
      <c r="C518" s="29" t="s">
        <v>17</v>
      </c>
      <c r="D518" s="29" t="s">
        <v>519</v>
      </c>
      <c r="E518" s="30" t="s">
        <v>39</v>
      </c>
      <c r="F518" s="31">
        <f>2470467.61+200000</f>
        <v>2670467.61</v>
      </c>
    </row>
    <row r="519" spans="1:6" ht="26.25" hidden="1">
      <c r="A519" s="16" t="s">
        <v>271</v>
      </c>
      <c r="B519" s="29" t="s">
        <v>515</v>
      </c>
      <c r="C519" s="29" t="s">
        <v>17</v>
      </c>
      <c r="D519" s="29" t="s">
        <v>519</v>
      </c>
      <c r="E519" s="30" t="s">
        <v>272</v>
      </c>
      <c r="F519" s="31"/>
    </row>
    <row r="520" spans="1:6" ht="20.25" customHeight="1">
      <c r="A520" s="48" t="s">
        <v>84</v>
      </c>
      <c r="B520" s="29" t="s">
        <v>515</v>
      </c>
      <c r="C520" s="29" t="s">
        <v>17</v>
      </c>
      <c r="D520" s="29" t="s">
        <v>519</v>
      </c>
      <c r="E520" s="30" t="s">
        <v>85</v>
      </c>
      <c r="F520" s="31">
        <v>433534</v>
      </c>
    </row>
    <row r="521" spans="1:6" ht="26.25" hidden="1">
      <c r="A521" s="35" t="s">
        <v>520</v>
      </c>
      <c r="B521" s="29" t="s">
        <v>240</v>
      </c>
      <c r="C521" s="29" t="s">
        <v>17</v>
      </c>
      <c r="D521" s="29" t="s">
        <v>521</v>
      </c>
      <c r="E521" s="30"/>
      <c r="F521" s="31">
        <f>F522</f>
        <v>0</v>
      </c>
    </row>
    <row r="522" spans="1:6" ht="26.25" hidden="1">
      <c r="A522" s="35" t="s">
        <v>38</v>
      </c>
      <c r="B522" s="29" t="s">
        <v>240</v>
      </c>
      <c r="C522" s="29" t="s">
        <v>17</v>
      </c>
      <c r="D522" s="29" t="s">
        <v>521</v>
      </c>
      <c r="E522" s="30" t="s">
        <v>39</v>
      </c>
      <c r="F522" s="31"/>
    </row>
    <row r="523" spans="1:6" s="42" customFormat="1" ht="39">
      <c r="A523" s="16" t="s">
        <v>522</v>
      </c>
      <c r="B523" s="38" t="s">
        <v>515</v>
      </c>
      <c r="C523" s="38" t="s">
        <v>17</v>
      </c>
      <c r="D523" s="58" t="s">
        <v>523</v>
      </c>
      <c r="E523" s="45"/>
      <c r="F523" s="41">
        <f>F524</f>
        <v>12101381</v>
      </c>
    </row>
    <row r="524" spans="1:6" ht="25.5">
      <c r="A524" s="10" t="s">
        <v>524</v>
      </c>
      <c r="B524" s="29" t="s">
        <v>515</v>
      </c>
      <c r="C524" s="29" t="s">
        <v>17</v>
      </c>
      <c r="D524" s="50" t="s">
        <v>525</v>
      </c>
      <c r="E524" s="30"/>
      <c r="F524" s="31">
        <f>F525</f>
        <v>12101381</v>
      </c>
    </row>
    <row r="525" spans="1:6" ht="26.25">
      <c r="A525" s="16" t="s">
        <v>201</v>
      </c>
      <c r="B525" s="29" t="s">
        <v>515</v>
      </c>
      <c r="C525" s="29" t="s">
        <v>17</v>
      </c>
      <c r="D525" s="50" t="s">
        <v>526</v>
      </c>
      <c r="E525" s="30"/>
      <c r="F525" s="31">
        <f>F526+F527+F528</f>
        <v>12101381</v>
      </c>
    </row>
    <row r="526" spans="1:6" ht="39">
      <c r="A526" s="35" t="s">
        <v>26</v>
      </c>
      <c r="B526" s="29" t="s">
        <v>515</v>
      </c>
      <c r="C526" s="29" t="s">
        <v>17</v>
      </c>
      <c r="D526" s="50" t="s">
        <v>526</v>
      </c>
      <c r="E526" s="30" t="s">
        <v>27</v>
      </c>
      <c r="F526" s="31">
        <f>10869500+705121</f>
        <v>11574621</v>
      </c>
    </row>
    <row r="527" spans="1:6" ht="26.25">
      <c r="A527" s="35" t="s">
        <v>38</v>
      </c>
      <c r="B527" s="29" t="s">
        <v>515</v>
      </c>
      <c r="C527" s="29" t="s">
        <v>17</v>
      </c>
      <c r="D527" s="50" t="s">
        <v>526</v>
      </c>
      <c r="E527" s="30" t="s">
        <v>39</v>
      </c>
      <c r="F527" s="31">
        <f>236600+255960</f>
        <v>492560</v>
      </c>
    </row>
    <row r="528" spans="1:6" ht="15">
      <c r="A528" s="48" t="s">
        <v>84</v>
      </c>
      <c r="B528" s="29" t="s">
        <v>515</v>
      </c>
      <c r="C528" s="29" t="s">
        <v>17</v>
      </c>
      <c r="D528" s="50" t="s">
        <v>526</v>
      </c>
      <c r="E528" s="30" t="s">
        <v>85</v>
      </c>
      <c r="F528" s="31">
        <v>34200</v>
      </c>
    </row>
    <row r="529" spans="1:6" ht="51.75">
      <c r="A529" s="16" t="s">
        <v>531</v>
      </c>
      <c r="B529" s="29" t="s">
        <v>515</v>
      </c>
      <c r="C529" s="29" t="s">
        <v>17</v>
      </c>
      <c r="D529" s="29" t="s">
        <v>532</v>
      </c>
      <c r="E529" s="30"/>
      <c r="F529" s="31">
        <f>F530</f>
        <v>1680820</v>
      </c>
    </row>
    <row r="530" spans="1:6" ht="26.25">
      <c r="A530" s="16" t="s">
        <v>554</v>
      </c>
      <c r="B530" s="29" t="s">
        <v>515</v>
      </c>
      <c r="C530" s="29" t="s">
        <v>17</v>
      </c>
      <c r="D530" s="50" t="s">
        <v>761</v>
      </c>
      <c r="E530" s="30"/>
      <c r="F530" s="31">
        <v>1680820</v>
      </c>
    </row>
    <row r="531" spans="1:6" ht="39">
      <c r="A531" s="16" t="s">
        <v>763</v>
      </c>
      <c r="B531" s="29" t="s">
        <v>515</v>
      </c>
      <c r="C531" s="29" t="s">
        <v>17</v>
      </c>
      <c r="D531" s="50" t="s">
        <v>762</v>
      </c>
      <c r="E531" s="30"/>
      <c r="F531" s="31">
        <v>1680820</v>
      </c>
    </row>
    <row r="532" spans="1:6" ht="39">
      <c r="A532" s="16" t="s">
        <v>26</v>
      </c>
      <c r="B532" s="29" t="s">
        <v>515</v>
      </c>
      <c r="C532" s="29" t="s">
        <v>17</v>
      </c>
      <c r="D532" s="50" t="s">
        <v>762</v>
      </c>
      <c r="E532" s="30" t="s">
        <v>27</v>
      </c>
      <c r="F532" s="31">
        <v>847020</v>
      </c>
    </row>
    <row r="533" spans="1:6" ht="15">
      <c r="A533" s="16" t="s">
        <v>211</v>
      </c>
      <c r="B533" s="29" t="s">
        <v>515</v>
      </c>
      <c r="C533" s="29" t="s">
        <v>17</v>
      </c>
      <c r="D533" s="50" t="s">
        <v>762</v>
      </c>
      <c r="E533" s="30" t="s">
        <v>212</v>
      </c>
      <c r="F533" s="31">
        <v>833800</v>
      </c>
    </row>
    <row r="534" spans="1:6" ht="25.5">
      <c r="A534" s="52" t="s">
        <v>527</v>
      </c>
      <c r="B534" s="29" t="s">
        <v>515</v>
      </c>
      <c r="C534" s="29" t="s">
        <v>17</v>
      </c>
      <c r="D534" s="29" t="s">
        <v>436</v>
      </c>
      <c r="E534" s="37"/>
      <c r="F534" s="31">
        <f>F535</f>
        <v>10000</v>
      </c>
    </row>
    <row r="535" spans="1:6" ht="51">
      <c r="A535" s="13" t="s">
        <v>437</v>
      </c>
      <c r="B535" s="29" t="s">
        <v>515</v>
      </c>
      <c r="C535" s="29" t="s">
        <v>17</v>
      </c>
      <c r="D535" s="29" t="s">
        <v>438</v>
      </c>
      <c r="E535" s="37"/>
      <c r="F535" s="31">
        <f>F536</f>
        <v>10000</v>
      </c>
    </row>
    <row r="536" spans="1:6" ht="25.5">
      <c r="A536" s="51" t="s">
        <v>439</v>
      </c>
      <c r="B536" s="29" t="s">
        <v>515</v>
      </c>
      <c r="C536" s="29" t="s">
        <v>17</v>
      </c>
      <c r="D536" s="29" t="s">
        <v>440</v>
      </c>
      <c r="E536" s="37"/>
      <c r="F536" s="31">
        <f>F537</f>
        <v>10000</v>
      </c>
    </row>
    <row r="537" spans="1:6" ht="15">
      <c r="A537" s="51" t="s">
        <v>441</v>
      </c>
      <c r="B537" s="29" t="s">
        <v>515</v>
      </c>
      <c r="C537" s="29" t="s">
        <v>17</v>
      </c>
      <c r="D537" s="29" t="s">
        <v>442</v>
      </c>
      <c r="E537" s="37"/>
      <c r="F537" s="31">
        <f>F538</f>
        <v>10000</v>
      </c>
    </row>
    <row r="538" spans="1:6" ht="26.25">
      <c r="A538" s="35" t="s">
        <v>38</v>
      </c>
      <c r="B538" s="29" t="s">
        <v>515</v>
      </c>
      <c r="C538" s="29" t="s">
        <v>17</v>
      </c>
      <c r="D538" s="29" t="s">
        <v>442</v>
      </c>
      <c r="E538" s="30" t="s">
        <v>39</v>
      </c>
      <c r="F538" s="31">
        <v>10000</v>
      </c>
    </row>
    <row r="539" spans="1:6" ht="25.5" hidden="1">
      <c r="A539" s="10" t="s">
        <v>504</v>
      </c>
      <c r="B539" s="29" t="s">
        <v>515</v>
      </c>
      <c r="C539" s="29" t="s">
        <v>17</v>
      </c>
      <c r="D539" s="50" t="s">
        <v>505</v>
      </c>
      <c r="E539" s="30"/>
      <c r="F539" s="31">
        <f>F540</f>
        <v>0</v>
      </c>
    </row>
    <row r="540" spans="1:6" ht="26.25" hidden="1">
      <c r="A540" s="35" t="s">
        <v>506</v>
      </c>
      <c r="B540" s="29" t="s">
        <v>515</v>
      </c>
      <c r="C540" s="29" t="s">
        <v>17</v>
      </c>
      <c r="D540" s="50" t="s">
        <v>507</v>
      </c>
      <c r="E540" s="30"/>
      <c r="F540" s="31">
        <f>F541</f>
        <v>0</v>
      </c>
    </row>
    <row r="541" spans="1:6" ht="26.25" hidden="1">
      <c r="A541" s="35" t="s">
        <v>528</v>
      </c>
      <c r="B541" s="29" t="s">
        <v>515</v>
      </c>
      <c r="C541" s="29" t="s">
        <v>17</v>
      </c>
      <c r="D541" s="36" t="s">
        <v>529</v>
      </c>
      <c r="E541" s="30"/>
      <c r="F541" s="31">
        <f>F542</f>
        <v>0</v>
      </c>
    </row>
    <row r="542" spans="1:6" ht="15" hidden="1">
      <c r="A542" s="16" t="s">
        <v>211</v>
      </c>
      <c r="B542" s="29" t="s">
        <v>515</v>
      </c>
      <c r="C542" s="29" t="s">
        <v>17</v>
      </c>
      <c r="D542" s="36" t="s">
        <v>529</v>
      </c>
      <c r="E542" s="30" t="s">
        <v>212</v>
      </c>
      <c r="F542" s="31"/>
    </row>
    <row r="543" spans="1:6" ht="15">
      <c r="A543" s="16" t="s">
        <v>530</v>
      </c>
      <c r="B543" s="29" t="s">
        <v>240</v>
      </c>
      <c r="C543" s="29" t="s">
        <v>42</v>
      </c>
      <c r="D543" s="29"/>
      <c r="E543" s="30"/>
      <c r="F543" s="31">
        <f>F544</f>
        <v>3955851</v>
      </c>
    </row>
    <row r="544" spans="1:6" ht="26.25">
      <c r="A544" s="16" t="s">
        <v>512</v>
      </c>
      <c r="B544" s="29" t="s">
        <v>240</v>
      </c>
      <c r="C544" s="29" t="s">
        <v>42</v>
      </c>
      <c r="D544" s="29" t="s">
        <v>513</v>
      </c>
      <c r="E544" s="30"/>
      <c r="F544" s="31">
        <f>F545</f>
        <v>3955851</v>
      </c>
    </row>
    <row r="545" spans="1:6" ht="51.75">
      <c r="A545" s="16" t="s">
        <v>531</v>
      </c>
      <c r="B545" s="29" t="s">
        <v>240</v>
      </c>
      <c r="C545" s="29" t="s">
        <v>42</v>
      </c>
      <c r="D545" s="29" t="s">
        <v>532</v>
      </c>
      <c r="E545" s="30"/>
      <c r="F545" s="31">
        <f>F546+F551</f>
        <v>3955851</v>
      </c>
    </row>
    <row r="546" spans="1:6" ht="25.5">
      <c r="A546" s="86" t="s">
        <v>533</v>
      </c>
      <c r="B546" s="29" t="s">
        <v>240</v>
      </c>
      <c r="C546" s="29" t="s">
        <v>42</v>
      </c>
      <c r="D546" s="29" t="s">
        <v>534</v>
      </c>
      <c r="E546" s="30"/>
      <c r="F546" s="31">
        <f>F547</f>
        <v>3945000</v>
      </c>
    </row>
    <row r="547" spans="1:6" ht="26.25">
      <c r="A547" s="16" t="s">
        <v>201</v>
      </c>
      <c r="B547" s="29" t="s">
        <v>240</v>
      </c>
      <c r="C547" s="29" t="s">
        <v>42</v>
      </c>
      <c r="D547" s="29" t="s">
        <v>535</v>
      </c>
      <c r="E547" s="30"/>
      <c r="F547" s="31">
        <f>F548+F549+F550</f>
        <v>3945000</v>
      </c>
    </row>
    <row r="548" spans="1:6" ht="39">
      <c r="A548" s="35" t="s">
        <v>26</v>
      </c>
      <c r="B548" s="29" t="s">
        <v>240</v>
      </c>
      <c r="C548" s="29" t="s">
        <v>42</v>
      </c>
      <c r="D548" s="29" t="s">
        <v>535</v>
      </c>
      <c r="E548" s="30" t="s">
        <v>27</v>
      </c>
      <c r="F548" s="31">
        <v>3632200</v>
      </c>
    </row>
    <row r="549" spans="1:6" ht="24.75" customHeight="1">
      <c r="A549" s="35" t="s">
        <v>38</v>
      </c>
      <c r="B549" s="29" t="s">
        <v>240</v>
      </c>
      <c r="C549" s="29" t="s">
        <v>42</v>
      </c>
      <c r="D549" s="29" t="s">
        <v>535</v>
      </c>
      <c r="E549" s="30" t="s">
        <v>39</v>
      </c>
      <c r="F549" s="31">
        <f>162800+50000+100000</f>
        <v>312800</v>
      </c>
    </row>
    <row r="550" spans="1:6" ht="15" hidden="1">
      <c r="A550" s="48" t="s">
        <v>84</v>
      </c>
      <c r="B550" s="29" t="s">
        <v>240</v>
      </c>
      <c r="C550" s="29" t="s">
        <v>42</v>
      </c>
      <c r="D550" s="29" t="s">
        <v>535</v>
      </c>
      <c r="E550" s="30" t="s">
        <v>85</v>
      </c>
      <c r="F550" s="31"/>
    </row>
    <row r="551" spans="1:6" ht="39">
      <c r="A551" s="87" t="s">
        <v>536</v>
      </c>
      <c r="B551" s="29" t="s">
        <v>240</v>
      </c>
      <c r="C551" s="29" t="s">
        <v>42</v>
      </c>
      <c r="D551" s="29" t="s">
        <v>537</v>
      </c>
      <c r="E551" s="30"/>
      <c r="F551" s="31">
        <f>F552</f>
        <v>10851</v>
      </c>
    </row>
    <row r="552" spans="1:6" ht="39">
      <c r="A552" s="8" t="s">
        <v>538</v>
      </c>
      <c r="B552" s="29" t="s">
        <v>240</v>
      </c>
      <c r="C552" s="29" t="s">
        <v>42</v>
      </c>
      <c r="D552" s="29" t="s">
        <v>539</v>
      </c>
      <c r="E552" s="30"/>
      <c r="F552" s="31">
        <f>F553</f>
        <v>10851</v>
      </c>
    </row>
    <row r="553" spans="1:6" ht="39">
      <c r="A553" s="35" t="s">
        <v>26</v>
      </c>
      <c r="B553" s="29" t="s">
        <v>240</v>
      </c>
      <c r="C553" s="29" t="s">
        <v>42</v>
      </c>
      <c r="D553" s="29" t="s">
        <v>539</v>
      </c>
      <c r="E553" s="30" t="s">
        <v>27</v>
      </c>
      <c r="F553" s="31">
        <v>10851</v>
      </c>
    </row>
    <row r="554" spans="1:6" ht="15">
      <c r="A554" s="16" t="s">
        <v>540</v>
      </c>
      <c r="B554" s="29" t="s">
        <v>248</v>
      </c>
      <c r="C554" s="29"/>
      <c r="D554" s="50"/>
      <c r="E554" s="56"/>
      <c r="F554" s="31">
        <f>F555</f>
        <v>851087</v>
      </c>
    </row>
    <row r="555" spans="1:6" ht="15">
      <c r="A555" s="10" t="s">
        <v>541</v>
      </c>
      <c r="B555" s="29" t="s">
        <v>248</v>
      </c>
      <c r="C555" s="29" t="s">
        <v>109</v>
      </c>
      <c r="D555" s="29"/>
      <c r="E555" s="30"/>
      <c r="F555" s="31">
        <f>F556</f>
        <v>851087</v>
      </c>
    </row>
    <row r="556" spans="1:6" ht="15">
      <c r="A556" s="16" t="s">
        <v>86</v>
      </c>
      <c r="B556" s="29" t="s">
        <v>248</v>
      </c>
      <c r="C556" s="29" t="s">
        <v>109</v>
      </c>
      <c r="D556" s="47" t="s">
        <v>87</v>
      </c>
      <c r="E556" s="37"/>
      <c r="F556" s="31">
        <f>F557</f>
        <v>851087</v>
      </c>
    </row>
    <row r="557" spans="1:6" ht="15">
      <c r="A557" s="16" t="s">
        <v>93</v>
      </c>
      <c r="B557" s="29" t="s">
        <v>248</v>
      </c>
      <c r="C557" s="29" t="s">
        <v>109</v>
      </c>
      <c r="D557" s="29" t="s">
        <v>94</v>
      </c>
      <c r="E557" s="30"/>
      <c r="F557" s="31">
        <f>F558</f>
        <v>851087</v>
      </c>
    </row>
    <row r="558" spans="1:6" ht="25.5">
      <c r="A558" s="12" t="s">
        <v>542</v>
      </c>
      <c r="B558" s="29" t="s">
        <v>248</v>
      </c>
      <c r="C558" s="29" t="s">
        <v>109</v>
      </c>
      <c r="D558" s="29" t="s">
        <v>543</v>
      </c>
      <c r="E558" s="30"/>
      <c r="F558" s="31">
        <f>F559</f>
        <v>851087</v>
      </c>
    </row>
    <row r="559" spans="1:6" ht="26.25">
      <c r="A559" s="35" t="s">
        <v>38</v>
      </c>
      <c r="B559" s="29" t="s">
        <v>248</v>
      </c>
      <c r="C559" s="29" t="s">
        <v>109</v>
      </c>
      <c r="D559" s="29" t="s">
        <v>543</v>
      </c>
      <c r="E559" s="37" t="s">
        <v>39</v>
      </c>
      <c r="F559" s="31">
        <v>851087</v>
      </c>
    </row>
    <row r="560" spans="1:6" ht="15">
      <c r="A560" s="16" t="s">
        <v>544</v>
      </c>
      <c r="B560" s="29" t="s">
        <v>216</v>
      </c>
      <c r="C560" s="29"/>
      <c r="D560" s="50"/>
      <c r="E560" s="56"/>
      <c r="F560" s="31">
        <f>F561+F567+F598</f>
        <v>100598554</v>
      </c>
    </row>
    <row r="561" spans="1:6" ht="15">
      <c r="A561" s="16" t="s">
        <v>545</v>
      </c>
      <c r="B561" s="29" t="s">
        <v>216</v>
      </c>
      <c r="C561" s="29" t="s">
        <v>17</v>
      </c>
      <c r="D561" s="29"/>
      <c r="E561" s="30"/>
      <c r="F561" s="31">
        <f>F562</f>
        <v>295400</v>
      </c>
    </row>
    <row r="562" spans="1:6" ht="26.25">
      <c r="A562" s="16" t="s">
        <v>546</v>
      </c>
      <c r="B562" s="29" t="s">
        <v>216</v>
      </c>
      <c r="C562" s="29" t="s">
        <v>17</v>
      </c>
      <c r="D562" s="29" t="s">
        <v>44</v>
      </c>
      <c r="E562" s="30"/>
      <c r="F562" s="31">
        <f>F563</f>
        <v>295400</v>
      </c>
    </row>
    <row r="563" spans="1:6" s="42" customFormat="1" ht="51">
      <c r="A563" s="53" t="s">
        <v>547</v>
      </c>
      <c r="B563" s="38" t="s">
        <v>216</v>
      </c>
      <c r="C563" s="38" t="s">
        <v>17</v>
      </c>
      <c r="D563" s="38" t="s">
        <v>126</v>
      </c>
      <c r="E563" s="45"/>
      <c r="F563" s="41">
        <f>F565</f>
        <v>295400</v>
      </c>
    </row>
    <row r="564" spans="1:6" ht="25.5">
      <c r="A564" s="14" t="s">
        <v>548</v>
      </c>
      <c r="B564" s="29" t="s">
        <v>216</v>
      </c>
      <c r="C564" s="29" t="s">
        <v>17</v>
      </c>
      <c r="D564" s="29" t="s">
        <v>549</v>
      </c>
      <c r="E564" s="30"/>
      <c r="F564" s="31">
        <f>F565</f>
        <v>295400</v>
      </c>
    </row>
    <row r="565" spans="1:6" ht="25.5">
      <c r="A565" s="53" t="s">
        <v>550</v>
      </c>
      <c r="B565" s="29" t="s">
        <v>551</v>
      </c>
      <c r="C565" s="29" t="s">
        <v>17</v>
      </c>
      <c r="D565" s="29" t="s">
        <v>552</v>
      </c>
      <c r="E565" s="30"/>
      <c r="F565" s="31">
        <f>F566</f>
        <v>295400</v>
      </c>
    </row>
    <row r="566" spans="1:6" ht="15">
      <c r="A566" s="48" t="s">
        <v>211</v>
      </c>
      <c r="B566" s="29" t="s">
        <v>551</v>
      </c>
      <c r="C566" s="29" t="s">
        <v>17</v>
      </c>
      <c r="D566" s="29" t="s">
        <v>552</v>
      </c>
      <c r="E566" s="30" t="s">
        <v>212</v>
      </c>
      <c r="F566" s="31">
        <v>295400</v>
      </c>
    </row>
    <row r="567" spans="1:6" ht="15">
      <c r="A567" s="16" t="s">
        <v>553</v>
      </c>
      <c r="B567" s="29">
        <v>10</v>
      </c>
      <c r="C567" s="29" t="s">
        <v>29</v>
      </c>
      <c r="D567" s="29"/>
      <c r="E567" s="30"/>
      <c r="F567" s="31">
        <f>F573+F588+F568</f>
        <v>16217082</v>
      </c>
    </row>
    <row r="568" spans="1:6" ht="26.25">
      <c r="A568" s="16" t="s">
        <v>512</v>
      </c>
      <c r="B568" s="29">
        <v>10</v>
      </c>
      <c r="C568" s="29" t="s">
        <v>29</v>
      </c>
      <c r="D568" s="29" t="s">
        <v>513</v>
      </c>
      <c r="E568" s="30"/>
      <c r="F568" s="31">
        <f>F569</f>
        <v>695149</v>
      </c>
    </row>
    <row r="569" spans="1:6" s="42" customFormat="1" ht="51.75">
      <c r="A569" s="16" t="s">
        <v>531</v>
      </c>
      <c r="B569" s="38">
        <v>10</v>
      </c>
      <c r="C569" s="38" t="s">
        <v>29</v>
      </c>
      <c r="D569" s="38" t="s">
        <v>532</v>
      </c>
      <c r="E569" s="45"/>
      <c r="F569" s="41">
        <f>F570</f>
        <v>695149</v>
      </c>
    </row>
    <row r="570" spans="1:6" ht="25.5">
      <c r="A570" s="14" t="s">
        <v>554</v>
      </c>
      <c r="B570" s="29">
        <v>10</v>
      </c>
      <c r="C570" s="29" t="s">
        <v>29</v>
      </c>
      <c r="D570" s="29" t="s">
        <v>555</v>
      </c>
      <c r="E570" s="30"/>
      <c r="F570" s="31">
        <f>F571</f>
        <v>695149</v>
      </c>
    </row>
    <row r="571" spans="1:6" ht="39">
      <c r="A571" s="44" t="s">
        <v>556</v>
      </c>
      <c r="B571" s="29">
        <v>10</v>
      </c>
      <c r="C571" s="29" t="s">
        <v>29</v>
      </c>
      <c r="D571" s="47" t="s">
        <v>557</v>
      </c>
      <c r="E571" s="30"/>
      <c r="F571" s="31">
        <f>F572</f>
        <v>695149</v>
      </c>
    </row>
    <row r="572" spans="1:6" ht="15">
      <c r="A572" s="48" t="s">
        <v>211</v>
      </c>
      <c r="B572" s="29">
        <v>10</v>
      </c>
      <c r="C572" s="29" t="s">
        <v>29</v>
      </c>
      <c r="D572" s="47" t="s">
        <v>557</v>
      </c>
      <c r="E572" s="30" t="s">
        <v>212</v>
      </c>
      <c r="F572" s="31">
        <f>777865-82716</f>
        <v>695149</v>
      </c>
    </row>
    <row r="573" spans="1:6" ht="39">
      <c r="A573" s="16" t="s">
        <v>558</v>
      </c>
      <c r="B573" s="29">
        <v>10</v>
      </c>
      <c r="C573" s="29" t="s">
        <v>29</v>
      </c>
      <c r="D573" s="29" t="s">
        <v>44</v>
      </c>
      <c r="E573" s="30"/>
      <c r="F573" s="31">
        <f>F574</f>
        <v>10597033</v>
      </c>
    </row>
    <row r="574" spans="1:8" s="42" customFormat="1" ht="51">
      <c r="A574" s="9" t="s">
        <v>559</v>
      </c>
      <c r="B574" s="38">
        <v>10</v>
      </c>
      <c r="C574" s="38" t="s">
        <v>29</v>
      </c>
      <c r="D574" s="38" t="s">
        <v>126</v>
      </c>
      <c r="E574" s="45"/>
      <c r="F574" s="41">
        <f>F575</f>
        <v>10597033</v>
      </c>
      <c r="H574" s="69"/>
    </row>
    <row r="575" spans="1:6" ht="25.5">
      <c r="A575" s="9" t="s">
        <v>560</v>
      </c>
      <c r="B575" s="29">
        <v>10</v>
      </c>
      <c r="C575" s="29" t="s">
        <v>29</v>
      </c>
      <c r="D575" s="29" t="s">
        <v>561</v>
      </c>
      <c r="E575" s="30"/>
      <c r="F575" s="31">
        <f>F576+F579+F582+F585</f>
        <v>10597033</v>
      </c>
    </row>
    <row r="576" spans="1:6" ht="26.25">
      <c r="A576" s="8" t="s">
        <v>562</v>
      </c>
      <c r="B576" s="29">
        <v>10</v>
      </c>
      <c r="C576" s="29" t="s">
        <v>29</v>
      </c>
      <c r="D576" s="29" t="s">
        <v>563</v>
      </c>
      <c r="E576" s="30"/>
      <c r="F576" s="31">
        <f>F578+F577</f>
        <v>49242</v>
      </c>
    </row>
    <row r="577" spans="1:6" ht="26.25">
      <c r="A577" s="35" t="s">
        <v>38</v>
      </c>
      <c r="B577" s="29">
        <v>10</v>
      </c>
      <c r="C577" s="29" t="s">
        <v>29</v>
      </c>
      <c r="D577" s="29" t="s">
        <v>563</v>
      </c>
      <c r="E577" s="30" t="s">
        <v>39</v>
      </c>
      <c r="F577" s="31">
        <f>450+120</f>
        <v>570</v>
      </c>
    </row>
    <row r="578" spans="1:6" ht="15">
      <c r="A578" s="88" t="s">
        <v>211</v>
      </c>
      <c r="B578" s="29">
        <v>10</v>
      </c>
      <c r="C578" s="29" t="s">
        <v>29</v>
      </c>
      <c r="D578" s="29" t="s">
        <v>563</v>
      </c>
      <c r="E578" s="30" t="s">
        <v>212</v>
      </c>
      <c r="F578" s="31">
        <f>45152+3520</f>
        <v>48672</v>
      </c>
    </row>
    <row r="579" spans="1:6" ht="26.25">
      <c r="A579" s="8" t="s">
        <v>564</v>
      </c>
      <c r="B579" s="29">
        <v>10</v>
      </c>
      <c r="C579" s="29" t="s">
        <v>29</v>
      </c>
      <c r="D579" s="29" t="s">
        <v>565</v>
      </c>
      <c r="E579" s="30"/>
      <c r="F579" s="31">
        <f>F581+F580</f>
        <v>219945</v>
      </c>
    </row>
    <row r="580" spans="1:6" ht="26.25">
      <c r="A580" s="35" t="s">
        <v>38</v>
      </c>
      <c r="B580" s="29">
        <v>10</v>
      </c>
      <c r="C580" s="29" t="s">
        <v>29</v>
      </c>
      <c r="D580" s="29" t="s">
        <v>565</v>
      </c>
      <c r="E580" s="30" t="s">
        <v>39</v>
      </c>
      <c r="F580" s="31">
        <f>2500+500</f>
        <v>3000</v>
      </c>
    </row>
    <row r="581" spans="1:6" ht="15">
      <c r="A581" s="88" t="s">
        <v>211</v>
      </c>
      <c r="B581" s="29">
        <v>10</v>
      </c>
      <c r="C581" s="29" t="s">
        <v>29</v>
      </c>
      <c r="D581" s="29" t="s">
        <v>565</v>
      </c>
      <c r="E581" s="30" t="s">
        <v>212</v>
      </c>
      <c r="F581" s="31">
        <f>201221+15724</f>
        <v>216945</v>
      </c>
    </row>
    <row r="582" spans="1:8" ht="15">
      <c r="A582" s="16" t="s">
        <v>566</v>
      </c>
      <c r="B582" s="29">
        <v>10</v>
      </c>
      <c r="C582" s="29" t="s">
        <v>29</v>
      </c>
      <c r="D582" s="29" t="s">
        <v>567</v>
      </c>
      <c r="E582" s="30"/>
      <c r="F582" s="31">
        <f>F584+F583</f>
        <v>9607846</v>
      </c>
      <c r="G582" s="89"/>
      <c r="H582" s="21"/>
    </row>
    <row r="583" spans="1:7" ht="26.25">
      <c r="A583" s="35" t="s">
        <v>38</v>
      </c>
      <c r="B583" s="29">
        <v>10</v>
      </c>
      <c r="C583" s="29" t="s">
        <v>29</v>
      </c>
      <c r="D583" s="29" t="s">
        <v>567</v>
      </c>
      <c r="E583" s="30" t="s">
        <v>39</v>
      </c>
      <c r="F583" s="31">
        <f>80000+23000</f>
        <v>103000</v>
      </c>
      <c r="G583" s="79"/>
    </row>
    <row r="584" spans="1:7" ht="15">
      <c r="A584" s="88" t="s">
        <v>211</v>
      </c>
      <c r="B584" s="29">
        <v>10</v>
      </c>
      <c r="C584" s="29" t="s">
        <v>29</v>
      </c>
      <c r="D584" s="29" t="s">
        <v>567</v>
      </c>
      <c r="E584" s="30" t="s">
        <v>212</v>
      </c>
      <c r="F584" s="31">
        <f>8766420+738426</f>
        <v>9504846</v>
      </c>
      <c r="G584" s="79"/>
    </row>
    <row r="585" spans="1:6" ht="15">
      <c r="A585" s="16" t="s">
        <v>568</v>
      </c>
      <c r="B585" s="29">
        <v>10</v>
      </c>
      <c r="C585" s="29" t="s">
        <v>29</v>
      </c>
      <c r="D585" s="29" t="s">
        <v>569</v>
      </c>
      <c r="E585" s="30"/>
      <c r="F585" s="31">
        <f>F587+F586</f>
        <v>720000</v>
      </c>
    </row>
    <row r="586" spans="1:6" ht="26.25">
      <c r="A586" s="35" t="s">
        <v>38</v>
      </c>
      <c r="B586" s="29">
        <v>10</v>
      </c>
      <c r="C586" s="29" t="s">
        <v>29</v>
      </c>
      <c r="D586" s="29" t="s">
        <v>569</v>
      </c>
      <c r="E586" s="30" t="s">
        <v>39</v>
      </c>
      <c r="F586" s="31">
        <f>10800+800</f>
        <v>11600</v>
      </c>
    </row>
    <row r="587" spans="1:6" ht="15">
      <c r="A587" s="88" t="s">
        <v>211</v>
      </c>
      <c r="B587" s="29">
        <v>10</v>
      </c>
      <c r="C587" s="29" t="s">
        <v>29</v>
      </c>
      <c r="D587" s="29" t="s">
        <v>569</v>
      </c>
      <c r="E587" s="30" t="s">
        <v>212</v>
      </c>
      <c r="F587" s="31">
        <v>708400</v>
      </c>
    </row>
    <row r="588" spans="1:6" ht="26.25">
      <c r="A588" s="16" t="s">
        <v>370</v>
      </c>
      <c r="B588" s="29">
        <v>10</v>
      </c>
      <c r="C588" s="29" t="s">
        <v>29</v>
      </c>
      <c r="D588" s="29" t="s">
        <v>371</v>
      </c>
      <c r="E588" s="30"/>
      <c r="F588" s="31">
        <f>F589+F593</f>
        <v>4924900</v>
      </c>
    </row>
    <row r="589" spans="1:6" s="42" customFormat="1" ht="39">
      <c r="A589" s="15" t="s">
        <v>372</v>
      </c>
      <c r="B589" s="38">
        <v>10</v>
      </c>
      <c r="C589" s="38" t="s">
        <v>29</v>
      </c>
      <c r="D589" s="38" t="s">
        <v>373</v>
      </c>
      <c r="E589" s="45"/>
      <c r="F589" s="41">
        <f>F590</f>
        <v>4527890</v>
      </c>
    </row>
    <row r="590" spans="1:6" ht="35.25" customHeight="1">
      <c r="A590" s="10" t="s">
        <v>570</v>
      </c>
      <c r="B590" s="29">
        <v>10</v>
      </c>
      <c r="C590" s="29" t="s">
        <v>29</v>
      </c>
      <c r="D590" s="29" t="s">
        <v>571</v>
      </c>
      <c r="E590" s="30"/>
      <c r="F590" s="31">
        <f>F591</f>
        <v>4527890</v>
      </c>
    </row>
    <row r="591" spans="1:6" ht="69.75" customHeight="1">
      <c r="A591" s="44" t="s">
        <v>572</v>
      </c>
      <c r="B591" s="29">
        <v>10</v>
      </c>
      <c r="C591" s="29" t="s">
        <v>29</v>
      </c>
      <c r="D591" s="29" t="s">
        <v>573</v>
      </c>
      <c r="E591" s="30"/>
      <c r="F591" s="31">
        <f>F592</f>
        <v>4527890</v>
      </c>
    </row>
    <row r="592" spans="1:6" ht="15">
      <c r="A592" s="88" t="s">
        <v>211</v>
      </c>
      <c r="B592" s="29">
        <v>10</v>
      </c>
      <c r="C592" s="29" t="s">
        <v>29</v>
      </c>
      <c r="D592" s="29" t="s">
        <v>573</v>
      </c>
      <c r="E592" s="30" t="s">
        <v>212</v>
      </c>
      <c r="F592" s="31">
        <f>9902040-5374150</f>
        <v>4527890</v>
      </c>
    </row>
    <row r="593" spans="1:6" s="42" customFormat="1" ht="51.75">
      <c r="A593" s="35" t="s">
        <v>454</v>
      </c>
      <c r="B593" s="38">
        <v>10</v>
      </c>
      <c r="C593" s="38" t="s">
        <v>29</v>
      </c>
      <c r="D593" s="38" t="s">
        <v>455</v>
      </c>
      <c r="E593" s="45"/>
      <c r="F593" s="41">
        <f>F594</f>
        <v>397010</v>
      </c>
    </row>
    <row r="594" spans="1:6" ht="25.5">
      <c r="A594" s="9" t="s">
        <v>574</v>
      </c>
      <c r="B594" s="29">
        <v>10</v>
      </c>
      <c r="C594" s="29" t="s">
        <v>29</v>
      </c>
      <c r="D594" s="29" t="s">
        <v>575</v>
      </c>
      <c r="E594" s="30"/>
      <c r="F594" s="31">
        <f>F595</f>
        <v>397010</v>
      </c>
    </row>
    <row r="595" spans="1:6" ht="51.75">
      <c r="A595" s="73" t="s">
        <v>576</v>
      </c>
      <c r="B595" s="29">
        <v>10</v>
      </c>
      <c r="C595" s="29" t="s">
        <v>29</v>
      </c>
      <c r="D595" s="29" t="s">
        <v>577</v>
      </c>
      <c r="E595" s="30"/>
      <c r="F595" s="31">
        <f>F597</f>
        <v>397010</v>
      </c>
    </row>
    <row r="596" spans="1:6" ht="26.25" hidden="1">
      <c r="A596" s="35" t="s">
        <v>38</v>
      </c>
      <c r="B596" s="29">
        <v>10</v>
      </c>
      <c r="C596" s="29" t="s">
        <v>29</v>
      </c>
      <c r="D596" s="29" t="s">
        <v>578</v>
      </c>
      <c r="E596" s="30" t="s">
        <v>39</v>
      </c>
      <c r="F596" s="31"/>
    </row>
    <row r="597" spans="1:6" ht="15">
      <c r="A597" s="88" t="s">
        <v>211</v>
      </c>
      <c r="B597" s="29">
        <v>10</v>
      </c>
      <c r="C597" s="29" t="s">
        <v>29</v>
      </c>
      <c r="D597" s="29" t="s">
        <v>577</v>
      </c>
      <c r="E597" s="30" t="s">
        <v>212</v>
      </c>
      <c r="F597" s="65">
        <v>397010</v>
      </c>
    </row>
    <row r="598" spans="1:6" ht="15">
      <c r="A598" s="16" t="s">
        <v>579</v>
      </c>
      <c r="B598" s="29">
        <v>10</v>
      </c>
      <c r="C598" s="29" t="s">
        <v>42</v>
      </c>
      <c r="D598" s="29"/>
      <c r="E598" s="30"/>
      <c r="F598" s="31">
        <f>F618+F599+F628</f>
        <v>84086072</v>
      </c>
    </row>
    <row r="599" spans="1:7" ht="26.25">
      <c r="A599" s="16" t="s">
        <v>124</v>
      </c>
      <c r="B599" s="29">
        <v>10</v>
      </c>
      <c r="C599" s="29" t="s">
        <v>42</v>
      </c>
      <c r="D599" s="90" t="s">
        <v>44</v>
      </c>
      <c r="E599" s="30"/>
      <c r="F599" s="31">
        <f>F611+F600</f>
        <v>81765279</v>
      </c>
      <c r="G599" s="21"/>
    </row>
    <row r="600" spans="1:6" ht="51">
      <c r="A600" s="9" t="s">
        <v>559</v>
      </c>
      <c r="B600" s="29">
        <v>10</v>
      </c>
      <c r="C600" s="29" t="s">
        <v>42</v>
      </c>
      <c r="D600" s="38" t="s">
        <v>126</v>
      </c>
      <c r="E600" s="45"/>
      <c r="F600" s="41">
        <f>F601</f>
        <v>53889314</v>
      </c>
    </row>
    <row r="601" spans="1:6" ht="35.25" customHeight="1">
      <c r="A601" s="9" t="s">
        <v>560</v>
      </c>
      <c r="B601" s="29">
        <v>10</v>
      </c>
      <c r="C601" s="29" t="s">
        <v>42</v>
      </c>
      <c r="D601" s="29" t="s">
        <v>561</v>
      </c>
      <c r="E601" s="30"/>
      <c r="F601" s="31">
        <f>F602+F605+F609+F607</f>
        <v>53889314</v>
      </c>
    </row>
    <row r="602" spans="1:6" ht="15">
      <c r="A602" s="16" t="s">
        <v>580</v>
      </c>
      <c r="B602" s="29">
        <v>10</v>
      </c>
      <c r="C602" s="29" t="s">
        <v>42</v>
      </c>
      <c r="D602" s="29" t="s">
        <v>581</v>
      </c>
      <c r="E602" s="30"/>
      <c r="F602" s="31">
        <f>F604+F603</f>
        <v>2254800</v>
      </c>
    </row>
    <row r="603" spans="1:6" ht="26.25">
      <c r="A603" s="35" t="s">
        <v>38</v>
      </c>
      <c r="B603" s="29">
        <v>10</v>
      </c>
      <c r="C603" s="29" t="s">
        <v>42</v>
      </c>
      <c r="D603" s="29" t="s">
        <v>581</v>
      </c>
      <c r="E603" s="30" t="s">
        <v>39</v>
      </c>
      <c r="F603" s="31">
        <v>350</v>
      </c>
    </row>
    <row r="604" spans="1:6" ht="15">
      <c r="A604" s="88" t="s">
        <v>211</v>
      </c>
      <c r="B604" s="29">
        <v>10</v>
      </c>
      <c r="C604" s="29" t="s">
        <v>42</v>
      </c>
      <c r="D604" s="29" t="s">
        <v>581</v>
      </c>
      <c r="E604" s="30" t="s">
        <v>212</v>
      </c>
      <c r="F604" s="31">
        <f>2093291+161159</f>
        <v>2254450</v>
      </c>
    </row>
    <row r="605" spans="1:6" ht="15">
      <c r="A605" s="88" t="s">
        <v>582</v>
      </c>
      <c r="B605" s="29" t="s">
        <v>216</v>
      </c>
      <c r="C605" s="29" t="s">
        <v>42</v>
      </c>
      <c r="D605" s="29" t="s">
        <v>583</v>
      </c>
      <c r="E605" s="30"/>
      <c r="F605" s="31">
        <f>F606</f>
        <v>50646759</v>
      </c>
    </row>
    <row r="606" spans="1:6" ht="15">
      <c r="A606" s="88" t="s">
        <v>211</v>
      </c>
      <c r="B606" s="29" t="s">
        <v>216</v>
      </c>
      <c r="C606" s="29" t="s">
        <v>42</v>
      </c>
      <c r="D606" s="29" t="s">
        <v>583</v>
      </c>
      <c r="E606" s="30" t="s">
        <v>212</v>
      </c>
      <c r="F606" s="31">
        <v>50646759</v>
      </c>
    </row>
    <row r="607" spans="1:6" ht="38.25">
      <c r="A607" s="10" t="s">
        <v>584</v>
      </c>
      <c r="B607" s="29" t="s">
        <v>216</v>
      </c>
      <c r="C607" s="29" t="s">
        <v>42</v>
      </c>
      <c r="D607" s="29" t="s">
        <v>585</v>
      </c>
      <c r="E607" s="30"/>
      <c r="F607" s="31">
        <f>F608</f>
        <v>0</v>
      </c>
    </row>
    <row r="608" spans="1:6" ht="15">
      <c r="A608" s="88" t="s">
        <v>211</v>
      </c>
      <c r="B608" s="29" t="s">
        <v>216</v>
      </c>
      <c r="C608" s="29" t="s">
        <v>42</v>
      </c>
      <c r="D608" s="29" t="s">
        <v>585</v>
      </c>
      <c r="E608" s="30" t="s">
        <v>212</v>
      </c>
      <c r="F608" s="31"/>
    </row>
    <row r="609" spans="1:6" ht="25.5">
      <c r="A609" s="88" t="s">
        <v>586</v>
      </c>
      <c r="B609" s="29" t="s">
        <v>216</v>
      </c>
      <c r="C609" s="29" t="s">
        <v>42</v>
      </c>
      <c r="D609" s="29" t="s">
        <v>587</v>
      </c>
      <c r="E609" s="30"/>
      <c r="F609" s="31">
        <f>F610</f>
        <v>987755</v>
      </c>
    </row>
    <row r="610" spans="1:6" ht="26.25">
      <c r="A610" s="35" t="s">
        <v>38</v>
      </c>
      <c r="B610" s="29" t="s">
        <v>216</v>
      </c>
      <c r="C610" s="29" t="s">
        <v>42</v>
      </c>
      <c r="D610" s="29" t="s">
        <v>587</v>
      </c>
      <c r="E610" s="30" t="s">
        <v>39</v>
      </c>
      <c r="F610" s="31">
        <v>987755</v>
      </c>
    </row>
    <row r="611" spans="1:6" ht="51">
      <c r="A611" s="53" t="s">
        <v>588</v>
      </c>
      <c r="B611" s="29">
        <v>10</v>
      </c>
      <c r="C611" s="29" t="s">
        <v>42</v>
      </c>
      <c r="D611" s="29" t="s">
        <v>46</v>
      </c>
      <c r="E611" s="30"/>
      <c r="F611" s="31">
        <f>F612+F615</f>
        <v>27875965</v>
      </c>
    </row>
    <row r="612" spans="1:6" ht="38.25">
      <c r="A612" s="10" t="s">
        <v>589</v>
      </c>
      <c r="B612" s="29">
        <v>10</v>
      </c>
      <c r="C612" s="29" t="s">
        <v>42</v>
      </c>
      <c r="D612" s="29" t="s">
        <v>590</v>
      </c>
      <c r="E612" s="30"/>
      <c r="F612" s="31">
        <f>F613</f>
        <v>16676179</v>
      </c>
    </row>
    <row r="613" spans="1:6" ht="26.25">
      <c r="A613" s="8" t="s">
        <v>591</v>
      </c>
      <c r="B613" s="29">
        <v>10</v>
      </c>
      <c r="C613" s="29" t="s">
        <v>42</v>
      </c>
      <c r="D613" s="29" t="s">
        <v>592</v>
      </c>
      <c r="E613" s="30"/>
      <c r="F613" s="31">
        <f>F614</f>
        <v>16676179</v>
      </c>
    </row>
    <row r="614" spans="1:6" ht="15">
      <c r="A614" s="88" t="s">
        <v>211</v>
      </c>
      <c r="B614" s="29">
        <v>10</v>
      </c>
      <c r="C614" s="29" t="s">
        <v>42</v>
      </c>
      <c r="D614" s="29" t="s">
        <v>592</v>
      </c>
      <c r="E614" s="30" t="s">
        <v>212</v>
      </c>
      <c r="F614" s="31">
        <f>16092874+583305</f>
        <v>16676179</v>
      </c>
    </row>
    <row r="615" spans="1:6" ht="30.75" customHeight="1">
      <c r="A615" s="43" t="s">
        <v>745</v>
      </c>
      <c r="B615" s="29" t="s">
        <v>216</v>
      </c>
      <c r="C615" s="29" t="s">
        <v>42</v>
      </c>
      <c r="D615" s="36" t="s">
        <v>746</v>
      </c>
      <c r="E615" s="37"/>
      <c r="F615" s="31">
        <f>F616</f>
        <v>11199786</v>
      </c>
    </row>
    <row r="616" spans="1:6" ht="39">
      <c r="A616" s="44" t="s">
        <v>598</v>
      </c>
      <c r="B616" s="29">
        <v>10</v>
      </c>
      <c r="C616" s="29" t="s">
        <v>42</v>
      </c>
      <c r="D616" s="29" t="s">
        <v>747</v>
      </c>
      <c r="E616" s="30"/>
      <c r="F616" s="31">
        <f>F617</f>
        <v>11199786</v>
      </c>
    </row>
    <row r="617" spans="1:6" ht="26.25">
      <c r="A617" s="16" t="s">
        <v>271</v>
      </c>
      <c r="B617" s="29">
        <v>10</v>
      </c>
      <c r="C617" s="29" t="s">
        <v>42</v>
      </c>
      <c r="D617" s="29" t="s">
        <v>747</v>
      </c>
      <c r="E617" s="30" t="s">
        <v>272</v>
      </c>
      <c r="F617" s="31">
        <f>8168395+3031391</f>
        <v>11199786</v>
      </c>
    </row>
    <row r="618" spans="1:6" ht="26.25">
      <c r="A618" s="16" t="s">
        <v>593</v>
      </c>
      <c r="B618" s="29">
        <v>10</v>
      </c>
      <c r="C618" s="29" t="s">
        <v>42</v>
      </c>
      <c r="D618" s="90" t="s">
        <v>371</v>
      </c>
      <c r="E618" s="30"/>
      <c r="F618" s="31">
        <f>F619+F625</f>
        <v>2320793</v>
      </c>
    </row>
    <row r="619" spans="1:6" s="42" customFormat="1" ht="39">
      <c r="A619" s="15" t="s">
        <v>372</v>
      </c>
      <c r="B619" s="38">
        <v>10</v>
      </c>
      <c r="C619" s="38" t="s">
        <v>42</v>
      </c>
      <c r="D619" s="91" t="s">
        <v>373</v>
      </c>
      <c r="E619" s="45"/>
      <c r="F619" s="41">
        <f>F620</f>
        <v>2320643</v>
      </c>
    </row>
    <row r="620" spans="1:6" ht="24" customHeight="1">
      <c r="A620" s="10" t="s">
        <v>374</v>
      </c>
      <c r="B620" s="29">
        <v>10</v>
      </c>
      <c r="C620" s="29" t="s">
        <v>42</v>
      </c>
      <c r="D620" s="90" t="s">
        <v>375</v>
      </c>
      <c r="E620" s="30"/>
      <c r="F620" s="31">
        <f>F623+F621</f>
        <v>2320643</v>
      </c>
    </row>
    <row r="621" spans="1:6" ht="25.5" hidden="1">
      <c r="A621" s="10" t="s">
        <v>201</v>
      </c>
      <c r="B621" s="29">
        <v>10</v>
      </c>
      <c r="C621" s="29" t="s">
        <v>42</v>
      </c>
      <c r="D621" s="90" t="s">
        <v>594</v>
      </c>
      <c r="E621" s="30"/>
      <c r="F621" s="31">
        <f>F622</f>
        <v>0</v>
      </c>
    </row>
    <row r="622" spans="1:6" ht="39" hidden="1">
      <c r="A622" s="35" t="s">
        <v>26</v>
      </c>
      <c r="B622" s="29">
        <v>10</v>
      </c>
      <c r="C622" s="29" t="s">
        <v>42</v>
      </c>
      <c r="D622" s="90" t="s">
        <v>594</v>
      </c>
      <c r="E622" s="30" t="s">
        <v>27</v>
      </c>
      <c r="F622" s="31"/>
    </row>
    <row r="623" spans="1:6" ht="15">
      <c r="A623" s="8" t="s">
        <v>595</v>
      </c>
      <c r="B623" s="29">
        <v>10</v>
      </c>
      <c r="C623" s="29" t="s">
        <v>42</v>
      </c>
      <c r="D623" s="90" t="s">
        <v>596</v>
      </c>
      <c r="E623" s="30"/>
      <c r="F623" s="31">
        <f>F624</f>
        <v>2320643</v>
      </c>
    </row>
    <row r="624" spans="1:6" ht="15">
      <c r="A624" s="88" t="s">
        <v>211</v>
      </c>
      <c r="B624" s="29">
        <v>10</v>
      </c>
      <c r="C624" s="29" t="s">
        <v>42</v>
      </c>
      <c r="D624" s="90" t="s">
        <v>596</v>
      </c>
      <c r="E624" s="30" t="s">
        <v>212</v>
      </c>
      <c r="F624" s="31">
        <v>2320643</v>
      </c>
    </row>
    <row r="625" spans="1:6" ht="25.5">
      <c r="A625" s="10" t="s">
        <v>396</v>
      </c>
      <c r="B625" s="29" t="s">
        <v>216</v>
      </c>
      <c r="C625" s="29" t="s">
        <v>42</v>
      </c>
      <c r="D625" s="29" t="s">
        <v>397</v>
      </c>
      <c r="E625" s="30"/>
      <c r="F625" s="31">
        <f>F626</f>
        <v>150</v>
      </c>
    </row>
    <row r="626" spans="1:6" ht="77.25">
      <c r="A626" s="44" t="s">
        <v>406</v>
      </c>
      <c r="B626" s="29">
        <v>10</v>
      </c>
      <c r="C626" s="29" t="s">
        <v>42</v>
      </c>
      <c r="D626" s="90" t="s">
        <v>597</v>
      </c>
      <c r="E626" s="30"/>
      <c r="F626" s="31">
        <f>F627</f>
        <v>150</v>
      </c>
    </row>
    <row r="627" spans="1:6" ht="39">
      <c r="A627" s="35" t="s">
        <v>26</v>
      </c>
      <c r="B627" s="29">
        <v>10</v>
      </c>
      <c r="C627" s="29" t="s">
        <v>42</v>
      </c>
      <c r="D627" s="90" t="s">
        <v>597</v>
      </c>
      <c r="E627" s="30" t="s">
        <v>27</v>
      </c>
      <c r="F627" s="31">
        <v>150</v>
      </c>
    </row>
    <row r="628" spans="1:6" ht="15">
      <c r="A628" s="16" t="s">
        <v>86</v>
      </c>
      <c r="B628" s="29">
        <v>10</v>
      </c>
      <c r="C628" s="29" t="s">
        <v>42</v>
      </c>
      <c r="D628" s="47" t="s">
        <v>87</v>
      </c>
      <c r="E628" s="37"/>
      <c r="F628" s="31">
        <f>F629</f>
        <v>0</v>
      </c>
    </row>
    <row r="629" spans="1:6" s="42" customFormat="1" ht="15">
      <c r="A629" s="16" t="s">
        <v>93</v>
      </c>
      <c r="B629" s="29">
        <v>10</v>
      </c>
      <c r="C629" s="29" t="s">
        <v>42</v>
      </c>
      <c r="D629" s="39" t="s">
        <v>94</v>
      </c>
      <c r="E629" s="40"/>
      <c r="F629" s="41">
        <f>F630</f>
        <v>0</v>
      </c>
    </row>
    <row r="630" spans="1:6" ht="39">
      <c r="A630" s="44" t="s">
        <v>598</v>
      </c>
      <c r="B630" s="29">
        <v>10</v>
      </c>
      <c r="C630" s="29" t="s">
        <v>42</v>
      </c>
      <c r="D630" s="29" t="s">
        <v>599</v>
      </c>
      <c r="E630" s="30"/>
      <c r="F630" s="31">
        <f>F631</f>
        <v>0</v>
      </c>
    </row>
    <row r="631" spans="1:8" ht="26.25">
      <c r="A631" s="16" t="s">
        <v>271</v>
      </c>
      <c r="B631" s="29">
        <v>10</v>
      </c>
      <c r="C631" s="29" t="s">
        <v>42</v>
      </c>
      <c r="D631" s="29" t="s">
        <v>599</v>
      </c>
      <c r="E631" s="37" t="s">
        <v>272</v>
      </c>
      <c r="F631" s="31"/>
      <c r="H631" s="21"/>
    </row>
    <row r="632" spans="1:6" ht="15">
      <c r="A632" s="16" t="s">
        <v>600</v>
      </c>
      <c r="B632" s="29" t="s">
        <v>115</v>
      </c>
      <c r="C632" s="29"/>
      <c r="D632" s="29"/>
      <c r="E632" s="30"/>
      <c r="F632" s="31">
        <f aca="true" t="shared" si="2" ref="F632:F637">F633</f>
        <v>8001440</v>
      </c>
    </row>
    <row r="633" spans="1:6" ht="15">
      <c r="A633" s="16" t="s">
        <v>601</v>
      </c>
      <c r="B633" s="29" t="s">
        <v>115</v>
      </c>
      <c r="C633" s="29" t="s">
        <v>17</v>
      </c>
      <c r="D633" s="29"/>
      <c r="E633" s="30"/>
      <c r="F633" s="31">
        <f t="shared" si="2"/>
        <v>8001440</v>
      </c>
    </row>
    <row r="634" spans="1:6" ht="51">
      <c r="A634" s="10" t="s">
        <v>463</v>
      </c>
      <c r="B634" s="29" t="s">
        <v>115</v>
      </c>
      <c r="C634" s="29" t="s">
        <v>17</v>
      </c>
      <c r="D634" s="50" t="s">
        <v>464</v>
      </c>
      <c r="E634" s="30"/>
      <c r="F634" s="31">
        <f t="shared" si="2"/>
        <v>8001440</v>
      </c>
    </row>
    <row r="635" spans="1:6" s="42" customFormat="1" ht="63.75">
      <c r="A635" s="53" t="s">
        <v>602</v>
      </c>
      <c r="B635" s="38" t="s">
        <v>115</v>
      </c>
      <c r="C635" s="38" t="s">
        <v>17</v>
      </c>
      <c r="D635" s="58" t="s">
        <v>603</v>
      </c>
      <c r="E635" s="45"/>
      <c r="F635" s="41">
        <f>F636+F639+F646</f>
        <v>8001440</v>
      </c>
    </row>
    <row r="636" spans="1:6" ht="38.25">
      <c r="A636" s="53" t="s">
        <v>604</v>
      </c>
      <c r="B636" s="29" t="s">
        <v>115</v>
      </c>
      <c r="C636" s="29" t="s">
        <v>17</v>
      </c>
      <c r="D636" s="50" t="s">
        <v>605</v>
      </c>
      <c r="E636" s="30"/>
      <c r="F636" s="31">
        <f t="shared" si="2"/>
        <v>100000</v>
      </c>
    </row>
    <row r="637" spans="1:6" ht="39">
      <c r="A637" s="16" t="s">
        <v>606</v>
      </c>
      <c r="B637" s="29" t="s">
        <v>115</v>
      </c>
      <c r="C637" s="29" t="s">
        <v>17</v>
      </c>
      <c r="D637" s="50" t="s">
        <v>607</v>
      </c>
      <c r="E637" s="30"/>
      <c r="F637" s="31">
        <f t="shared" si="2"/>
        <v>100000</v>
      </c>
    </row>
    <row r="638" spans="1:6" ht="26.25">
      <c r="A638" s="35" t="s">
        <v>38</v>
      </c>
      <c r="B638" s="29" t="s">
        <v>115</v>
      </c>
      <c r="C638" s="29" t="s">
        <v>17</v>
      </c>
      <c r="D638" s="50" t="s">
        <v>607</v>
      </c>
      <c r="E638" s="30" t="s">
        <v>39</v>
      </c>
      <c r="F638" s="31">
        <v>100000</v>
      </c>
    </row>
    <row r="639" spans="1:6" ht="25.5">
      <c r="A639" s="53" t="s">
        <v>608</v>
      </c>
      <c r="B639" s="29" t="s">
        <v>115</v>
      </c>
      <c r="C639" s="29" t="s">
        <v>17</v>
      </c>
      <c r="D639" s="50" t="s">
        <v>609</v>
      </c>
      <c r="E639" s="30"/>
      <c r="F639" s="31">
        <f>F640+F644</f>
        <v>7901440</v>
      </c>
    </row>
    <row r="640" spans="1:6" ht="26.25">
      <c r="A640" s="16" t="s">
        <v>201</v>
      </c>
      <c r="B640" s="29" t="s">
        <v>115</v>
      </c>
      <c r="C640" s="29" t="s">
        <v>17</v>
      </c>
      <c r="D640" s="50" t="s">
        <v>610</v>
      </c>
      <c r="E640" s="30"/>
      <c r="F640" s="31">
        <f>F642+F641+F643</f>
        <v>7901440</v>
      </c>
    </row>
    <row r="641" spans="1:6" ht="39">
      <c r="A641" s="35" t="s">
        <v>26</v>
      </c>
      <c r="B641" s="29" t="s">
        <v>115</v>
      </c>
      <c r="C641" s="29" t="s">
        <v>17</v>
      </c>
      <c r="D641" s="50" t="s">
        <v>610</v>
      </c>
      <c r="E641" s="30" t="s">
        <v>27</v>
      </c>
      <c r="F641" s="31">
        <f>6275000+541000</f>
        <v>6816000</v>
      </c>
    </row>
    <row r="642" spans="1:6" ht="26.25">
      <c r="A642" s="35" t="s">
        <v>38</v>
      </c>
      <c r="B642" s="29" t="s">
        <v>115</v>
      </c>
      <c r="C642" s="29" t="s">
        <v>17</v>
      </c>
      <c r="D642" s="50" t="s">
        <v>610</v>
      </c>
      <c r="E642" s="30" t="s">
        <v>39</v>
      </c>
      <c r="F642" s="31">
        <f>942700+21000</f>
        <v>963700</v>
      </c>
    </row>
    <row r="643" spans="1:6" ht="15">
      <c r="A643" s="48" t="s">
        <v>84</v>
      </c>
      <c r="B643" s="29" t="s">
        <v>115</v>
      </c>
      <c r="C643" s="29" t="s">
        <v>17</v>
      </c>
      <c r="D643" s="50" t="s">
        <v>610</v>
      </c>
      <c r="E643" s="30" t="s">
        <v>85</v>
      </c>
      <c r="F643" s="31">
        <v>121740</v>
      </c>
    </row>
    <row r="644" spans="1:6" ht="25.5">
      <c r="A644" s="10" t="s">
        <v>236</v>
      </c>
      <c r="B644" s="29" t="s">
        <v>115</v>
      </c>
      <c r="C644" s="29" t="s">
        <v>17</v>
      </c>
      <c r="D644" s="50" t="s">
        <v>611</v>
      </c>
      <c r="E644" s="30"/>
      <c r="F644" s="31">
        <f>F645</f>
        <v>0</v>
      </c>
    </row>
    <row r="645" spans="1:6" ht="30" customHeight="1">
      <c r="A645" s="35" t="s">
        <v>38</v>
      </c>
      <c r="B645" s="29" t="s">
        <v>115</v>
      </c>
      <c r="C645" s="29" t="s">
        <v>17</v>
      </c>
      <c r="D645" s="50" t="s">
        <v>611</v>
      </c>
      <c r="E645" s="30" t="s">
        <v>39</v>
      </c>
      <c r="F645" s="31"/>
    </row>
    <row r="646" spans="1:6" ht="31.5" customHeight="1" hidden="1">
      <c r="A646" s="53" t="s">
        <v>612</v>
      </c>
      <c r="B646" s="29" t="s">
        <v>115</v>
      </c>
      <c r="C646" s="29" t="s">
        <v>17</v>
      </c>
      <c r="D646" s="50" t="s">
        <v>613</v>
      </c>
      <c r="E646" s="30"/>
      <c r="F646" s="31">
        <f>F647</f>
        <v>0</v>
      </c>
    </row>
    <row r="647" spans="1:6" ht="39" hidden="1">
      <c r="A647" s="16" t="s">
        <v>606</v>
      </c>
      <c r="B647" s="29" t="s">
        <v>115</v>
      </c>
      <c r="C647" s="29" t="s">
        <v>17</v>
      </c>
      <c r="D647" s="50" t="s">
        <v>614</v>
      </c>
      <c r="E647" s="30"/>
      <c r="F647" s="31">
        <f>F648</f>
        <v>0</v>
      </c>
    </row>
    <row r="648" spans="1:6" ht="26.25" hidden="1">
      <c r="A648" s="16" t="s">
        <v>271</v>
      </c>
      <c r="B648" s="29" t="s">
        <v>115</v>
      </c>
      <c r="C648" s="29" t="s">
        <v>17</v>
      </c>
      <c r="D648" s="50" t="s">
        <v>614</v>
      </c>
      <c r="E648" s="30" t="s">
        <v>272</v>
      </c>
      <c r="F648" s="31"/>
    </row>
    <row r="649" spans="1:6" ht="15">
      <c r="A649" s="16" t="s">
        <v>615</v>
      </c>
      <c r="B649" s="29" t="s">
        <v>123</v>
      </c>
      <c r="C649" s="29"/>
      <c r="D649" s="29"/>
      <c r="E649" s="30"/>
      <c r="F649" s="31">
        <f>F650</f>
        <v>2000</v>
      </c>
    </row>
    <row r="650" spans="1:6" ht="15">
      <c r="A650" s="16" t="s">
        <v>616</v>
      </c>
      <c r="B650" s="29" t="s">
        <v>123</v>
      </c>
      <c r="C650" s="29" t="s">
        <v>17</v>
      </c>
      <c r="D650" s="29"/>
      <c r="E650" s="30"/>
      <c r="F650" s="31">
        <f>F651</f>
        <v>2000</v>
      </c>
    </row>
    <row r="651" spans="1:6" ht="39" customHeight="1">
      <c r="A651" s="13" t="s">
        <v>617</v>
      </c>
      <c r="B651" s="29" t="s">
        <v>123</v>
      </c>
      <c r="C651" s="29" t="s">
        <v>17</v>
      </c>
      <c r="D651" s="47" t="s">
        <v>618</v>
      </c>
      <c r="E651" s="30"/>
      <c r="F651" s="31">
        <f>F652</f>
        <v>2000</v>
      </c>
    </row>
    <row r="652" spans="1:6" s="42" customFormat="1" ht="66.75" customHeight="1">
      <c r="A652" s="15" t="s">
        <v>619</v>
      </c>
      <c r="B652" s="38" t="s">
        <v>123</v>
      </c>
      <c r="C652" s="38" t="s">
        <v>17</v>
      </c>
      <c r="D652" s="47" t="s">
        <v>620</v>
      </c>
      <c r="E652" s="45"/>
      <c r="F652" s="41">
        <f>F654</f>
        <v>2000</v>
      </c>
    </row>
    <row r="653" spans="1:6" s="42" customFormat="1" ht="39">
      <c r="A653" s="15" t="s">
        <v>621</v>
      </c>
      <c r="B653" s="29" t="s">
        <v>123</v>
      </c>
      <c r="C653" s="29" t="s">
        <v>17</v>
      </c>
      <c r="D653" s="47" t="s">
        <v>622</v>
      </c>
      <c r="E653" s="45"/>
      <c r="F653" s="41">
        <f>F654</f>
        <v>2000</v>
      </c>
    </row>
    <row r="654" spans="1:6" ht="15">
      <c r="A654" s="16" t="s">
        <v>623</v>
      </c>
      <c r="B654" s="29" t="s">
        <v>123</v>
      </c>
      <c r="C654" s="29" t="s">
        <v>17</v>
      </c>
      <c r="D654" s="47" t="s">
        <v>624</v>
      </c>
      <c r="E654" s="30"/>
      <c r="F654" s="31">
        <f>F655</f>
        <v>2000</v>
      </c>
    </row>
    <row r="655" spans="1:6" ht="15">
      <c r="A655" s="15" t="s">
        <v>625</v>
      </c>
      <c r="B655" s="29" t="s">
        <v>123</v>
      </c>
      <c r="C655" s="29" t="s">
        <v>17</v>
      </c>
      <c r="D655" s="47" t="s">
        <v>624</v>
      </c>
      <c r="E655" s="30" t="s">
        <v>626</v>
      </c>
      <c r="F655" s="31">
        <v>2000</v>
      </c>
    </row>
    <row r="656" spans="1:6" ht="26.25">
      <c r="A656" s="16" t="s">
        <v>627</v>
      </c>
      <c r="B656" s="29" t="s">
        <v>628</v>
      </c>
      <c r="C656" s="29"/>
      <c r="D656" s="29"/>
      <c r="E656" s="30"/>
      <c r="F656" s="31">
        <f aca="true" t="shared" si="3" ref="F656:F661">F657</f>
        <v>11369742</v>
      </c>
    </row>
    <row r="657" spans="1:6" ht="26.25">
      <c r="A657" s="16" t="s">
        <v>629</v>
      </c>
      <c r="B657" s="29" t="s">
        <v>628</v>
      </c>
      <c r="C657" s="29" t="s">
        <v>17</v>
      </c>
      <c r="D657" s="29"/>
      <c r="E657" s="30"/>
      <c r="F657" s="31">
        <f t="shared" si="3"/>
        <v>11369742</v>
      </c>
    </row>
    <row r="658" spans="1:6" ht="38.25" customHeight="1">
      <c r="A658" s="13" t="s">
        <v>617</v>
      </c>
      <c r="B658" s="29" t="s">
        <v>628</v>
      </c>
      <c r="C658" s="29" t="s">
        <v>17</v>
      </c>
      <c r="D658" s="29" t="s">
        <v>618</v>
      </c>
      <c r="E658" s="30"/>
      <c r="F658" s="31">
        <f t="shared" si="3"/>
        <v>11369742</v>
      </c>
    </row>
    <row r="659" spans="1:6" s="42" customFormat="1" ht="51.75">
      <c r="A659" s="15" t="s">
        <v>630</v>
      </c>
      <c r="B659" s="38" t="s">
        <v>628</v>
      </c>
      <c r="C659" s="38" t="s">
        <v>17</v>
      </c>
      <c r="D659" s="38" t="s">
        <v>631</v>
      </c>
      <c r="E659" s="45"/>
      <c r="F659" s="41">
        <f t="shared" si="3"/>
        <v>11369742</v>
      </c>
    </row>
    <row r="660" spans="1:6" ht="25.5">
      <c r="A660" s="13" t="s">
        <v>632</v>
      </c>
      <c r="B660" s="29" t="s">
        <v>628</v>
      </c>
      <c r="C660" s="29" t="s">
        <v>17</v>
      </c>
      <c r="D660" s="29" t="s">
        <v>633</v>
      </c>
      <c r="E660" s="30"/>
      <c r="F660" s="31">
        <f t="shared" si="3"/>
        <v>11369742</v>
      </c>
    </row>
    <row r="661" spans="1:6" ht="25.5">
      <c r="A661" s="13" t="s">
        <v>634</v>
      </c>
      <c r="B661" s="29" t="s">
        <v>628</v>
      </c>
      <c r="C661" s="29" t="s">
        <v>17</v>
      </c>
      <c r="D661" s="29" t="s">
        <v>635</v>
      </c>
      <c r="E661" s="30"/>
      <c r="F661" s="31">
        <f t="shared" si="3"/>
        <v>11369742</v>
      </c>
    </row>
    <row r="662" spans="1:6" ht="15">
      <c r="A662" s="73" t="s">
        <v>193</v>
      </c>
      <c r="B662" s="29" t="s">
        <v>628</v>
      </c>
      <c r="C662" s="29" t="s">
        <v>17</v>
      </c>
      <c r="D662" s="29" t="s">
        <v>635</v>
      </c>
      <c r="E662" s="37" t="s">
        <v>194</v>
      </c>
      <c r="F662" s="31">
        <v>11369742</v>
      </c>
    </row>
    <row r="663" spans="2:6" ht="15">
      <c r="B663" s="92"/>
      <c r="C663" s="92"/>
      <c r="D663" s="92"/>
      <c r="E663" s="93"/>
      <c r="F663" s="94"/>
    </row>
    <row r="664" spans="2:6" ht="15">
      <c r="B664" s="92"/>
      <c r="C664" s="92"/>
      <c r="D664" s="92"/>
      <c r="E664" s="93"/>
      <c r="F664" s="94"/>
    </row>
  </sheetData>
  <sheetProtection/>
  <mergeCells count="9">
    <mergeCell ref="B2:F2"/>
    <mergeCell ref="B3:F3"/>
    <mergeCell ref="A5:F5"/>
    <mergeCell ref="A7:A8"/>
    <mergeCell ref="B7:B8"/>
    <mergeCell ref="C7:C8"/>
    <mergeCell ref="D7:D8"/>
    <mergeCell ref="E7:E8"/>
    <mergeCell ref="F7:F8"/>
  </mergeCells>
  <hyperlinks>
    <hyperlink ref="A295" r:id="rId1" display="consultantplus://offline/ref=C6EF3AE28B6C46D1117CBBA251A07B11C6C7C5768D606C8B0E322DA1BBA42282C9440EEF08E6CC43400230U6VFM"/>
  </hyperlinks>
  <printOptions/>
  <pageMargins left="0.7086614173228347" right="0.2" top="0.39" bottom="0.31" header="0.31496062992125984" footer="0.19"/>
  <pageSetup horizontalDpi="600" verticalDpi="600" orientation="portrait" paperSize="9" scale="8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7"/>
  <sheetViews>
    <sheetView view="pageBreakPreview" zoomScale="60" zoomScalePageLayoutView="0" workbookViewId="0" topLeftCell="A1">
      <selection activeCell="D17" sqref="D17"/>
    </sheetView>
  </sheetViews>
  <sheetFormatPr defaultColWidth="9.00390625" defaultRowHeight="12.75"/>
  <cols>
    <col min="1" max="1" width="64.875" style="2" customWidth="1"/>
    <col min="2" max="2" width="4.875" style="18" customWidth="1"/>
    <col min="3" max="3" width="5.00390625" style="18" customWidth="1"/>
    <col min="4" max="4" width="15.375" style="18" customWidth="1"/>
    <col min="5" max="5" width="8.875" style="95" customWidth="1"/>
    <col min="6" max="6" width="18.875" style="96" customWidth="1"/>
    <col min="7" max="7" width="17.75390625" style="96" customWidth="1"/>
    <col min="8" max="8" width="22.875" style="1" customWidth="1"/>
    <col min="9" max="9" width="16.125" style="1" customWidth="1"/>
    <col min="10" max="10" width="13.125" style="1" bestFit="1" customWidth="1"/>
    <col min="11" max="11" width="20.00390625" style="1" customWidth="1"/>
    <col min="12" max="16384" width="9.125" style="1" customWidth="1"/>
  </cols>
  <sheetData>
    <row r="1" spans="1:7" ht="12.75">
      <c r="A1" s="1"/>
      <c r="B1" s="97"/>
      <c r="C1" s="97"/>
      <c r="D1" s="97"/>
      <c r="E1" s="97" t="s">
        <v>636</v>
      </c>
      <c r="F1" s="5"/>
      <c r="G1" s="5"/>
    </row>
    <row r="2" spans="2:9" ht="64.5" customHeight="1">
      <c r="B2" s="233"/>
      <c r="C2" s="233"/>
      <c r="D2" s="233"/>
      <c r="E2" s="237" t="s">
        <v>768</v>
      </c>
      <c r="F2" s="237"/>
      <c r="G2" s="237"/>
      <c r="H2" s="233"/>
      <c r="I2" s="233"/>
    </row>
    <row r="3" spans="2:7" ht="39.75" customHeight="1">
      <c r="B3" s="2"/>
      <c r="C3" s="2"/>
      <c r="D3" s="2"/>
      <c r="E3" s="244" t="s">
        <v>773</v>
      </c>
      <c r="F3" s="244"/>
      <c r="G3" s="244"/>
    </row>
    <row r="4" spans="2:7" ht="12.75">
      <c r="B4" s="99"/>
      <c r="C4" s="99"/>
      <c r="D4" s="99"/>
      <c r="E4" s="99"/>
      <c r="F4" s="99"/>
      <c r="G4" s="99"/>
    </row>
    <row r="5" spans="1:7" ht="51.75" customHeight="1">
      <c r="A5" s="245" t="s">
        <v>637</v>
      </c>
      <c r="B5" s="245"/>
      <c r="C5" s="245"/>
      <c r="D5" s="245"/>
      <c r="E5" s="245"/>
      <c r="F5" s="245"/>
      <c r="G5" s="245"/>
    </row>
    <row r="6" spans="5:7" ht="14.25" customHeight="1">
      <c r="E6" s="19"/>
      <c r="F6" s="20"/>
      <c r="G6" s="20" t="s">
        <v>4</v>
      </c>
    </row>
    <row r="7" spans="5:9" ht="15.75" customHeight="1" hidden="1">
      <c r="E7" s="19"/>
      <c r="F7" s="20"/>
      <c r="G7" s="20"/>
      <c r="H7" s="21"/>
      <c r="I7" s="21"/>
    </row>
    <row r="8" spans="1:11" ht="15.75" customHeight="1">
      <c r="A8" s="240" t="s">
        <v>5</v>
      </c>
      <c r="B8" s="241" t="s">
        <v>6</v>
      </c>
      <c r="C8" s="241" t="s">
        <v>7</v>
      </c>
      <c r="D8" s="242" t="s">
        <v>8</v>
      </c>
      <c r="E8" s="242" t="s">
        <v>9</v>
      </c>
      <c r="F8" s="243" t="s">
        <v>638</v>
      </c>
      <c r="G8" s="243" t="s">
        <v>639</v>
      </c>
      <c r="K8" s="24"/>
    </row>
    <row r="9" spans="1:7" ht="18.75" customHeight="1">
      <c r="A9" s="240"/>
      <c r="B9" s="241"/>
      <c r="C9" s="241"/>
      <c r="D9" s="242"/>
      <c r="E9" s="242"/>
      <c r="F9" s="243"/>
      <c r="G9" s="243"/>
    </row>
    <row r="10" spans="1:7" s="28" customFormat="1" ht="12.75">
      <c r="A10" s="6">
        <v>1</v>
      </c>
      <c r="B10" s="25" t="s">
        <v>11</v>
      </c>
      <c r="C10" s="25" t="s">
        <v>12</v>
      </c>
      <c r="D10" s="26" t="s">
        <v>13</v>
      </c>
      <c r="E10" s="26" t="s">
        <v>14</v>
      </c>
      <c r="F10" s="27">
        <v>6</v>
      </c>
      <c r="G10" s="27">
        <v>7</v>
      </c>
    </row>
    <row r="11" spans="1:11" s="34" customFormat="1" ht="20.25">
      <c r="A11" s="15" t="s">
        <v>15</v>
      </c>
      <c r="B11" s="29"/>
      <c r="C11" s="29"/>
      <c r="D11" s="29"/>
      <c r="E11" s="30"/>
      <c r="F11" s="31">
        <f>F13+F194+F272+F307+F460+F504+F575+F592+F599+F498+F175+F300+F12</f>
        <v>651710898</v>
      </c>
      <c r="G11" s="31">
        <f>G13+G194+G272+G307+G460+G504+G575+G592+G599+G498+G175+G300+G12</f>
        <v>653825556</v>
      </c>
      <c r="H11" s="100"/>
      <c r="I11" s="100"/>
      <c r="J11" s="101"/>
      <c r="K11" s="33"/>
    </row>
    <row r="12" spans="1:11" s="34" customFormat="1" ht="20.25">
      <c r="A12" s="15" t="s">
        <v>640</v>
      </c>
      <c r="B12" s="29"/>
      <c r="C12" s="29"/>
      <c r="D12" s="29"/>
      <c r="E12" s="30"/>
      <c r="F12" s="31">
        <v>4067500</v>
      </c>
      <c r="G12" s="31">
        <v>8097300</v>
      </c>
      <c r="H12" s="100"/>
      <c r="I12" s="100"/>
      <c r="J12" s="101"/>
      <c r="K12" s="33"/>
    </row>
    <row r="13" spans="1:9" ht="15">
      <c r="A13" s="16" t="s">
        <v>16</v>
      </c>
      <c r="B13" s="29" t="s">
        <v>17</v>
      </c>
      <c r="C13" s="29"/>
      <c r="D13" s="29"/>
      <c r="E13" s="30"/>
      <c r="F13" s="31">
        <f>F14+F19+F28+F90+F95+F78+F73+F85</f>
        <v>34250701</v>
      </c>
      <c r="G13" s="31">
        <f>G14+G19+G28+G90+G95+G78+G73+G85</f>
        <v>33319279</v>
      </c>
      <c r="H13" s="32"/>
      <c r="I13" s="32"/>
    </row>
    <row r="14" spans="1:9" ht="26.25">
      <c r="A14" s="8" t="s">
        <v>18</v>
      </c>
      <c r="B14" s="29" t="s">
        <v>17</v>
      </c>
      <c r="C14" s="29" t="s">
        <v>19</v>
      </c>
      <c r="D14" s="29"/>
      <c r="E14" s="30"/>
      <c r="F14" s="31">
        <f>F16</f>
        <v>1280100</v>
      </c>
      <c r="G14" s="31">
        <f>G16</f>
        <v>1229100</v>
      </c>
      <c r="H14" s="21"/>
      <c r="I14" s="21"/>
    </row>
    <row r="15" spans="1:10" ht="15">
      <c r="A15" s="35" t="s">
        <v>20</v>
      </c>
      <c r="B15" s="29" t="s">
        <v>17</v>
      </c>
      <c r="C15" s="29" t="s">
        <v>19</v>
      </c>
      <c r="D15" s="36" t="s">
        <v>21</v>
      </c>
      <c r="E15" s="30"/>
      <c r="F15" s="31">
        <f>F16</f>
        <v>1280100</v>
      </c>
      <c r="G15" s="31">
        <f>G16</f>
        <v>1229100</v>
      </c>
      <c r="H15" s="32"/>
      <c r="I15" s="21"/>
      <c r="J15" s="21"/>
    </row>
    <row r="16" spans="1:7" ht="15">
      <c r="A16" s="16" t="s">
        <v>22</v>
      </c>
      <c r="B16" s="29" t="s">
        <v>17</v>
      </c>
      <c r="C16" s="29" t="s">
        <v>19</v>
      </c>
      <c r="D16" s="36" t="s">
        <v>23</v>
      </c>
      <c r="E16" s="30"/>
      <c r="F16" s="31">
        <f>F18</f>
        <v>1280100</v>
      </c>
      <c r="G16" s="31">
        <f>G18</f>
        <v>1229100</v>
      </c>
    </row>
    <row r="17" spans="1:10" ht="26.25">
      <c r="A17" s="8" t="s">
        <v>24</v>
      </c>
      <c r="B17" s="29" t="s">
        <v>17</v>
      </c>
      <c r="C17" s="29" t="s">
        <v>19</v>
      </c>
      <c r="D17" s="36" t="s">
        <v>25</v>
      </c>
      <c r="E17" s="30"/>
      <c r="F17" s="31">
        <f>F18</f>
        <v>1280100</v>
      </c>
      <c r="G17" s="31">
        <f>G18</f>
        <v>1229100</v>
      </c>
      <c r="I17" s="21"/>
      <c r="J17" s="21"/>
    </row>
    <row r="18" spans="1:8" ht="39">
      <c r="A18" s="35" t="s">
        <v>26</v>
      </c>
      <c r="B18" s="29" t="s">
        <v>17</v>
      </c>
      <c r="C18" s="29" t="s">
        <v>19</v>
      </c>
      <c r="D18" s="36" t="s">
        <v>25</v>
      </c>
      <c r="E18" s="37" t="s">
        <v>27</v>
      </c>
      <c r="F18" s="31">
        <f>1639500-359400</f>
        <v>1280100</v>
      </c>
      <c r="G18" s="31">
        <f>1639500-359400-51000</f>
        <v>1229100</v>
      </c>
      <c r="H18" s="102"/>
    </row>
    <row r="19" spans="1:10" ht="39">
      <c r="A19" s="8" t="s">
        <v>28</v>
      </c>
      <c r="B19" s="29" t="s">
        <v>17</v>
      </c>
      <c r="C19" s="29" t="s">
        <v>29</v>
      </c>
      <c r="D19" s="29"/>
      <c r="E19" s="30"/>
      <c r="F19" s="31">
        <f>F20</f>
        <v>1995800</v>
      </c>
      <c r="G19" s="31">
        <f>G20</f>
        <v>1916200</v>
      </c>
      <c r="H19" s="21"/>
      <c r="I19" s="21"/>
      <c r="J19" s="21"/>
    </row>
    <row r="20" spans="1:11" ht="26.25">
      <c r="A20" s="35" t="s">
        <v>30</v>
      </c>
      <c r="B20" s="29" t="s">
        <v>17</v>
      </c>
      <c r="C20" s="29" t="s">
        <v>29</v>
      </c>
      <c r="D20" s="36" t="s">
        <v>31</v>
      </c>
      <c r="E20" s="30"/>
      <c r="F20" s="31">
        <f>F21+F24</f>
        <v>1995800</v>
      </c>
      <c r="G20" s="31">
        <f>G21+G24</f>
        <v>1916200</v>
      </c>
      <c r="I20" s="21"/>
      <c r="J20" s="21"/>
      <c r="K20" s="21"/>
    </row>
    <row r="21" spans="1:7" ht="15">
      <c r="A21" s="16" t="s">
        <v>32</v>
      </c>
      <c r="B21" s="29" t="s">
        <v>17</v>
      </c>
      <c r="C21" s="29" t="s">
        <v>29</v>
      </c>
      <c r="D21" s="36" t="s">
        <v>33</v>
      </c>
      <c r="E21" s="30"/>
      <c r="F21" s="31">
        <f>F22</f>
        <v>716600</v>
      </c>
      <c r="G21" s="31">
        <f>G22</f>
        <v>688000</v>
      </c>
    </row>
    <row r="22" spans="1:10" ht="26.25">
      <c r="A22" s="8" t="s">
        <v>24</v>
      </c>
      <c r="B22" s="29" t="s">
        <v>17</v>
      </c>
      <c r="C22" s="29" t="s">
        <v>29</v>
      </c>
      <c r="D22" s="36" t="s">
        <v>34</v>
      </c>
      <c r="E22" s="37"/>
      <c r="F22" s="31">
        <f>F23</f>
        <v>716600</v>
      </c>
      <c r="G22" s="31">
        <f>G23</f>
        <v>688000</v>
      </c>
      <c r="I22" s="21"/>
      <c r="J22" s="21"/>
    </row>
    <row r="23" spans="1:7" ht="39">
      <c r="A23" s="35" t="s">
        <v>26</v>
      </c>
      <c r="B23" s="29" t="s">
        <v>17</v>
      </c>
      <c r="C23" s="29" t="s">
        <v>29</v>
      </c>
      <c r="D23" s="36" t="s">
        <v>34</v>
      </c>
      <c r="E23" s="37" t="s">
        <v>27</v>
      </c>
      <c r="F23" s="31">
        <f>918600-202000</f>
        <v>716600</v>
      </c>
      <c r="G23" s="31">
        <f>918600-202000-28600</f>
        <v>688000</v>
      </c>
    </row>
    <row r="24" spans="1:7" ht="15">
      <c r="A24" s="16" t="s">
        <v>35</v>
      </c>
      <c r="B24" s="29" t="s">
        <v>17</v>
      </c>
      <c r="C24" s="29" t="s">
        <v>29</v>
      </c>
      <c r="D24" s="36" t="s">
        <v>36</v>
      </c>
      <c r="E24" s="37"/>
      <c r="F24" s="31">
        <f>F25</f>
        <v>1279200</v>
      </c>
      <c r="G24" s="31">
        <f>G25</f>
        <v>1228200</v>
      </c>
    </row>
    <row r="25" spans="1:7" ht="26.25">
      <c r="A25" s="8" t="s">
        <v>24</v>
      </c>
      <c r="B25" s="29" t="s">
        <v>17</v>
      </c>
      <c r="C25" s="29" t="s">
        <v>29</v>
      </c>
      <c r="D25" s="36" t="s">
        <v>37</v>
      </c>
      <c r="E25" s="37"/>
      <c r="F25" s="31">
        <f>F26+F27</f>
        <v>1279200</v>
      </c>
      <c r="G25" s="31">
        <f>G26+G27</f>
        <v>1228200</v>
      </c>
    </row>
    <row r="26" spans="1:7" ht="38.25" customHeight="1">
      <c r="A26" s="35" t="s">
        <v>26</v>
      </c>
      <c r="B26" s="29" t="s">
        <v>17</v>
      </c>
      <c r="C26" s="29" t="s">
        <v>29</v>
      </c>
      <c r="D26" s="36" t="s">
        <v>37</v>
      </c>
      <c r="E26" s="37" t="s">
        <v>27</v>
      </c>
      <c r="F26" s="31">
        <f>1638200-360000</f>
        <v>1278200</v>
      </c>
      <c r="G26" s="31">
        <f>1638200-360000-51000</f>
        <v>1227200</v>
      </c>
    </row>
    <row r="27" spans="1:7" ht="26.25">
      <c r="A27" s="35" t="s">
        <v>38</v>
      </c>
      <c r="B27" s="29" t="s">
        <v>17</v>
      </c>
      <c r="C27" s="29" t="s">
        <v>29</v>
      </c>
      <c r="D27" s="36" t="s">
        <v>37</v>
      </c>
      <c r="E27" s="37" t="s">
        <v>39</v>
      </c>
      <c r="F27" s="31">
        <v>1000</v>
      </c>
      <c r="G27" s="31">
        <v>1000</v>
      </c>
    </row>
    <row r="28" spans="1:7" ht="39">
      <c r="A28" s="8" t="s">
        <v>40</v>
      </c>
      <c r="B28" s="29" t="s">
        <v>41</v>
      </c>
      <c r="C28" s="29" t="s">
        <v>42</v>
      </c>
      <c r="D28" s="29"/>
      <c r="E28" s="30"/>
      <c r="F28" s="31">
        <f>F29+F49+F66+F58+F43</f>
        <v>20128917</v>
      </c>
      <c r="G28" s="31">
        <f>G29+G49+G66+G58+G43</f>
        <v>19559316</v>
      </c>
    </row>
    <row r="29" spans="1:7" ht="26.25">
      <c r="A29" s="16" t="s">
        <v>43</v>
      </c>
      <c r="B29" s="29" t="s">
        <v>41</v>
      </c>
      <c r="C29" s="29" t="s">
        <v>42</v>
      </c>
      <c r="D29" s="36" t="s">
        <v>44</v>
      </c>
      <c r="E29" s="37"/>
      <c r="F29" s="31">
        <f>F35+F30</f>
        <v>4441800</v>
      </c>
      <c r="G29" s="31">
        <f>G35+G30</f>
        <v>4441800</v>
      </c>
    </row>
    <row r="30" spans="1:7" s="42" customFormat="1" ht="51.75">
      <c r="A30" s="35" t="s">
        <v>45</v>
      </c>
      <c r="B30" s="38" t="s">
        <v>17</v>
      </c>
      <c r="C30" s="38" t="s">
        <v>42</v>
      </c>
      <c r="D30" s="39" t="s">
        <v>46</v>
      </c>
      <c r="E30" s="40"/>
      <c r="F30" s="41">
        <f>F32</f>
        <v>1004100</v>
      </c>
      <c r="G30" s="41">
        <f>G32</f>
        <v>1004100</v>
      </c>
    </row>
    <row r="31" spans="1:7" ht="38.25">
      <c r="A31" s="43" t="s">
        <v>47</v>
      </c>
      <c r="B31" s="29" t="s">
        <v>17</v>
      </c>
      <c r="C31" s="29" t="s">
        <v>42</v>
      </c>
      <c r="D31" s="36" t="s">
        <v>48</v>
      </c>
      <c r="E31" s="37"/>
      <c r="F31" s="31">
        <f>F32</f>
        <v>1004100</v>
      </c>
      <c r="G31" s="31">
        <f>G32</f>
        <v>1004100</v>
      </c>
    </row>
    <row r="32" spans="1:7" ht="39">
      <c r="A32" s="44" t="s">
        <v>49</v>
      </c>
      <c r="B32" s="29" t="s">
        <v>17</v>
      </c>
      <c r="C32" s="29" t="s">
        <v>42</v>
      </c>
      <c r="D32" s="36" t="s">
        <v>50</v>
      </c>
      <c r="E32" s="37"/>
      <c r="F32" s="31">
        <f>F33+F34</f>
        <v>1004100</v>
      </c>
      <c r="G32" s="31">
        <f>G33+G34</f>
        <v>1004100</v>
      </c>
    </row>
    <row r="33" spans="1:7" ht="39">
      <c r="A33" s="35" t="s">
        <v>26</v>
      </c>
      <c r="B33" s="29" t="s">
        <v>17</v>
      </c>
      <c r="C33" s="29" t="s">
        <v>42</v>
      </c>
      <c r="D33" s="36" t="s">
        <v>50</v>
      </c>
      <c r="E33" s="37" t="s">
        <v>27</v>
      </c>
      <c r="F33" s="31">
        <v>938056</v>
      </c>
      <c r="G33" s="31">
        <v>938056</v>
      </c>
    </row>
    <row r="34" spans="1:7" ht="26.25">
      <c r="A34" s="35" t="s">
        <v>38</v>
      </c>
      <c r="B34" s="29" t="s">
        <v>17</v>
      </c>
      <c r="C34" s="29" t="s">
        <v>42</v>
      </c>
      <c r="D34" s="36" t="s">
        <v>50</v>
      </c>
      <c r="E34" s="37" t="s">
        <v>39</v>
      </c>
      <c r="F34" s="31">
        <f>12000+54044</f>
        <v>66044</v>
      </c>
      <c r="G34" s="31">
        <f>12000+54044</f>
        <v>66044</v>
      </c>
    </row>
    <row r="35" spans="1:7" s="42" customFormat="1" ht="51.75">
      <c r="A35" s="8" t="s">
        <v>51</v>
      </c>
      <c r="B35" s="38" t="s">
        <v>17</v>
      </c>
      <c r="C35" s="38" t="s">
        <v>42</v>
      </c>
      <c r="D35" s="39" t="s">
        <v>52</v>
      </c>
      <c r="E35" s="45"/>
      <c r="F35" s="41">
        <f>F36</f>
        <v>3437700</v>
      </c>
      <c r="G35" s="41">
        <f>G36</f>
        <v>3437700</v>
      </c>
    </row>
    <row r="36" spans="1:7" ht="25.5">
      <c r="A36" s="13" t="s">
        <v>53</v>
      </c>
      <c r="B36" s="29" t="s">
        <v>17</v>
      </c>
      <c r="C36" s="29" t="s">
        <v>42</v>
      </c>
      <c r="D36" s="36" t="s">
        <v>54</v>
      </c>
      <c r="E36" s="30"/>
      <c r="F36" s="31">
        <f>F37+F40</f>
        <v>3437700</v>
      </c>
      <c r="G36" s="31">
        <f>G37+G40</f>
        <v>3437700</v>
      </c>
    </row>
    <row r="37" spans="1:7" ht="26.25">
      <c r="A37" s="8" t="s">
        <v>55</v>
      </c>
      <c r="B37" s="29" t="s">
        <v>17</v>
      </c>
      <c r="C37" s="29" t="s">
        <v>42</v>
      </c>
      <c r="D37" s="36" t="s">
        <v>56</v>
      </c>
      <c r="E37" s="30"/>
      <c r="F37" s="31">
        <f>F38+F39</f>
        <v>2342900</v>
      </c>
      <c r="G37" s="31">
        <f>G38+G39</f>
        <v>2342900</v>
      </c>
    </row>
    <row r="38" spans="1:7" ht="35.25" customHeight="1">
      <c r="A38" s="35" t="s">
        <v>26</v>
      </c>
      <c r="B38" s="29" t="s">
        <v>17</v>
      </c>
      <c r="C38" s="29" t="s">
        <v>42</v>
      </c>
      <c r="D38" s="36" t="s">
        <v>56</v>
      </c>
      <c r="E38" s="37" t="s">
        <v>27</v>
      </c>
      <c r="F38" s="31">
        <v>2307507</v>
      </c>
      <c r="G38" s="31">
        <v>2307507</v>
      </c>
    </row>
    <row r="39" spans="1:7" ht="26.25">
      <c r="A39" s="35" t="s">
        <v>38</v>
      </c>
      <c r="B39" s="29" t="s">
        <v>17</v>
      </c>
      <c r="C39" s="29" t="s">
        <v>42</v>
      </c>
      <c r="D39" s="36" t="s">
        <v>56</v>
      </c>
      <c r="E39" s="37" t="s">
        <v>39</v>
      </c>
      <c r="F39" s="31">
        <v>35393</v>
      </c>
      <c r="G39" s="31">
        <v>35393</v>
      </c>
    </row>
    <row r="40" spans="1:7" ht="38.25">
      <c r="A40" s="9" t="s">
        <v>57</v>
      </c>
      <c r="B40" s="29" t="s">
        <v>17</v>
      </c>
      <c r="C40" s="29" t="s">
        <v>42</v>
      </c>
      <c r="D40" s="36" t="s">
        <v>58</v>
      </c>
      <c r="E40" s="30"/>
      <c r="F40" s="31">
        <f>F41+F42</f>
        <v>1094800</v>
      </c>
      <c r="G40" s="31">
        <f>G41+G42</f>
        <v>1094800</v>
      </c>
    </row>
    <row r="41" spans="1:7" ht="37.5" customHeight="1">
      <c r="A41" s="35" t="s">
        <v>26</v>
      </c>
      <c r="B41" s="29" t="s">
        <v>17</v>
      </c>
      <c r="C41" s="29" t="s">
        <v>42</v>
      </c>
      <c r="D41" s="36" t="s">
        <v>58</v>
      </c>
      <c r="E41" s="37" t="s">
        <v>27</v>
      </c>
      <c r="F41" s="31">
        <v>1004100</v>
      </c>
      <c r="G41" s="31">
        <v>1004100</v>
      </c>
    </row>
    <row r="42" spans="1:7" ht="37.5" customHeight="1">
      <c r="A42" s="35" t="s">
        <v>38</v>
      </c>
      <c r="B42" s="29" t="s">
        <v>17</v>
      </c>
      <c r="C42" s="29" t="s">
        <v>42</v>
      </c>
      <c r="D42" s="36" t="s">
        <v>58</v>
      </c>
      <c r="E42" s="37" t="s">
        <v>39</v>
      </c>
      <c r="F42" s="31">
        <v>90700</v>
      </c>
      <c r="G42" s="31">
        <v>90700</v>
      </c>
    </row>
    <row r="43" spans="1:7" ht="39">
      <c r="A43" s="15" t="s">
        <v>59</v>
      </c>
      <c r="B43" s="29" t="s">
        <v>17</v>
      </c>
      <c r="C43" s="29" t="s">
        <v>42</v>
      </c>
      <c r="D43" s="36" t="s">
        <v>60</v>
      </c>
      <c r="E43" s="30"/>
      <c r="F43" s="31">
        <f>F44</f>
        <v>322552</v>
      </c>
      <c r="G43" s="31">
        <f>G44</f>
        <v>322552</v>
      </c>
    </row>
    <row r="44" spans="1:7" s="42" customFormat="1" ht="70.5" customHeight="1">
      <c r="A44" s="13" t="s">
        <v>61</v>
      </c>
      <c r="B44" s="38" t="s">
        <v>17</v>
      </c>
      <c r="C44" s="38" t="s">
        <v>42</v>
      </c>
      <c r="D44" s="39" t="s">
        <v>62</v>
      </c>
      <c r="E44" s="45"/>
      <c r="F44" s="41">
        <f>F46</f>
        <v>322552</v>
      </c>
      <c r="G44" s="41">
        <f>G46</f>
        <v>322552</v>
      </c>
    </row>
    <row r="45" spans="1:7" ht="25.5">
      <c r="A45" s="10" t="s">
        <v>63</v>
      </c>
      <c r="B45" s="29" t="s">
        <v>17</v>
      </c>
      <c r="C45" s="29" t="s">
        <v>42</v>
      </c>
      <c r="D45" s="36" t="s">
        <v>64</v>
      </c>
      <c r="E45" s="30"/>
      <c r="F45" s="31">
        <f>F46</f>
        <v>322552</v>
      </c>
      <c r="G45" s="31">
        <f>G46</f>
        <v>322552</v>
      </c>
    </row>
    <row r="46" spans="1:7" ht="26.25">
      <c r="A46" s="44" t="s">
        <v>65</v>
      </c>
      <c r="B46" s="29" t="s">
        <v>17</v>
      </c>
      <c r="C46" s="29" t="s">
        <v>42</v>
      </c>
      <c r="D46" s="36" t="s">
        <v>66</v>
      </c>
      <c r="E46" s="30"/>
      <c r="F46" s="31">
        <f>F47+F48</f>
        <v>322552</v>
      </c>
      <c r="G46" s="31">
        <f>G47+G48</f>
        <v>322552</v>
      </c>
    </row>
    <row r="47" spans="1:7" ht="39">
      <c r="A47" s="35" t="s">
        <v>26</v>
      </c>
      <c r="B47" s="29" t="s">
        <v>17</v>
      </c>
      <c r="C47" s="29" t="s">
        <v>42</v>
      </c>
      <c r="D47" s="36" t="s">
        <v>66</v>
      </c>
      <c r="E47" s="37" t="s">
        <v>27</v>
      </c>
      <c r="F47" s="31">
        <v>318221</v>
      </c>
      <c r="G47" s="31">
        <v>318221</v>
      </c>
    </row>
    <row r="48" spans="1:7" ht="26.25">
      <c r="A48" s="35" t="s">
        <v>38</v>
      </c>
      <c r="B48" s="29" t="s">
        <v>17</v>
      </c>
      <c r="C48" s="29" t="s">
        <v>42</v>
      </c>
      <c r="D48" s="36" t="s">
        <v>66</v>
      </c>
      <c r="E48" s="37" t="s">
        <v>39</v>
      </c>
      <c r="F48" s="31">
        <v>4331</v>
      </c>
      <c r="G48" s="31">
        <v>4331</v>
      </c>
    </row>
    <row r="49" spans="1:7" ht="51.75">
      <c r="A49" s="16" t="s">
        <v>67</v>
      </c>
      <c r="B49" s="29" t="s">
        <v>17</v>
      </c>
      <c r="C49" s="29" t="s">
        <v>42</v>
      </c>
      <c r="D49" s="36" t="s">
        <v>68</v>
      </c>
      <c r="E49" s="37"/>
      <c r="F49" s="31">
        <f>F50</f>
        <v>669400</v>
      </c>
      <c r="G49" s="31">
        <f>G50</f>
        <v>669400</v>
      </c>
    </row>
    <row r="50" spans="1:7" s="42" customFormat="1" ht="64.5">
      <c r="A50" s="16" t="s">
        <v>69</v>
      </c>
      <c r="B50" s="38" t="s">
        <v>17</v>
      </c>
      <c r="C50" s="38" t="s">
        <v>42</v>
      </c>
      <c r="D50" s="39" t="s">
        <v>70</v>
      </c>
      <c r="E50" s="40"/>
      <c r="F50" s="41">
        <f>F52+F55</f>
        <v>669400</v>
      </c>
      <c r="G50" s="41">
        <f>G52+G55</f>
        <v>669400</v>
      </c>
    </row>
    <row r="51" spans="1:7" ht="38.25">
      <c r="A51" s="13" t="s">
        <v>71</v>
      </c>
      <c r="B51" s="29" t="s">
        <v>17</v>
      </c>
      <c r="C51" s="29" t="s">
        <v>42</v>
      </c>
      <c r="D51" s="36" t="s">
        <v>72</v>
      </c>
      <c r="E51" s="37"/>
      <c r="F51" s="31">
        <f>F52+F55</f>
        <v>669400</v>
      </c>
      <c r="G51" s="31">
        <f>G52+G55</f>
        <v>669400</v>
      </c>
    </row>
    <row r="52" spans="1:7" ht="39">
      <c r="A52" s="44" t="s">
        <v>73</v>
      </c>
      <c r="B52" s="29" t="s">
        <v>17</v>
      </c>
      <c r="C52" s="29" t="s">
        <v>42</v>
      </c>
      <c r="D52" s="29" t="s">
        <v>74</v>
      </c>
      <c r="E52" s="30"/>
      <c r="F52" s="31">
        <f>F53+F54</f>
        <v>334700</v>
      </c>
      <c r="G52" s="31">
        <f>G53+G54</f>
        <v>334700</v>
      </c>
    </row>
    <row r="53" spans="1:8" ht="39" customHeight="1">
      <c r="A53" s="35" t="s">
        <v>26</v>
      </c>
      <c r="B53" s="29" t="s">
        <v>17</v>
      </c>
      <c r="C53" s="29" t="s">
        <v>42</v>
      </c>
      <c r="D53" s="29" t="s">
        <v>74</v>
      </c>
      <c r="E53" s="37" t="s">
        <v>27</v>
      </c>
      <c r="F53" s="31">
        <v>306472</v>
      </c>
      <c r="G53" s="31">
        <v>306472</v>
      </c>
      <c r="H53" s="21"/>
    </row>
    <row r="54" spans="1:7" ht="26.25">
      <c r="A54" s="35" t="s">
        <v>38</v>
      </c>
      <c r="B54" s="29" t="s">
        <v>17</v>
      </c>
      <c r="C54" s="29" t="s">
        <v>42</v>
      </c>
      <c r="D54" s="29" t="s">
        <v>74</v>
      </c>
      <c r="E54" s="37" t="s">
        <v>39</v>
      </c>
      <c r="F54" s="31">
        <f>28228</f>
        <v>28228</v>
      </c>
      <c r="G54" s="31">
        <f>28228</f>
        <v>28228</v>
      </c>
    </row>
    <row r="55" spans="1:7" ht="26.25">
      <c r="A55" s="44" t="s">
        <v>75</v>
      </c>
      <c r="B55" s="29" t="s">
        <v>17</v>
      </c>
      <c r="C55" s="29" t="s">
        <v>42</v>
      </c>
      <c r="D55" s="29" t="s">
        <v>76</v>
      </c>
      <c r="E55" s="30"/>
      <c r="F55" s="31">
        <f>F56+F57</f>
        <v>334700</v>
      </c>
      <c r="G55" s="31">
        <f>G56+G57</f>
        <v>334700</v>
      </c>
    </row>
    <row r="56" spans="1:7" ht="39">
      <c r="A56" s="35" t="s">
        <v>26</v>
      </c>
      <c r="B56" s="29" t="s">
        <v>17</v>
      </c>
      <c r="C56" s="29" t="s">
        <v>42</v>
      </c>
      <c r="D56" s="29" t="s">
        <v>76</v>
      </c>
      <c r="E56" s="37" t="s">
        <v>27</v>
      </c>
      <c r="F56" s="31">
        <v>306472</v>
      </c>
      <c r="G56" s="31">
        <v>306472</v>
      </c>
    </row>
    <row r="57" spans="1:7" ht="26.25">
      <c r="A57" s="35" t="s">
        <v>38</v>
      </c>
      <c r="B57" s="29" t="s">
        <v>17</v>
      </c>
      <c r="C57" s="29" t="s">
        <v>42</v>
      </c>
      <c r="D57" s="29" t="s">
        <v>76</v>
      </c>
      <c r="E57" s="37" t="s">
        <v>39</v>
      </c>
      <c r="F57" s="31">
        <v>28228</v>
      </c>
      <c r="G57" s="31">
        <v>28228</v>
      </c>
    </row>
    <row r="58" spans="1:7" ht="15">
      <c r="A58" s="35" t="s">
        <v>77</v>
      </c>
      <c r="B58" s="29" t="s">
        <v>17</v>
      </c>
      <c r="C58" s="29" t="s">
        <v>42</v>
      </c>
      <c r="D58" s="29" t="s">
        <v>78</v>
      </c>
      <c r="E58" s="30"/>
      <c r="F58" s="31">
        <f>F59</f>
        <v>14326995</v>
      </c>
      <c r="G58" s="31">
        <f>G59</f>
        <v>13757394</v>
      </c>
    </row>
    <row r="59" spans="1:7" ht="15">
      <c r="A59" s="8" t="s">
        <v>79</v>
      </c>
      <c r="B59" s="29" t="s">
        <v>17</v>
      </c>
      <c r="C59" s="29" t="s">
        <v>42</v>
      </c>
      <c r="D59" s="29" t="s">
        <v>80</v>
      </c>
      <c r="E59" s="30"/>
      <c r="F59" s="31">
        <f>F62+F60</f>
        <v>14326995</v>
      </c>
      <c r="G59" s="31">
        <f>G62+G60</f>
        <v>13757394</v>
      </c>
    </row>
    <row r="60" spans="1:7" ht="39">
      <c r="A60" s="8" t="s">
        <v>81</v>
      </c>
      <c r="B60" s="29" t="s">
        <v>17</v>
      </c>
      <c r="C60" s="29" t="s">
        <v>42</v>
      </c>
      <c r="D60" s="29" t="s">
        <v>82</v>
      </c>
      <c r="E60" s="30"/>
      <c r="F60" s="31">
        <f>F61</f>
        <v>12000</v>
      </c>
      <c r="G60" s="31">
        <f>G61</f>
        <v>12000</v>
      </c>
    </row>
    <row r="61" spans="1:7" ht="39">
      <c r="A61" s="35" t="s">
        <v>26</v>
      </c>
      <c r="B61" s="29" t="s">
        <v>17</v>
      </c>
      <c r="C61" s="29" t="s">
        <v>42</v>
      </c>
      <c r="D61" s="29" t="s">
        <v>82</v>
      </c>
      <c r="E61" s="30" t="s">
        <v>27</v>
      </c>
      <c r="F61" s="31">
        <f>31100-19100</f>
        <v>12000</v>
      </c>
      <c r="G61" s="31">
        <f>31100-19100</f>
        <v>12000</v>
      </c>
    </row>
    <row r="62" spans="1:7" ht="26.25">
      <c r="A62" s="8" t="s">
        <v>24</v>
      </c>
      <c r="B62" s="29" t="s">
        <v>17</v>
      </c>
      <c r="C62" s="29" t="s">
        <v>42</v>
      </c>
      <c r="D62" s="29" t="s">
        <v>83</v>
      </c>
      <c r="E62" s="30"/>
      <c r="F62" s="31">
        <f>F63+F64+F65</f>
        <v>14314995</v>
      </c>
      <c r="G62" s="31">
        <f>G63+G64+G65</f>
        <v>13745394</v>
      </c>
    </row>
    <row r="63" spans="1:7" ht="39">
      <c r="A63" s="35" t="s">
        <v>26</v>
      </c>
      <c r="B63" s="29" t="s">
        <v>17</v>
      </c>
      <c r="C63" s="29" t="s">
        <v>42</v>
      </c>
      <c r="D63" s="29" t="s">
        <v>83</v>
      </c>
      <c r="E63" s="37" t="s">
        <v>27</v>
      </c>
      <c r="F63" s="31">
        <f>18304500-4019505</f>
        <v>14284995</v>
      </c>
      <c r="G63" s="31">
        <f>18304500-4019505-569601</f>
        <v>13715394</v>
      </c>
    </row>
    <row r="64" spans="1:7" ht="26.25">
      <c r="A64" s="35" t="s">
        <v>38</v>
      </c>
      <c r="B64" s="29" t="s">
        <v>17</v>
      </c>
      <c r="C64" s="29" t="s">
        <v>42</v>
      </c>
      <c r="D64" s="29" t="s">
        <v>83</v>
      </c>
      <c r="E64" s="37" t="s">
        <v>39</v>
      </c>
      <c r="F64" s="46">
        <v>30000</v>
      </c>
      <c r="G64" s="46">
        <v>30000</v>
      </c>
    </row>
    <row r="65" spans="1:7" ht="15">
      <c r="A65" s="10" t="s">
        <v>84</v>
      </c>
      <c r="B65" s="29" t="s">
        <v>17</v>
      </c>
      <c r="C65" s="29" t="s">
        <v>42</v>
      </c>
      <c r="D65" s="29" t="s">
        <v>83</v>
      </c>
      <c r="E65" s="37" t="s">
        <v>85</v>
      </c>
      <c r="F65" s="31"/>
      <c r="G65" s="31"/>
    </row>
    <row r="66" spans="1:7" ht="15">
      <c r="A66" s="16" t="s">
        <v>86</v>
      </c>
      <c r="B66" s="29" t="s">
        <v>17</v>
      </c>
      <c r="C66" s="29" t="s">
        <v>42</v>
      </c>
      <c r="D66" s="29" t="s">
        <v>87</v>
      </c>
      <c r="E66" s="30"/>
      <c r="F66" s="31">
        <f>F67+F70</f>
        <v>368170</v>
      </c>
      <c r="G66" s="31">
        <f>G67+G70</f>
        <v>368170</v>
      </c>
    </row>
    <row r="67" spans="1:7" ht="25.5">
      <c r="A67" s="13" t="s">
        <v>88</v>
      </c>
      <c r="B67" s="29" t="s">
        <v>17</v>
      </c>
      <c r="C67" s="29" t="s">
        <v>42</v>
      </c>
      <c r="D67" s="29" t="s">
        <v>89</v>
      </c>
      <c r="E67" s="30"/>
      <c r="F67" s="31">
        <f>F68</f>
        <v>334700</v>
      </c>
      <c r="G67" s="31">
        <f>G68</f>
        <v>334700</v>
      </c>
    </row>
    <row r="68" spans="1:7" ht="26.25">
      <c r="A68" s="8" t="s">
        <v>90</v>
      </c>
      <c r="B68" s="29" t="s">
        <v>17</v>
      </c>
      <c r="C68" s="29" t="s">
        <v>42</v>
      </c>
      <c r="D68" s="29" t="s">
        <v>91</v>
      </c>
      <c r="E68" s="30"/>
      <c r="F68" s="31">
        <f>F69</f>
        <v>334700</v>
      </c>
      <c r="G68" s="31">
        <f>G69</f>
        <v>334700</v>
      </c>
    </row>
    <row r="69" spans="1:7" ht="38.25" customHeight="1">
      <c r="A69" s="35" t="s">
        <v>26</v>
      </c>
      <c r="B69" s="29" t="s">
        <v>17</v>
      </c>
      <c r="C69" s="29" t="s">
        <v>42</v>
      </c>
      <c r="D69" s="29" t="s">
        <v>91</v>
      </c>
      <c r="E69" s="37" t="s">
        <v>27</v>
      </c>
      <c r="F69" s="31">
        <v>334700</v>
      </c>
      <c r="G69" s="31">
        <v>334700</v>
      </c>
    </row>
    <row r="70" spans="1:7" ht="15">
      <c r="A70" s="16" t="s">
        <v>93</v>
      </c>
      <c r="B70" s="29" t="s">
        <v>17</v>
      </c>
      <c r="C70" s="29" t="s">
        <v>42</v>
      </c>
      <c r="D70" s="29" t="s">
        <v>94</v>
      </c>
      <c r="E70" s="30"/>
      <c r="F70" s="31">
        <f>F71</f>
        <v>33470</v>
      </c>
      <c r="G70" s="31">
        <f>G71</f>
        <v>33470</v>
      </c>
    </row>
    <row r="71" spans="1:7" ht="47.25" customHeight="1">
      <c r="A71" s="12" t="s">
        <v>95</v>
      </c>
      <c r="B71" s="29" t="s">
        <v>17</v>
      </c>
      <c r="C71" s="29" t="s">
        <v>42</v>
      </c>
      <c r="D71" s="29" t="s">
        <v>96</v>
      </c>
      <c r="E71" s="30"/>
      <c r="F71" s="31">
        <f>F72</f>
        <v>33470</v>
      </c>
      <c r="G71" s="31">
        <f>G72</f>
        <v>33470</v>
      </c>
    </row>
    <row r="72" spans="1:7" ht="42" customHeight="1">
      <c r="A72" s="35" t="s">
        <v>26</v>
      </c>
      <c r="B72" s="29" t="s">
        <v>17</v>
      </c>
      <c r="C72" s="29" t="s">
        <v>42</v>
      </c>
      <c r="D72" s="29" t="s">
        <v>96</v>
      </c>
      <c r="E72" s="37" t="s">
        <v>27</v>
      </c>
      <c r="F72" s="31">
        <v>33470</v>
      </c>
      <c r="G72" s="31">
        <v>33470</v>
      </c>
    </row>
    <row r="73" spans="1:7" ht="15" customHeight="1" hidden="1">
      <c r="A73" s="12" t="s">
        <v>97</v>
      </c>
      <c r="B73" s="29" t="s">
        <v>17</v>
      </c>
      <c r="C73" s="29" t="s">
        <v>98</v>
      </c>
      <c r="D73" s="29"/>
      <c r="E73" s="37"/>
      <c r="F73" s="31">
        <f aca="true" t="shared" si="0" ref="F73:G76">F74</f>
        <v>0</v>
      </c>
      <c r="G73" s="31">
        <f t="shared" si="0"/>
        <v>0</v>
      </c>
    </row>
    <row r="74" spans="1:7" ht="15" customHeight="1" hidden="1">
      <c r="A74" s="16" t="s">
        <v>86</v>
      </c>
      <c r="B74" s="29" t="s">
        <v>17</v>
      </c>
      <c r="C74" s="29" t="s">
        <v>98</v>
      </c>
      <c r="D74" s="29" t="s">
        <v>87</v>
      </c>
      <c r="E74" s="37"/>
      <c r="F74" s="31">
        <f t="shared" si="0"/>
        <v>0</v>
      </c>
      <c r="G74" s="31">
        <f t="shared" si="0"/>
        <v>0</v>
      </c>
    </row>
    <row r="75" spans="1:7" ht="15" customHeight="1" hidden="1">
      <c r="A75" s="16" t="s">
        <v>93</v>
      </c>
      <c r="B75" s="29" t="s">
        <v>17</v>
      </c>
      <c r="C75" s="29" t="s">
        <v>98</v>
      </c>
      <c r="D75" s="29" t="s">
        <v>94</v>
      </c>
      <c r="E75" s="37"/>
      <c r="F75" s="31">
        <f t="shared" si="0"/>
        <v>0</v>
      </c>
      <c r="G75" s="31">
        <f t="shared" si="0"/>
        <v>0</v>
      </c>
    </row>
    <row r="76" spans="1:7" ht="39" customHeight="1" hidden="1">
      <c r="A76" s="44" t="s">
        <v>99</v>
      </c>
      <c r="B76" s="29" t="s">
        <v>17</v>
      </c>
      <c r="C76" s="29" t="s">
        <v>98</v>
      </c>
      <c r="D76" s="29" t="s">
        <v>100</v>
      </c>
      <c r="E76" s="37"/>
      <c r="F76" s="31">
        <f t="shared" si="0"/>
        <v>0</v>
      </c>
      <c r="G76" s="31">
        <f t="shared" si="0"/>
        <v>0</v>
      </c>
    </row>
    <row r="77" spans="1:7" ht="15" customHeight="1" hidden="1">
      <c r="A77" s="35" t="s">
        <v>92</v>
      </c>
      <c r="B77" s="29" t="s">
        <v>17</v>
      </c>
      <c r="C77" s="29" t="s">
        <v>98</v>
      </c>
      <c r="D77" s="29" t="s">
        <v>100</v>
      </c>
      <c r="E77" s="37" t="s">
        <v>39</v>
      </c>
      <c r="F77" s="31"/>
      <c r="G77" s="31"/>
    </row>
    <row r="78" spans="1:7" ht="26.25">
      <c r="A78" s="16" t="s">
        <v>101</v>
      </c>
      <c r="B78" s="29" t="s">
        <v>17</v>
      </c>
      <c r="C78" s="29" t="s">
        <v>102</v>
      </c>
      <c r="D78" s="29"/>
      <c r="E78" s="30"/>
      <c r="F78" s="31">
        <f aca="true" t="shared" si="1" ref="F78:G80">F79</f>
        <v>424700</v>
      </c>
      <c r="G78" s="31">
        <f t="shared" si="1"/>
        <v>407700</v>
      </c>
    </row>
    <row r="79" spans="1:7" ht="26.25">
      <c r="A79" s="35" t="s">
        <v>103</v>
      </c>
      <c r="B79" s="29" t="s">
        <v>17</v>
      </c>
      <c r="C79" s="29" t="s">
        <v>102</v>
      </c>
      <c r="D79" s="47" t="s">
        <v>104</v>
      </c>
      <c r="E79" s="37"/>
      <c r="F79" s="31">
        <f t="shared" si="1"/>
        <v>424700</v>
      </c>
      <c r="G79" s="31">
        <f t="shared" si="1"/>
        <v>407700</v>
      </c>
    </row>
    <row r="80" spans="1:7" ht="15">
      <c r="A80" s="35" t="s">
        <v>105</v>
      </c>
      <c r="B80" s="29" t="s">
        <v>17</v>
      </c>
      <c r="C80" s="29" t="s">
        <v>102</v>
      </c>
      <c r="D80" s="47" t="s">
        <v>106</v>
      </c>
      <c r="E80" s="37"/>
      <c r="F80" s="31">
        <f t="shared" si="1"/>
        <v>424700</v>
      </c>
      <c r="G80" s="31">
        <f t="shared" si="1"/>
        <v>407700</v>
      </c>
    </row>
    <row r="81" spans="1:7" ht="26.25">
      <c r="A81" s="8" t="s">
        <v>24</v>
      </c>
      <c r="B81" s="29" t="s">
        <v>17</v>
      </c>
      <c r="C81" s="29" t="s">
        <v>102</v>
      </c>
      <c r="D81" s="47" t="s">
        <v>107</v>
      </c>
      <c r="E81" s="30"/>
      <c r="F81" s="31">
        <f>F82+F83+F84</f>
        <v>424700</v>
      </c>
      <c r="G81" s="31">
        <f>G82+G83+G84</f>
        <v>407700</v>
      </c>
    </row>
    <row r="82" spans="1:7" ht="45.75" customHeight="1">
      <c r="A82" s="35" t="s">
        <v>26</v>
      </c>
      <c r="B82" s="29" t="s">
        <v>17</v>
      </c>
      <c r="C82" s="29" t="s">
        <v>102</v>
      </c>
      <c r="D82" s="47" t="s">
        <v>107</v>
      </c>
      <c r="E82" s="37" t="s">
        <v>27</v>
      </c>
      <c r="F82" s="31">
        <f>544200-119500</f>
        <v>424700</v>
      </c>
      <c r="G82" s="31">
        <f>544200-119500-17000</f>
        <v>407700</v>
      </c>
    </row>
    <row r="83" spans="1:7" ht="15" customHeight="1" hidden="1">
      <c r="A83" s="35" t="s">
        <v>92</v>
      </c>
      <c r="B83" s="29" t="s">
        <v>17</v>
      </c>
      <c r="C83" s="29" t="s">
        <v>102</v>
      </c>
      <c r="D83" s="47" t="s">
        <v>107</v>
      </c>
      <c r="E83" s="37" t="s">
        <v>39</v>
      </c>
      <c r="F83" s="31"/>
      <c r="G83" s="31"/>
    </row>
    <row r="84" spans="1:7" ht="15" customHeight="1" hidden="1">
      <c r="A84" s="10" t="s">
        <v>84</v>
      </c>
      <c r="B84" s="29" t="s">
        <v>17</v>
      </c>
      <c r="C84" s="29" t="s">
        <v>102</v>
      </c>
      <c r="D84" s="47" t="s">
        <v>107</v>
      </c>
      <c r="E84" s="37" t="s">
        <v>85</v>
      </c>
      <c r="F84" s="31"/>
      <c r="G84" s="31"/>
    </row>
    <row r="85" spans="1:7" ht="15" customHeight="1" hidden="1">
      <c r="A85" s="48" t="s">
        <v>108</v>
      </c>
      <c r="B85" s="29" t="s">
        <v>17</v>
      </c>
      <c r="C85" s="29" t="s">
        <v>109</v>
      </c>
      <c r="D85" s="47"/>
      <c r="E85" s="37"/>
      <c r="F85" s="31">
        <f aca="true" t="shared" si="2" ref="F85:G88">F86</f>
        <v>0</v>
      </c>
      <c r="G85" s="31">
        <f t="shared" si="2"/>
        <v>0</v>
      </c>
    </row>
    <row r="86" spans="1:7" ht="15" customHeight="1" hidden="1">
      <c r="A86" s="16" t="s">
        <v>86</v>
      </c>
      <c r="B86" s="29" t="s">
        <v>17</v>
      </c>
      <c r="C86" s="29" t="s">
        <v>109</v>
      </c>
      <c r="D86" s="47" t="s">
        <v>87</v>
      </c>
      <c r="E86" s="37"/>
      <c r="F86" s="31">
        <f t="shared" si="2"/>
        <v>0</v>
      </c>
      <c r="G86" s="31">
        <f t="shared" si="2"/>
        <v>0</v>
      </c>
    </row>
    <row r="87" spans="1:7" ht="15" customHeight="1" hidden="1">
      <c r="A87" s="10" t="s">
        <v>110</v>
      </c>
      <c r="B87" s="29" t="s">
        <v>17</v>
      </c>
      <c r="C87" s="29" t="s">
        <v>109</v>
      </c>
      <c r="D87" s="47" t="s">
        <v>111</v>
      </c>
      <c r="E87" s="37"/>
      <c r="F87" s="31">
        <f t="shared" si="2"/>
        <v>0</v>
      </c>
      <c r="G87" s="31">
        <f t="shared" si="2"/>
        <v>0</v>
      </c>
    </row>
    <row r="88" spans="1:7" ht="15" customHeight="1" hidden="1">
      <c r="A88" s="10" t="s">
        <v>112</v>
      </c>
      <c r="B88" s="29" t="s">
        <v>17</v>
      </c>
      <c r="C88" s="29" t="s">
        <v>109</v>
      </c>
      <c r="D88" s="47" t="s">
        <v>113</v>
      </c>
      <c r="E88" s="37"/>
      <c r="F88" s="31">
        <f t="shared" si="2"/>
        <v>0</v>
      </c>
      <c r="G88" s="31">
        <f t="shared" si="2"/>
        <v>0</v>
      </c>
    </row>
    <row r="89" spans="1:7" ht="15" customHeight="1" hidden="1">
      <c r="A89" s="10" t="s">
        <v>84</v>
      </c>
      <c r="B89" s="29" t="s">
        <v>17</v>
      </c>
      <c r="C89" s="29" t="s">
        <v>109</v>
      </c>
      <c r="D89" s="47" t="s">
        <v>113</v>
      </c>
      <c r="E89" s="37" t="s">
        <v>85</v>
      </c>
      <c r="F89" s="31"/>
      <c r="G89" s="31"/>
    </row>
    <row r="90" spans="1:7" ht="15">
      <c r="A90" s="16" t="s">
        <v>114</v>
      </c>
      <c r="B90" s="29" t="s">
        <v>17</v>
      </c>
      <c r="C90" s="29" t="s">
        <v>115</v>
      </c>
      <c r="D90" s="29"/>
      <c r="E90" s="30"/>
      <c r="F90" s="31">
        <f>F92</f>
        <v>100000</v>
      </c>
      <c r="G90" s="31">
        <f>G92</f>
        <v>100000</v>
      </c>
    </row>
    <row r="91" spans="1:7" ht="15">
      <c r="A91" s="35" t="s">
        <v>116</v>
      </c>
      <c r="B91" s="29" t="s">
        <v>17</v>
      </c>
      <c r="C91" s="29" t="s">
        <v>115</v>
      </c>
      <c r="D91" s="36" t="s">
        <v>117</v>
      </c>
      <c r="E91" s="49" t="s">
        <v>118</v>
      </c>
      <c r="F91" s="31">
        <f aca="true" t="shared" si="3" ref="F91:G93">F92</f>
        <v>100000</v>
      </c>
      <c r="G91" s="31">
        <f t="shared" si="3"/>
        <v>100000</v>
      </c>
    </row>
    <row r="92" spans="1:7" ht="15">
      <c r="A92" s="35" t="s">
        <v>114</v>
      </c>
      <c r="B92" s="29" t="s">
        <v>17</v>
      </c>
      <c r="C92" s="29" t="s">
        <v>115</v>
      </c>
      <c r="D92" s="36" t="s">
        <v>119</v>
      </c>
      <c r="E92" s="49" t="s">
        <v>118</v>
      </c>
      <c r="F92" s="31">
        <f t="shared" si="3"/>
        <v>100000</v>
      </c>
      <c r="G92" s="31">
        <f t="shared" si="3"/>
        <v>100000</v>
      </c>
    </row>
    <row r="93" spans="1:7" ht="15">
      <c r="A93" s="8" t="s">
        <v>120</v>
      </c>
      <c r="B93" s="29" t="s">
        <v>17</v>
      </c>
      <c r="C93" s="29" t="s">
        <v>115</v>
      </c>
      <c r="D93" s="36" t="s">
        <v>121</v>
      </c>
      <c r="E93" s="49" t="s">
        <v>118</v>
      </c>
      <c r="F93" s="31">
        <f t="shared" si="3"/>
        <v>100000</v>
      </c>
      <c r="G93" s="31">
        <f t="shared" si="3"/>
        <v>100000</v>
      </c>
    </row>
    <row r="94" spans="1:7" ht="15">
      <c r="A94" s="35" t="s">
        <v>84</v>
      </c>
      <c r="B94" s="29" t="s">
        <v>17</v>
      </c>
      <c r="C94" s="29" t="s">
        <v>115</v>
      </c>
      <c r="D94" s="36" t="s">
        <v>121</v>
      </c>
      <c r="E94" s="49" t="s">
        <v>85</v>
      </c>
      <c r="F94" s="31">
        <f>100000</f>
        <v>100000</v>
      </c>
      <c r="G94" s="31">
        <f>100000</f>
        <v>100000</v>
      </c>
    </row>
    <row r="95" spans="1:11" ht="15">
      <c r="A95" s="16" t="s">
        <v>122</v>
      </c>
      <c r="B95" s="29" t="s">
        <v>17</v>
      </c>
      <c r="C95" s="29" t="s">
        <v>123</v>
      </c>
      <c r="D95" s="29"/>
      <c r="E95" s="30"/>
      <c r="F95" s="31">
        <f>F96+F114+F149+F155+F171+F124+F136+F129+F119+F145</f>
        <v>10321184</v>
      </c>
      <c r="G95" s="31">
        <f>G96+G114+G149+G155+G171+G124+G136+G129+G119+G145</f>
        <v>10106963</v>
      </c>
      <c r="K95" s="21"/>
    </row>
    <row r="96" spans="1:7" ht="26.25">
      <c r="A96" s="16" t="s">
        <v>124</v>
      </c>
      <c r="B96" s="29" t="s">
        <v>17</v>
      </c>
      <c r="C96" s="29" t="s">
        <v>123</v>
      </c>
      <c r="D96" s="29" t="s">
        <v>44</v>
      </c>
      <c r="E96" s="30"/>
      <c r="F96" s="31">
        <f>F105+F101+F97</f>
        <v>51000</v>
      </c>
      <c r="G96" s="31">
        <f>G105+G101+G97</f>
        <v>51000</v>
      </c>
    </row>
    <row r="97" spans="1:7" ht="51">
      <c r="A97" s="9" t="s">
        <v>125</v>
      </c>
      <c r="B97" s="29" t="s">
        <v>17</v>
      </c>
      <c r="C97" s="29" t="s">
        <v>123</v>
      </c>
      <c r="D97" s="29" t="s">
        <v>126</v>
      </c>
      <c r="E97" s="30"/>
      <c r="F97" s="31">
        <f aca="true" t="shared" si="4" ref="F97:G99">F98</f>
        <v>14000</v>
      </c>
      <c r="G97" s="31">
        <f t="shared" si="4"/>
        <v>14000</v>
      </c>
    </row>
    <row r="98" spans="1:7" ht="25.5">
      <c r="A98" s="9" t="s">
        <v>127</v>
      </c>
      <c r="B98" s="29" t="s">
        <v>17</v>
      </c>
      <c r="C98" s="29" t="s">
        <v>123</v>
      </c>
      <c r="D98" s="29" t="s">
        <v>128</v>
      </c>
      <c r="E98" s="30"/>
      <c r="F98" s="31">
        <f t="shared" si="4"/>
        <v>14000</v>
      </c>
      <c r="G98" s="31">
        <f t="shared" si="4"/>
        <v>14000</v>
      </c>
    </row>
    <row r="99" spans="1:7" ht="15">
      <c r="A99" s="35" t="s">
        <v>129</v>
      </c>
      <c r="B99" s="29" t="s">
        <v>17</v>
      </c>
      <c r="C99" s="29" t="s">
        <v>123</v>
      </c>
      <c r="D99" s="50" t="s">
        <v>130</v>
      </c>
      <c r="E99" s="30"/>
      <c r="F99" s="31">
        <f t="shared" si="4"/>
        <v>14000</v>
      </c>
      <c r="G99" s="31">
        <f t="shared" si="4"/>
        <v>14000</v>
      </c>
    </row>
    <row r="100" spans="1:7" ht="26.25">
      <c r="A100" s="35" t="s">
        <v>38</v>
      </c>
      <c r="B100" s="29" t="s">
        <v>17</v>
      </c>
      <c r="C100" s="29" t="s">
        <v>123</v>
      </c>
      <c r="D100" s="50" t="s">
        <v>130</v>
      </c>
      <c r="E100" s="30" t="s">
        <v>39</v>
      </c>
      <c r="F100" s="31">
        <v>14000</v>
      </c>
      <c r="G100" s="31">
        <v>14000</v>
      </c>
    </row>
    <row r="101" spans="1:7" s="42" customFormat="1" ht="51.75">
      <c r="A101" s="35" t="s">
        <v>45</v>
      </c>
      <c r="B101" s="38" t="s">
        <v>17</v>
      </c>
      <c r="C101" s="38" t="s">
        <v>123</v>
      </c>
      <c r="D101" s="38" t="s">
        <v>46</v>
      </c>
      <c r="E101" s="45"/>
      <c r="F101" s="41">
        <f aca="true" t="shared" si="5" ref="F101:G103">F102</f>
        <v>27000</v>
      </c>
      <c r="G101" s="41">
        <f t="shared" si="5"/>
        <v>27000</v>
      </c>
    </row>
    <row r="102" spans="1:7" ht="25.5">
      <c r="A102" s="51" t="s">
        <v>131</v>
      </c>
      <c r="B102" s="29" t="s">
        <v>17</v>
      </c>
      <c r="C102" s="29" t="s">
        <v>123</v>
      </c>
      <c r="D102" s="29" t="s">
        <v>132</v>
      </c>
      <c r="E102" s="30"/>
      <c r="F102" s="31">
        <f t="shared" si="5"/>
        <v>27000</v>
      </c>
      <c r="G102" s="31">
        <f t="shared" si="5"/>
        <v>27000</v>
      </c>
    </row>
    <row r="103" spans="1:7" ht="25.5">
      <c r="A103" s="9" t="s">
        <v>133</v>
      </c>
      <c r="B103" s="29" t="s">
        <v>17</v>
      </c>
      <c r="C103" s="29" t="s">
        <v>123</v>
      </c>
      <c r="D103" s="50" t="s">
        <v>134</v>
      </c>
      <c r="E103" s="30"/>
      <c r="F103" s="31">
        <f t="shared" si="5"/>
        <v>27000</v>
      </c>
      <c r="G103" s="31">
        <f t="shared" si="5"/>
        <v>27000</v>
      </c>
    </row>
    <row r="104" spans="1:7" ht="26.25">
      <c r="A104" s="35" t="s">
        <v>38</v>
      </c>
      <c r="B104" s="29" t="s">
        <v>17</v>
      </c>
      <c r="C104" s="29" t="s">
        <v>123</v>
      </c>
      <c r="D104" s="50" t="s">
        <v>134</v>
      </c>
      <c r="E104" s="30" t="s">
        <v>39</v>
      </c>
      <c r="F104" s="31">
        <f>27000</f>
        <v>27000</v>
      </c>
      <c r="G104" s="31">
        <f>27000</f>
        <v>27000</v>
      </c>
    </row>
    <row r="105" spans="1:7" s="42" customFormat="1" ht="51.75">
      <c r="A105" s="8" t="s">
        <v>135</v>
      </c>
      <c r="B105" s="38" t="s">
        <v>17</v>
      </c>
      <c r="C105" s="38" t="s">
        <v>123</v>
      </c>
      <c r="D105" s="38" t="s">
        <v>52</v>
      </c>
      <c r="E105" s="45"/>
      <c r="F105" s="41">
        <f>F106+F111</f>
        <v>10000</v>
      </c>
      <c r="G105" s="41">
        <f>G106+G111</f>
        <v>10000</v>
      </c>
    </row>
    <row r="106" spans="1:7" ht="26.25" hidden="1">
      <c r="A106" s="8" t="s">
        <v>136</v>
      </c>
      <c r="B106" s="29" t="s">
        <v>17</v>
      </c>
      <c r="C106" s="29" t="s">
        <v>123</v>
      </c>
      <c r="D106" s="29" t="s">
        <v>137</v>
      </c>
      <c r="E106" s="30"/>
      <c r="F106" s="31">
        <f>F107+F109</f>
        <v>0</v>
      </c>
      <c r="G106" s="31">
        <f>G107+G109</f>
        <v>0</v>
      </c>
    </row>
    <row r="107" spans="1:7" ht="26.25" hidden="1">
      <c r="A107" s="8" t="s">
        <v>138</v>
      </c>
      <c r="B107" s="29" t="s">
        <v>17</v>
      </c>
      <c r="C107" s="29" t="s">
        <v>123</v>
      </c>
      <c r="D107" s="29" t="s">
        <v>139</v>
      </c>
      <c r="E107" s="30"/>
      <c r="F107" s="31">
        <f>F108</f>
        <v>0</v>
      </c>
      <c r="G107" s="31">
        <f>G108</f>
        <v>0</v>
      </c>
    </row>
    <row r="108" spans="1:7" ht="26.25" hidden="1">
      <c r="A108" s="35" t="s">
        <v>140</v>
      </c>
      <c r="B108" s="29" t="s">
        <v>17</v>
      </c>
      <c r="C108" s="29" t="s">
        <v>123</v>
      </c>
      <c r="D108" s="29" t="s">
        <v>139</v>
      </c>
      <c r="E108" s="37" t="s">
        <v>141</v>
      </c>
      <c r="F108" s="31"/>
      <c r="G108" s="31"/>
    </row>
    <row r="109" spans="1:7" ht="15" hidden="1">
      <c r="A109" s="8" t="s">
        <v>142</v>
      </c>
      <c r="B109" s="29" t="s">
        <v>17</v>
      </c>
      <c r="C109" s="29" t="s">
        <v>123</v>
      </c>
      <c r="D109" s="29" t="s">
        <v>143</v>
      </c>
      <c r="E109" s="37"/>
      <c r="F109" s="31">
        <f>F110</f>
        <v>0</v>
      </c>
      <c r="G109" s="31">
        <f>G110</f>
        <v>0</v>
      </c>
    </row>
    <row r="110" spans="1:7" ht="26.25" hidden="1">
      <c r="A110" s="35" t="s">
        <v>140</v>
      </c>
      <c r="B110" s="29" t="s">
        <v>17</v>
      </c>
      <c r="C110" s="29" t="s">
        <v>123</v>
      </c>
      <c r="D110" s="29" t="s">
        <v>143</v>
      </c>
      <c r="E110" s="37" t="s">
        <v>141</v>
      </c>
      <c r="F110" s="31"/>
      <c r="G110" s="31"/>
    </row>
    <row r="111" spans="1:7" ht="25.5">
      <c r="A111" s="13" t="s">
        <v>53</v>
      </c>
      <c r="B111" s="29" t="s">
        <v>17</v>
      </c>
      <c r="C111" s="29" t="s">
        <v>123</v>
      </c>
      <c r="D111" s="29" t="s">
        <v>54</v>
      </c>
      <c r="E111" s="37"/>
      <c r="F111" s="31">
        <f>F112</f>
        <v>10000</v>
      </c>
      <c r="G111" s="31">
        <f>G112</f>
        <v>10000</v>
      </c>
    </row>
    <row r="112" spans="1:7" ht="15">
      <c r="A112" s="51" t="s">
        <v>144</v>
      </c>
      <c r="B112" s="29" t="s">
        <v>17</v>
      </c>
      <c r="C112" s="29" t="s">
        <v>123</v>
      </c>
      <c r="D112" s="29" t="s">
        <v>145</v>
      </c>
      <c r="E112" s="37"/>
      <c r="F112" s="31">
        <f>F113</f>
        <v>10000</v>
      </c>
      <c r="G112" s="31">
        <f>G113</f>
        <v>10000</v>
      </c>
    </row>
    <row r="113" spans="1:7" ht="26.25">
      <c r="A113" s="35" t="s">
        <v>38</v>
      </c>
      <c r="B113" s="29" t="s">
        <v>17</v>
      </c>
      <c r="C113" s="29" t="s">
        <v>123</v>
      </c>
      <c r="D113" s="29" t="s">
        <v>145</v>
      </c>
      <c r="E113" s="37" t="s">
        <v>39</v>
      </c>
      <c r="F113" s="31">
        <f>10000</f>
        <v>10000</v>
      </c>
      <c r="G113" s="31">
        <f>10000</f>
        <v>10000</v>
      </c>
    </row>
    <row r="114" spans="1:7" ht="38.25">
      <c r="A114" s="52" t="s">
        <v>641</v>
      </c>
      <c r="B114" s="29" t="s">
        <v>17</v>
      </c>
      <c r="C114" s="29" t="s">
        <v>123</v>
      </c>
      <c r="D114" s="29" t="s">
        <v>147</v>
      </c>
      <c r="E114" s="37"/>
      <c r="F114" s="31">
        <f aca="true" t="shared" si="6" ref="F114:G116">F115</f>
        <v>280000</v>
      </c>
      <c r="G114" s="31">
        <f t="shared" si="6"/>
        <v>280000</v>
      </c>
    </row>
    <row r="115" spans="1:7" s="42" customFormat="1" ht="51">
      <c r="A115" s="53" t="s">
        <v>148</v>
      </c>
      <c r="B115" s="38" t="s">
        <v>17</v>
      </c>
      <c r="C115" s="38" t="s">
        <v>123</v>
      </c>
      <c r="D115" s="38" t="s">
        <v>149</v>
      </c>
      <c r="E115" s="40"/>
      <c r="F115" s="41">
        <f t="shared" si="6"/>
        <v>280000</v>
      </c>
      <c r="G115" s="41">
        <f t="shared" si="6"/>
        <v>280000</v>
      </c>
    </row>
    <row r="116" spans="1:7" ht="25.5">
      <c r="A116" s="53" t="s">
        <v>150</v>
      </c>
      <c r="B116" s="29" t="s">
        <v>17</v>
      </c>
      <c r="C116" s="29" t="s">
        <v>123</v>
      </c>
      <c r="D116" s="29" t="s">
        <v>151</v>
      </c>
      <c r="E116" s="37"/>
      <c r="F116" s="31">
        <f t="shared" si="6"/>
        <v>280000</v>
      </c>
      <c r="G116" s="31">
        <f t="shared" si="6"/>
        <v>280000</v>
      </c>
    </row>
    <row r="117" spans="1:7" ht="20.25" customHeight="1">
      <c r="A117" s="53" t="s">
        <v>152</v>
      </c>
      <c r="B117" s="29" t="s">
        <v>17</v>
      </c>
      <c r="C117" s="29" t="s">
        <v>123</v>
      </c>
      <c r="D117" s="29" t="s">
        <v>153</v>
      </c>
      <c r="E117" s="37"/>
      <c r="F117" s="31">
        <f>F118</f>
        <v>280000</v>
      </c>
      <c r="G117" s="31">
        <f>G118</f>
        <v>280000</v>
      </c>
    </row>
    <row r="118" spans="1:7" ht="26.25">
      <c r="A118" s="35" t="s">
        <v>38</v>
      </c>
      <c r="B118" s="29" t="s">
        <v>17</v>
      </c>
      <c r="C118" s="29" t="s">
        <v>123</v>
      </c>
      <c r="D118" s="29" t="s">
        <v>153</v>
      </c>
      <c r="E118" s="30" t="s">
        <v>39</v>
      </c>
      <c r="F118" s="31">
        <f>80000+200000</f>
        <v>280000</v>
      </c>
      <c r="G118" s="31">
        <f>80000+200000</f>
        <v>280000</v>
      </c>
    </row>
    <row r="119" spans="1:7" ht="39" hidden="1">
      <c r="A119" s="15" t="s">
        <v>59</v>
      </c>
      <c r="B119" s="29" t="s">
        <v>17</v>
      </c>
      <c r="C119" s="29" t="s">
        <v>123</v>
      </c>
      <c r="D119" s="36" t="s">
        <v>60</v>
      </c>
      <c r="E119" s="30"/>
      <c r="F119" s="31">
        <f aca="true" t="shared" si="7" ref="F119:G122">F120</f>
        <v>0</v>
      </c>
      <c r="G119" s="31">
        <f t="shared" si="7"/>
        <v>0</v>
      </c>
    </row>
    <row r="120" spans="1:7" s="42" customFormat="1" ht="69.75" customHeight="1" hidden="1">
      <c r="A120" s="13" t="s">
        <v>61</v>
      </c>
      <c r="B120" s="29" t="s">
        <v>17</v>
      </c>
      <c r="C120" s="29" t="s">
        <v>123</v>
      </c>
      <c r="D120" s="39" t="s">
        <v>62</v>
      </c>
      <c r="E120" s="45"/>
      <c r="F120" s="41">
        <f t="shared" si="7"/>
        <v>0</v>
      </c>
      <c r="G120" s="41">
        <f t="shared" si="7"/>
        <v>0</v>
      </c>
    </row>
    <row r="121" spans="1:7" ht="25.5" hidden="1">
      <c r="A121" s="10" t="s">
        <v>63</v>
      </c>
      <c r="B121" s="29" t="s">
        <v>17</v>
      </c>
      <c r="C121" s="29" t="s">
        <v>123</v>
      </c>
      <c r="D121" s="36" t="s">
        <v>64</v>
      </c>
      <c r="E121" s="30"/>
      <c r="F121" s="31">
        <f t="shared" si="7"/>
        <v>0</v>
      </c>
      <c r="G121" s="31">
        <f t="shared" si="7"/>
        <v>0</v>
      </c>
    </row>
    <row r="122" spans="1:7" ht="26.25" hidden="1">
      <c r="A122" s="35" t="s">
        <v>155</v>
      </c>
      <c r="B122" s="29" t="s">
        <v>17</v>
      </c>
      <c r="C122" s="29" t="s">
        <v>123</v>
      </c>
      <c r="D122" s="36" t="s">
        <v>156</v>
      </c>
      <c r="E122" s="30"/>
      <c r="F122" s="31">
        <f t="shared" si="7"/>
        <v>0</v>
      </c>
      <c r="G122" s="31">
        <f t="shared" si="7"/>
        <v>0</v>
      </c>
    </row>
    <row r="123" spans="1:7" ht="25.5" customHeight="1" hidden="1">
      <c r="A123" s="35" t="s">
        <v>38</v>
      </c>
      <c r="B123" s="29" t="s">
        <v>17</v>
      </c>
      <c r="C123" s="29" t="s">
        <v>123</v>
      </c>
      <c r="D123" s="36" t="s">
        <v>156</v>
      </c>
      <c r="E123" s="37" t="s">
        <v>39</v>
      </c>
      <c r="F123" s="31"/>
      <c r="G123" s="31"/>
    </row>
    <row r="124" spans="1:7" ht="51" customHeight="1" hidden="1">
      <c r="A124" s="52" t="s">
        <v>157</v>
      </c>
      <c r="B124" s="29" t="s">
        <v>17</v>
      </c>
      <c r="C124" s="29" t="s">
        <v>123</v>
      </c>
      <c r="D124" s="29" t="s">
        <v>158</v>
      </c>
      <c r="E124" s="30"/>
      <c r="F124" s="31">
        <f aca="true" t="shared" si="8" ref="F124:G127">F125</f>
        <v>0</v>
      </c>
      <c r="G124" s="31">
        <f t="shared" si="8"/>
        <v>0</v>
      </c>
    </row>
    <row r="125" spans="1:7" ht="63.75" hidden="1">
      <c r="A125" s="53" t="s">
        <v>159</v>
      </c>
      <c r="B125" s="29" t="s">
        <v>17</v>
      </c>
      <c r="C125" s="29" t="s">
        <v>123</v>
      </c>
      <c r="D125" s="29" t="s">
        <v>160</v>
      </c>
      <c r="E125" s="30"/>
      <c r="F125" s="31">
        <f t="shared" si="8"/>
        <v>0</v>
      </c>
      <c r="G125" s="31">
        <f t="shared" si="8"/>
        <v>0</v>
      </c>
    </row>
    <row r="126" spans="1:7" ht="25.5" hidden="1">
      <c r="A126" s="54" t="s">
        <v>161</v>
      </c>
      <c r="B126" s="29" t="s">
        <v>17</v>
      </c>
      <c r="C126" s="29" t="s">
        <v>123</v>
      </c>
      <c r="D126" s="29" t="s">
        <v>162</v>
      </c>
      <c r="E126" s="30"/>
      <c r="F126" s="31">
        <f t="shared" si="8"/>
        <v>0</v>
      </c>
      <c r="G126" s="31">
        <f t="shared" si="8"/>
        <v>0</v>
      </c>
    </row>
    <row r="127" spans="1:7" ht="25.5" hidden="1">
      <c r="A127" s="10" t="s">
        <v>163</v>
      </c>
      <c r="B127" s="29" t="s">
        <v>17</v>
      </c>
      <c r="C127" s="29" t="s">
        <v>123</v>
      </c>
      <c r="D127" s="29" t="s">
        <v>164</v>
      </c>
      <c r="E127" s="30"/>
      <c r="F127" s="31">
        <f t="shared" si="8"/>
        <v>0</v>
      </c>
      <c r="G127" s="31">
        <f t="shared" si="8"/>
        <v>0</v>
      </c>
    </row>
    <row r="128" spans="1:7" ht="26.25" hidden="1">
      <c r="A128" s="35" t="s">
        <v>38</v>
      </c>
      <c r="B128" s="29" t="s">
        <v>17</v>
      </c>
      <c r="C128" s="29" t="s">
        <v>123</v>
      </c>
      <c r="D128" s="29" t="s">
        <v>164</v>
      </c>
      <c r="E128" s="30" t="s">
        <v>39</v>
      </c>
      <c r="F128" s="31"/>
      <c r="G128" s="31"/>
    </row>
    <row r="129" spans="1:7" ht="51.75">
      <c r="A129" s="16" t="s">
        <v>67</v>
      </c>
      <c r="B129" s="29" t="s">
        <v>17</v>
      </c>
      <c r="C129" s="29" t="s">
        <v>123</v>
      </c>
      <c r="D129" s="36" t="s">
        <v>68</v>
      </c>
      <c r="E129" s="30"/>
      <c r="F129" s="31">
        <f>F130</f>
        <v>612000</v>
      </c>
      <c r="G129" s="31">
        <f>G130</f>
        <v>612000</v>
      </c>
    </row>
    <row r="130" spans="1:7" ht="71.25" customHeight="1">
      <c r="A130" s="55" t="s">
        <v>165</v>
      </c>
      <c r="B130" s="29" t="s">
        <v>17</v>
      </c>
      <c r="C130" s="29" t="s">
        <v>123</v>
      </c>
      <c r="D130" s="36" t="s">
        <v>166</v>
      </c>
      <c r="E130" s="30"/>
      <c r="F130" s="31">
        <f>F131</f>
        <v>612000</v>
      </c>
      <c r="G130" s="31">
        <f>G131</f>
        <v>612000</v>
      </c>
    </row>
    <row r="131" spans="1:7" ht="38.25">
      <c r="A131" s="13" t="s">
        <v>167</v>
      </c>
      <c r="B131" s="29" t="s">
        <v>17</v>
      </c>
      <c r="C131" s="29" t="s">
        <v>123</v>
      </c>
      <c r="D131" s="47" t="s">
        <v>168</v>
      </c>
      <c r="E131" s="30"/>
      <c r="F131" s="31">
        <f>F132+F134</f>
        <v>612000</v>
      </c>
      <c r="G131" s="31">
        <f>G132+G134</f>
        <v>612000</v>
      </c>
    </row>
    <row r="132" spans="1:7" ht="26.25">
      <c r="A132" s="35" t="s">
        <v>169</v>
      </c>
      <c r="B132" s="29" t="s">
        <v>17</v>
      </c>
      <c r="C132" s="29" t="s">
        <v>123</v>
      </c>
      <c r="D132" s="47" t="s">
        <v>170</v>
      </c>
      <c r="E132" s="30"/>
      <c r="F132" s="31">
        <f>F133</f>
        <v>547000</v>
      </c>
      <c r="G132" s="31">
        <f>G133</f>
        <v>547000</v>
      </c>
    </row>
    <row r="133" spans="1:7" ht="26.25">
      <c r="A133" s="35" t="s">
        <v>38</v>
      </c>
      <c r="B133" s="29" t="s">
        <v>17</v>
      </c>
      <c r="C133" s="29" t="s">
        <v>123</v>
      </c>
      <c r="D133" s="47" t="s">
        <v>170</v>
      </c>
      <c r="E133" s="30" t="s">
        <v>39</v>
      </c>
      <c r="F133" s="31">
        <v>547000</v>
      </c>
      <c r="G133" s="31">
        <v>547000</v>
      </c>
    </row>
    <row r="134" spans="1:7" ht="26.25">
      <c r="A134" s="35" t="s">
        <v>171</v>
      </c>
      <c r="B134" s="29" t="s">
        <v>17</v>
      </c>
      <c r="C134" s="29" t="s">
        <v>123</v>
      </c>
      <c r="D134" s="47" t="s">
        <v>172</v>
      </c>
      <c r="E134" s="30"/>
      <c r="F134" s="31">
        <f>F135</f>
        <v>65000</v>
      </c>
      <c r="G134" s="31">
        <f>G135</f>
        <v>65000</v>
      </c>
    </row>
    <row r="135" spans="1:7" ht="26.25">
      <c r="A135" s="35" t="s">
        <v>38</v>
      </c>
      <c r="B135" s="29" t="s">
        <v>17</v>
      </c>
      <c r="C135" s="29" t="s">
        <v>123</v>
      </c>
      <c r="D135" s="47" t="s">
        <v>172</v>
      </c>
      <c r="E135" s="30" t="s">
        <v>39</v>
      </c>
      <c r="F135" s="31">
        <v>65000</v>
      </c>
      <c r="G135" s="31">
        <v>65000</v>
      </c>
    </row>
    <row r="136" spans="1:7" ht="38.25">
      <c r="A136" s="14" t="s">
        <v>173</v>
      </c>
      <c r="B136" s="29" t="s">
        <v>17</v>
      </c>
      <c r="C136" s="29" t="s">
        <v>123</v>
      </c>
      <c r="D136" s="50" t="s">
        <v>174</v>
      </c>
      <c r="E136" s="30"/>
      <c r="F136" s="31">
        <f>F137+F141</f>
        <v>100000</v>
      </c>
      <c r="G136" s="31">
        <f>G137+G141</f>
        <v>100000</v>
      </c>
    </row>
    <row r="137" spans="1:7" ht="38.25" hidden="1">
      <c r="A137" s="51" t="s">
        <v>175</v>
      </c>
      <c r="B137" s="29" t="s">
        <v>17</v>
      </c>
      <c r="C137" s="29" t="s">
        <v>123</v>
      </c>
      <c r="D137" s="50" t="s">
        <v>176</v>
      </c>
      <c r="E137" s="30"/>
      <c r="F137" s="31">
        <f aca="true" t="shared" si="9" ref="F137:G139">F138</f>
        <v>0</v>
      </c>
      <c r="G137" s="31">
        <f t="shared" si="9"/>
        <v>0</v>
      </c>
    </row>
    <row r="138" spans="1:7" ht="25.5" hidden="1">
      <c r="A138" s="51" t="s">
        <v>177</v>
      </c>
      <c r="B138" s="29" t="s">
        <v>17</v>
      </c>
      <c r="C138" s="29" t="s">
        <v>123</v>
      </c>
      <c r="D138" s="50" t="s">
        <v>178</v>
      </c>
      <c r="E138" s="30"/>
      <c r="F138" s="31">
        <f t="shared" si="9"/>
        <v>0</v>
      </c>
      <c r="G138" s="31">
        <f t="shared" si="9"/>
        <v>0</v>
      </c>
    </row>
    <row r="139" spans="1:7" ht="26.25" hidden="1">
      <c r="A139" s="35" t="s">
        <v>179</v>
      </c>
      <c r="B139" s="29" t="s">
        <v>17</v>
      </c>
      <c r="C139" s="29" t="s">
        <v>123</v>
      </c>
      <c r="D139" s="50" t="s">
        <v>180</v>
      </c>
      <c r="E139" s="30"/>
      <c r="F139" s="31">
        <f t="shared" si="9"/>
        <v>0</v>
      </c>
      <c r="G139" s="31">
        <f t="shared" si="9"/>
        <v>0</v>
      </c>
    </row>
    <row r="140" spans="1:7" ht="26.25" hidden="1">
      <c r="A140" s="35" t="s">
        <v>38</v>
      </c>
      <c r="B140" s="29" t="s">
        <v>17</v>
      </c>
      <c r="C140" s="29" t="s">
        <v>123</v>
      </c>
      <c r="D140" s="50" t="s">
        <v>180</v>
      </c>
      <c r="E140" s="30" t="s">
        <v>39</v>
      </c>
      <c r="F140" s="31">
        <f>15000-15000</f>
        <v>0</v>
      </c>
      <c r="G140" s="31">
        <f>15000-15000</f>
        <v>0</v>
      </c>
    </row>
    <row r="141" spans="1:7" ht="60.75" customHeight="1">
      <c r="A141" s="51" t="s">
        <v>181</v>
      </c>
      <c r="B141" s="29" t="s">
        <v>17</v>
      </c>
      <c r="C141" s="29" t="s">
        <v>123</v>
      </c>
      <c r="D141" s="50" t="s">
        <v>182</v>
      </c>
      <c r="E141" s="30"/>
      <c r="F141" s="31">
        <f aca="true" t="shared" si="10" ref="F141:G143">F142</f>
        <v>100000</v>
      </c>
      <c r="G141" s="31">
        <f t="shared" si="10"/>
        <v>100000</v>
      </c>
    </row>
    <row r="142" spans="1:7" ht="15">
      <c r="A142" s="51" t="s">
        <v>183</v>
      </c>
      <c r="B142" s="29" t="s">
        <v>17</v>
      </c>
      <c r="C142" s="29" t="s">
        <v>123</v>
      </c>
      <c r="D142" s="50" t="s">
        <v>184</v>
      </c>
      <c r="E142" s="30"/>
      <c r="F142" s="31">
        <f t="shared" si="10"/>
        <v>100000</v>
      </c>
      <c r="G142" s="31">
        <f t="shared" si="10"/>
        <v>100000</v>
      </c>
    </row>
    <row r="143" spans="1:7" ht="15">
      <c r="A143" s="51" t="s">
        <v>144</v>
      </c>
      <c r="B143" s="29" t="s">
        <v>17</v>
      </c>
      <c r="C143" s="29" t="s">
        <v>123</v>
      </c>
      <c r="D143" s="50" t="s">
        <v>185</v>
      </c>
      <c r="E143" s="30"/>
      <c r="F143" s="31">
        <f t="shared" si="10"/>
        <v>100000</v>
      </c>
      <c r="G143" s="31">
        <f t="shared" si="10"/>
        <v>100000</v>
      </c>
    </row>
    <row r="144" spans="1:7" ht="25.5" customHeight="1">
      <c r="A144" s="35" t="s">
        <v>38</v>
      </c>
      <c r="B144" s="29" t="s">
        <v>17</v>
      </c>
      <c r="C144" s="29" t="s">
        <v>123</v>
      </c>
      <c r="D144" s="50" t="s">
        <v>185</v>
      </c>
      <c r="E144" s="30" t="s">
        <v>39</v>
      </c>
      <c r="F144" s="31">
        <v>100000</v>
      </c>
      <c r="G144" s="31">
        <v>100000</v>
      </c>
    </row>
    <row r="145" spans="1:7" ht="0.75" customHeight="1" hidden="1">
      <c r="A145" s="35" t="s">
        <v>77</v>
      </c>
      <c r="B145" s="29" t="s">
        <v>17</v>
      </c>
      <c r="C145" s="29" t="s">
        <v>123</v>
      </c>
      <c r="D145" s="29" t="s">
        <v>78</v>
      </c>
      <c r="E145" s="56"/>
      <c r="F145" s="31">
        <f aca="true" t="shared" si="11" ref="F145:G147">F146</f>
        <v>0</v>
      </c>
      <c r="G145" s="31">
        <f t="shared" si="11"/>
        <v>0</v>
      </c>
    </row>
    <row r="146" spans="1:7" ht="15" hidden="1">
      <c r="A146" s="8" t="s">
        <v>79</v>
      </c>
      <c r="B146" s="29" t="s">
        <v>17</v>
      </c>
      <c r="C146" s="29" t="s">
        <v>123</v>
      </c>
      <c r="D146" s="29" t="s">
        <v>80</v>
      </c>
      <c r="E146" s="56"/>
      <c r="F146" s="31">
        <f t="shared" si="11"/>
        <v>0</v>
      </c>
      <c r="G146" s="31">
        <f t="shared" si="11"/>
        <v>0</v>
      </c>
    </row>
    <row r="147" spans="1:7" ht="25.5" hidden="1">
      <c r="A147" s="9" t="s">
        <v>186</v>
      </c>
      <c r="B147" s="29" t="s">
        <v>17</v>
      </c>
      <c r="C147" s="29" t="s">
        <v>123</v>
      </c>
      <c r="D147" s="29" t="s">
        <v>187</v>
      </c>
      <c r="E147" s="56"/>
      <c r="F147" s="31">
        <f t="shared" si="11"/>
        <v>0</v>
      </c>
      <c r="G147" s="31">
        <f t="shared" si="11"/>
        <v>0</v>
      </c>
    </row>
    <row r="148" spans="1:7" ht="49.5" customHeight="1" hidden="1">
      <c r="A148" s="35" t="s">
        <v>26</v>
      </c>
      <c r="B148" s="29" t="s">
        <v>17</v>
      </c>
      <c r="C148" s="29" t="s">
        <v>123</v>
      </c>
      <c r="D148" s="29" t="s">
        <v>187</v>
      </c>
      <c r="E148" s="56" t="s">
        <v>27</v>
      </c>
      <c r="F148" s="31"/>
      <c r="G148" s="31"/>
    </row>
    <row r="149" spans="1:7" ht="26.25">
      <c r="A149" s="35" t="s">
        <v>188</v>
      </c>
      <c r="B149" s="29" t="s">
        <v>17</v>
      </c>
      <c r="C149" s="29" t="s">
        <v>123</v>
      </c>
      <c r="D149" s="36" t="s">
        <v>189</v>
      </c>
      <c r="E149" s="56"/>
      <c r="F149" s="31">
        <f>F150</f>
        <v>61025</v>
      </c>
      <c r="G149" s="31">
        <f>G150</f>
        <v>58525</v>
      </c>
    </row>
    <row r="150" spans="1:7" ht="15">
      <c r="A150" s="35" t="s">
        <v>190</v>
      </c>
      <c r="B150" s="29" t="s">
        <v>17</v>
      </c>
      <c r="C150" s="29" t="s">
        <v>123</v>
      </c>
      <c r="D150" s="36" t="s">
        <v>191</v>
      </c>
      <c r="E150" s="56"/>
      <c r="F150" s="31">
        <f>F151</f>
        <v>61025</v>
      </c>
      <c r="G150" s="31">
        <f>G151</f>
        <v>58525</v>
      </c>
    </row>
    <row r="151" spans="1:8" ht="15.75">
      <c r="A151" s="16" t="s">
        <v>144</v>
      </c>
      <c r="B151" s="29" t="s">
        <v>17</v>
      </c>
      <c r="C151" s="29" t="s">
        <v>123</v>
      </c>
      <c r="D151" s="36" t="s">
        <v>192</v>
      </c>
      <c r="E151" s="56"/>
      <c r="F151" s="31">
        <f>F152+F154+F153</f>
        <v>61025</v>
      </c>
      <c r="G151" s="31">
        <f>G152+G154+G153</f>
        <v>58525</v>
      </c>
      <c r="H151" s="24"/>
    </row>
    <row r="152" spans="1:7" ht="25.5" customHeight="1">
      <c r="A152" s="35" t="s">
        <v>38</v>
      </c>
      <c r="B152" s="29" t="s">
        <v>17</v>
      </c>
      <c r="C152" s="29" t="s">
        <v>123</v>
      </c>
      <c r="D152" s="36" t="s">
        <v>192</v>
      </c>
      <c r="E152" s="56" t="s">
        <v>39</v>
      </c>
      <c r="F152" s="31">
        <f>4983</f>
        <v>4983</v>
      </c>
      <c r="G152" s="31">
        <f>4983-2500</f>
        <v>2483</v>
      </c>
    </row>
    <row r="153" spans="1:7" ht="15" customHeight="1" hidden="1">
      <c r="A153" s="35" t="s">
        <v>193</v>
      </c>
      <c r="B153" s="29" t="s">
        <v>17</v>
      </c>
      <c r="C153" s="29" t="s">
        <v>123</v>
      </c>
      <c r="D153" s="36" t="s">
        <v>192</v>
      </c>
      <c r="E153" s="56" t="s">
        <v>194</v>
      </c>
      <c r="F153" s="31"/>
      <c r="G153" s="31"/>
    </row>
    <row r="154" spans="1:7" ht="15">
      <c r="A154" s="10" t="s">
        <v>84</v>
      </c>
      <c r="B154" s="29" t="s">
        <v>17</v>
      </c>
      <c r="C154" s="29" t="s">
        <v>123</v>
      </c>
      <c r="D154" s="36" t="s">
        <v>192</v>
      </c>
      <c r="E154" s="56" t="s">
        <v>85</v>
      </c>
      <c r="F154" s="31">
        <f>6042+50000</f>
        <v>56042</v>
      </c>
      <c r="G154" s="31">
        <f>6042+50000</f>
        <v>56042</v>
      </c>
    </row>
    <row r="155" spans="1:7" ht="15">
      <c r="A155" s="16" t="s">
        <v>86</v>
      </c>
      <c r="B155" s="57" t="s">
        <v>17</v>
      </c>
      <c r="C155" s="29" t="s">
        <v>123</v>
      </c>
      <c r="D155" s="47" t="s">
        <v>87</v>
      </c>
      <c r="E155" s="37"/>
      <c r="F155" s="31">
        <f>F162+F156</f>
        <v>9217159</v>
      </c>
      <c r="G155" s="31">
        <f>G162+G156</f>
        <v>9005438</v>
      </c>
    </row>
    <row r="156" spans="1:7" ht="25.5">
      <c r="A156" s="13" t="s">
        <v>88</v>
      </c>
      <c r="B156" s="57" t="s">
        <v>17</v>
      </c>
      <c r="C156" s="29" t="s">
        <v>123</v>
      </c>
      <c r="D156" s="47" t="s">
        <v>89</v>
      </c>
      <c r="E156" s="37"/>
      <c r="F156" s="31">
        <f>F157</f>
        <v>941000</v>
      </c>
      <c r="G156" s="31">
        <f>G157</f>
        <v>979000</v>
      </c>
    </row>
    <row r="157" spans="1:7" ht="26.25">
      <c r="A157" s="8" t="s">
        <v>195</v>
      </c>
      <c r="B157" s="57" t="s">
        <v>17</v>
      </c>
      <c r="C157" s="29" t="s">
        <v>123</v>
      </c>
      <c r="D157" s="47" t="s">
        <v>196</v>
      </c>
      <c r="E157" s="37"/>
      <c r="F157" s="31">
        <f>F158+F159</f>
        <v>941000</v>
      </c>
      <c r="G157" s="31">
        <f>G158+G159</f>
        <v>979000</v>
      </c>
    </row>
    <row r="158" spans="1:7" ht="39">
      <c r="A158" s="35" t="s">
        <v>26</v>
      </c>
      <c r="B158" s="57" t="s">
        <v>17</v>
      </c>
      <c r="C158" s="29" t="s">
        <v>123</v>
      </c>
      <c r="D158" s="47" t="s">
        <v>196</v>
      </c>
      <c r="E158" s="37" t="s">
        <v>27</v>
      </c>
      <c r="F158" s="31">
        <v>855178</v>
      </c>
      <c r="G158" s="31">
        <v>855178</v>
      </c>
    </row>
    <row r="159" spans="1:7" ht="25.5" customHeight="1">
      <c r="A159" s="35" t="s">
        <v>38</v>
      </c>
      <c r="B159" s="57" t="s">
        <v>17</v>
      </c>
      <c r="C159" s="29" t="s">
        <v>123</v>
      </c>
      <c r="D159" s="47" t="s">
        <v>196</v>
      </c>
      <c r="E159" s="37" t="s">
        <v>39</v>
      </c>
      <c r="F159" s="31">
        <v>85822</v>
      </c>
      <c r="G159" s="31">
        <v>123822</v>
      </c>
    </row>
    <row r="160" spans="1:7" ht="60" customHeight="1" hidden="1">
      <c r="A160" s="17" t="s">
        <v>197</v>
      </c>
      <c r="B160" s="57" t="s">
        <v>17</v>
      </c>
      <c r="C160" s="29" t="s">
        <v>123</v>
      </c>
      <c r="D160" s="47" t="s">
        <v>198</v>
      </c>
      <c r="E160" s="37"/>
      <c r="F160" s="31">
        <v>0</v>
      </c>
      <c r="G160" s="31">
        <v>0</v>
      </c>
    </row>
    <row r="161" spans="1:7" ht="26.25" customHeight="1" hidden="1">
      <c r="A161" s="35" t="s">
        <v>38</v>
      </c>
      <c r="B161" s="57" t="s">
        <v>17</v>
      </c>
      <c r="C161" s="29" t="s">
        <v>123</v>
      </c>
      <c r="D161" s="47" t="s">
        <v>198</v>
      </c>
      <c r="E161" s="37" t="s">
        <v>39</v>
      </c>
      <c r="F161" s="31"/>
      <c r="G161" s="31"/>
    </row>
    <row r="162" spans="1:7" ht="15">
      <c r="A162" s="16" t="s">
        <v>93</v>
      </c>
      <c r="B162" s="29" t="s">
        <v>17</v>
      </c>
      <c r="C162" s="29" t="s">
        <v>123</v>
      </c>
      <c r="D162" s="29" t="s">
        <v>94</v>
      </c>
      <c r="E162" s="30"/>
      <c r="F162" s="31">
        <f>F163+F169+F167</f>
        <v>8276159</v>
      </c>
      <c r="G162" s="31">
        <f>G163+G169+G167</f>
        <v>8026438</v>
      </c>
    </row>
    <row r="163" spans="1:7" ht="25.5">
      <c r="A163" s="10" t="s">
        <v>201</v>
      </c>
      <c r="B163" s="29" t="s">
        <v>17</v>
      </c>
      <c r="C163" s="29" t="s">
        <v>123</v>
      </c>
      <c r="D163" s="29" t="s">
        <v>202</v>
      </c>
      <c r="E163" s="30"/>
      <c r="F163" s="31">
        <f>F164+F165+F166</f>
        <v>8226159</v>
      </c>
      <c r="G163" s="31">
        <f>G164+G165+G166</f>
        <v>7976438</v>
      </c>
    </row>
    <row r="164" spans="1:7" ht="39">
      <c r="A164" s="35" t="s">
        <v>26</v>
      </c>
      <c r="B164" s="29" t="s">
        <v>17</v>
      </c>
      <c r="C164" s="29" t="s">
        <v>123</v>
      </c>
      <c r="D164" s="29" t="s">
        <v>202</v>
      </c>
      <c r="E164" s="37" t="s">
        <v>27</v>
      </c>
      <c r="F164" s="31">
        <f>8024000-1761973</f>
        <v>6262027</v>
      </c>
      <c r="G164" s="31">
        <f>8024000-1761973-249721</f>
        <v>6012306</v>
      </c>
    </row>
    <row r="165" spans="1:7" ht="26.25">
      <c r="A165" s="35" t="s">
        <v>38</v>
      </c>
      <c r="B165" s="29" t="s">
        <v>17</v>
      </c>
      <c r="C165" s="29" t="s">
        <v>123</v>
      </c>
      <c r="D165" s="29" t="s">
        <v>202</v>
      </c>
      <c r="E165" s="37" t="s">
        <v>39</v>
      </c>
      <c r="F165" s="31">
        <f>1999647-80000</f>
        <v>1919647</v>
      </c>
      <c r="G165" s="31">
        <f>1999647-80000</f>
        <v>1919647</v>
      </c>
    </row>
    <row r="166" spans="1:7" ht="18.75" customHeight="1">
      <c r="A166" s="10" t="s">
        <v>84</v>
      </c>
      <c r="B166" s="29" t="s">
        <v>17</v>
      </c>
      <c r="C166" s="29" t="s">
        <v>123</v>
      </c>
      <c r="D166" s="29" t="s">
        <v>202</v>
      </c>
      <c r="E166" s="37" t="s">
        <v>85</v>
      </c>
      <c r="F166" s="31">
        <v>44485</v>
      </c>
      <c r="G166" s="31">
        <v>44485</v>
      </c>
    </row>
    <row r="167" spans="1:7" ht="15" hidden="1">
      <c r="A167" s="16" t="s">
        <v>144</v>
      </c>
      <c r="B167" s="29" t="s">
        <v>17</v>
      </c>
      <c r="C167" s="29" t="s">
        <v>123</v>
      </c>
      <c r="D167" s="29" t="s">
        <v>203</v>
      </c>
      <c r="E167" s="37"/>
      <c r="F167" s="31">
        <f>F168</f>
        <v>0</v>
      </c>
      <c r="G167" s="31">
        <f>G168</f>
        <v>0</v>
      </c>
    </row>
    <row r="168" spans="1:7" ht="26.25" hidden="1">
      <c r="A168" s="35" t="s">
        <v>38</v>
      </c>
      <c r="B168" s="29" t="s">
        <v>17</v>
      </c>
      <c r="C168" s="29" t="s">
        <v>123</v>
      </c>
      <c r="D168" s="29" t="s">
        <v>203</v>
      </c>
      <c r="E168" s="37" t="s">
        <v>39</v>
      </c>
      <c r="F168" s="31"/>
      <c r="G168" s="31"/>
    </row>
    <row r="169" spans="1:7" ht="15">
      <c r="A169" s="53" t="s">
        <v>204</v>
      </c>
      <c r="B169" s="29" t="s">
        <v>17</v>
      </c>
      <c r="C169" s="29" t="s">
        <v>123</v>
      </c>
      <c r="D169" s="29" t="s">
        <v>205</v>
      </c>
      <c r="E169" s="37"/>
      <c r="F169" s="31">
        <f>F170</f>
        <v>50000</v>
      </c>
      <c r="G169" s="31">
        <f>G170</f>
        <v>50000</v>
      </c>
    </row>
    <row r="170" spans="1:7" ht="26.25">
      <c r="A170" s="35" t="s">
        <v>38</v>
      </c>
      <c r="B170" s="29" t="s">
        <v>17</v>
      </c>
      <c r="C170" s="29" t="s">
        <v>123</v>
      </c>
      <c r="D170" s="29" t="s">
        <v>205</v>
      </c>
      <c r="E170" s="37" t="s">
        <v>39</v>
      </c>
      <c r="F170" s="31">
        <v>50000</v>
      </c>
      <c r="G170" s="31">
        <v>50000</v>
      </c>
    </row>
    <row r="171" spans="1:7" ht="15" customHeight="1" hidden="1">
      <c r="A171" s="16" t="s">
        <v>206</v>
      </c>
      <c r="B171" s="57" t="s">
        <v>17</v>
      </c>
      <c r="C171" s="29" t="s">
        <v>123</v>
      </c>
      <c r="D171" s="47" t="s">
        <v>207</v>
      </c>
      <c r="E171" s="37"/>
      <c r="F171" s="31">
        <f aca="true" t="shared" si="12" ref="F171:G173">F172</f>
        <v>0</v>
      </c>
      <c r="G171" s="31">
        <f t="shared" si="12"/>
        <v>0</v>
      </c>
    </row>
    <row r="172" spans="1:7" ht="15" customHeight="1" hidden="1">
      <c r="A172" s="35" t="s">
        <v>114</v>
      </c>
      <c r="B172" s="57" t="s">
        <v>17</v>
      </c>
      <c r="C172" s="29" t="s">
        <v>123</v>
      </c>
      <c r="D172" s="47" t="s">
        <v>208</v>
      </c>
      <c r="E172" s="37"/>
      <c r="F172" s="31">
        <f t="shared" si="12"/>
        <v>0</v>
      </c>
      <c r="G172" s="31">
        <f t="shared" si="12"/>
        <v>0</v>
      </c>
    </row>
    <row r="173" spans="1:7" ht="15" customHeight="1" hidden="1">
      <c r="A173" s="35" t="s">
        <v>209</v>
      </c>
      <c r="B173" s="57" t="s">
        <v>17</v>
      </c>
      <c r="C173" s="29" t="s">
        <v>123</v>
      </c>
      <c r="D173" s="47" t="s">
        <v>210</v>
      </c>
      <c r="E173" s="37"/>
      <c r="F173" s="31">
        <f t="shared" si="12"/>
        <v>0</v>
      </c>
      <c r="G173" s="31">
        <f t="shared" si="12"/>
        <v>0</v>
      </c>
    </row>
    <row r="174" spans="1:7" ht="15" customHeight="1" hidden="1">
      <c r="A174" s="48" t="s">
        <v>211</v>
      </c>
      <c r="B174" s="57" t="s">
        <v>17</v>
      </c>
      <c r="C174" s="29" t="s">
        <v>123</v>
      </c>
      <c r="D174" s="47" t="s">
        <v>210</v>
      </c>
      <c r="E174" s="37" t="s">
        <v>212</v>
      </c>
      <c r="F174" s="31"/>
      <c r="G174" s="31"/>
    </row>
    <row r="175" spans="1:7" ht="15">
      <c r="A175" s="16" t="s">
        <v>213</v>
      </c>
      <c r="B175" s="29" t="s">
        <v>29</v>
      </c>
      <c r="C175" s="29" t="s">
        <v>214</v>
      </c>
      <c r="D175" s="47"/>
      <c r="E175" s="37"/>
      <c r="F175" s="31">
        <f aca="true" t="shared" si="13" ref="F175:G177">F176</f>
        <v>51000</v>
      </c>
      <c r="G175" s="31">
        <f t="shared" si="13"/>
        <v>0</v>
      </c>
    </row>
    <row r="176" spans="1:7" ht="25.5">
      <c r="A176" s="10" t="s">
        <v>215</v>
      </c>
      <c r="B176" s="29" t="s">
        <v>29</v>
      </c>
      <c r="C176" s="29" t="s">
        <v>216</v>
      </c>
      <c r="D176" s="47"/>
      <c r="E176" s="37"/>
      <c r="F176" s="31">
        <f t="shared" si="13"/>
        <v>51000</v>
      </c>
      <c r="G176" s="31">
        <f t="shared" si="13"/>
        <v>0</v>
      </c>
    </row>
    <row r="177" spans="1:7" ht="59.25" customHeight="1">
      <c r="A177" s="13" t="s">
        <v>217</v>
      </c>
      <c r="B177" s="29" t="s">
        <v>29</v>
      </c>
      <c r="C177" s="29" t="s">
        <v>216</v>
      </c>
      <c r="D177" s="58" t="s">
        <v>218</v>
      </c>
      <c r="E177" s="37"/>
      <c r="F177" s="31">
        <f t="shared" si="13"/>
        <v>51000</v>
      </c>
      <c r="G177" s="31">
        <f t="shared" si="13"/>
        <v>0</v>
      </c>
    </row>
    <row r="178" spans="1:7" s="42" customFormat="1" ht="81" customHeight="1">
      <c r="A178" s="51" t="s">
        <v>219</v>
      </c>
      <c r="B178" s="29" t="s">
        <v>29</v>
      </c>
      <c r="C178" s="29" t="s">
        <v>216</v>
      </c>
      <c r="D178" s="58" t="s">
        <v>220</v>
      </c>
      <c r="E178" s="40"/>
      <c r="F178" s="41">
        <f>F179+F182+F185+F188+F191</f>
        <v>51000</v>
      </c>
      <c r="G178" s="41">
        <f>G179+G182+G185+G188+G191</f>
        <v>0</v>
      </c>
    </row>
    <row r="179" spans="1:7" ht="25.5" customHeight="1" hidden="1">
      <c r="A179" s="51" t="s">
        <v>221</v>
      </c>
      <c r="B179" s="29" t="s">
        <v>29</v>
      </c>
      <c r="C179" s="29" t="s">
        <v>216</v>
      </c>
      <c r="D179" s="50" t="s">
        <v>222</v>
      </c>
      <c r="E179" s="37"/>
      <c r="F179" s="31">
        <f>F180</f>
        <v>0</v>
      </c>
      <c r="G179" s="31">
        <f>G180</f>
        <v>0</v>
      </c>
    </row>
    <row r="180" spans="1:7" ht="39" customHeight="1" hidden="1">
      <c r="A180" s="35" t="s">
        <v>223</v>
      </c>
      <c r="B180" s="29" t="s">
        <v>29</v>
      </c>
      <c r="C180" s="29" t="s">
        <v>216</v>
      </c>
      <c r="D180" s="50" t="s">
        <v>224</v>
      </c>
      <c r="E180" s="37"/>
      <c r="F180" s="31">
        <f>F181</f>
        <v>0</v>
      </c>
      <c r="G180" s="31">
        <f>G181</f>
        <v>0</v>
      </c>
    </row>
    <row r="181" spans="1:7" ht="26.25" customHeight="1" hidden="1">
      <c r="A181" s="35" t="s">
        <v>38</v>
      </c>
      <c r="B181" s="29" t="s">
        <v>29</v>
      </c>
      <c r="C181" s="29" t="s">
        <v>216</v>
      </c>
      <c r="D181" s="50" t="s">
        <v>224</v>
      </c>
      <c r="E181" s="37" t="s">
        <v>39</v>
      </c>
      <c r="F181" s="31"/>
      <c r="G181" s="31"/>
    </row>
    <row r="182" spans="1:7" ht="57" customHeight="1">
      <c r="A182" s="51" t="s">
        <v>225</v>
      </c>
      <c r="B182" s="29" t="s">
        <v>29</v>
      </c>
      <c r="C182" s="29" t="s">
        <v>216</v>
      </c>
      <c r="D182" s="50" t="s">
        <v>226</v>
      </c>
      <c r="E182" s="37"/>
      <c r="F182" s="31">
        <f>F183</f>
        <v>51000</v>
      </c>
      <c r="G182" s="31">
        <f>G183</f>
        <v>0</v>
      </c>
    </row>
    <row r="183" spans="1:7" ht="39">
      <c r="A183" s="35" t="s">
        <v>223</v>
      </c>
      <c r="B183" s="29" t="s">
        <v>29</v>
      </c>
      <c r="C183" s="29" t="s">
        <v>216</v>
      </c>
      <c r="D183" s="50" t="s">
        <v>227</v>
      </c>
      <c r="E183" s="37"/>
      <c r="F183" s="31">
        <f>F184</f>
        <v>51000</v>
      </c>
      <c r="G183" s="31">
        <f>G184</f>
        <v>0</v>
      </c>
    </row>
    <row r="184" spans="1:7" ht="24" customHeight="1">
      <c r="A184" s="35" t="s">
        <v>38</v>
      </c>
      <c r="B184" s="29" t="s">
        <v>29</v>
      </c>
      <c r="C184" s="29" t="s">
        <v>216</v>
      </c>
      <c r="D184" s="50" t="s">
        <v>227</v>
      </c>
      <c r="E184" s="37" t="s">
        <v>39</v>
      </c>
      <c r="F184" s="31">
        <v>51000</v>
      </c>
      <c r="G184" s="31"/>
    </row>
    <row r="185" spans="1:7" ht="38.25" customHeight="1" hidden="1">
      <c r="A185" s="51" t="s">
        <v>228</v>
      </c>
      <c r="B185" s="29" t="s">
        <v>29</v>
      </c>
      <c r="C185" s="29" t="s">
        <v>216</v>
      </c>
      <c r="D185" s="50" t="s">
        <v>229</v>
      </c>
      <c r="E185" s="37"/>
      <c r="F185" s="31">
        <f>F186</f>
        <v>0</v>
      </c>
      <c r="G185" s="31">
        <f>G186</f>
        <v>0</v>
      </c>
    </row>
    <row r="186" spans="1:7" ht="39" customHeight="1" hidden="1">
      <c r="A186" s="35" t="s">
        <v>223</v>
      </c>
      <c r="B186" s="29" t="s">
        <v>29</v>
      </c>
      <c r="C186" s="29" t="s">
        <v>216</v>
      </c>
      <c r="D186" s="50" t="s">
        <v>230</v>
      </c>
      <c r="E186" s="37"/>
      <c r="F186" s="31">
        <f>F187</f>
        <v>0</v>
      </c>
      <c r="G186" s="31">
        <f>G187</f>
        <v>0</v>
      </c>
    </row>
    <row r="187" spans="1:7" ht="26.25" customHeight="1" hidden="1">
      <c r="A187" s="35" t="s">
        <v>38</v>
      </c>
      <c r="B187" s="29" t="s">
        <v>29</v>
      </c>
      <c r="C187" s="29" t="s">
        <v>216</v>
      </c>
      <c r="D187" s="50" t="s">
        <v>230</v>
      </c>
      <c r="E187" s="37" t="s">
        <v>39</v>
      </c>
      <c r="F187" s="31"/>
      <c r="G187" s="31"/>
    </row>
    <row r="188" spans="1:7" ht="25.5" customHeight="1" hidden="1">
      <c r="A188" s="51" t="s">
        <v>231</v>
      </c>
      <c r="B188" s="29" t="s">
        <v>29</v>
      </c>
      <c r="C188" s="29" t="s">
        <v>216</v>
      </c>
      <c r="D188" s="50" t="s">
        <v>232</v>
      </c>
      <c r="E188" s="37"/>
      <c r="F188" s="31">
        <f>F189</f>
        <v>0</v>
      </c>
      <c r="G188" s="31">
        <f>G189</f>
        <v>0</v>
      </c>
    </row>
    <row r="189" spans="1:7" ht="39" customHeight="1" hidden="1">
      <c r="A189" s="35" t="s">
        <v>223</v>
      </c>
      <c r="B189" s="29" t="s">
        <v>29</v>
      </c>
      <c r="C189" s="29" t="s">
        <v>216</v>
      </c>
      <c r="D189" s="50" t="s">
        <v>233</v>
      </c>
      <c r="E189" s="37"/>
      <c r="F189" s="31">
        <f>F190</f>
        <v>0</v>
      </c>
      <c r="G189" s="31">
        <f>G190</f>
        <v>0</v>
      </c>
    </row>
    <row r="190" spans="1:7" ht="26.25" customHeight="1" hidden="1">
      <c r="A190" s="35" t="s">
        <v>38</v>
      </c>
      <c r="B190" s="29" t="s">
        <v>29</v>
      </c>
      <c r="C190" s="29" t="s">
        <v>216</v>
      </c>
      <c r="D190" s="50" t="s">
        <v>233</v>
      </c>
      <c r="E190" s="37" t="s">
        <v>39</v>
      </c>
      <c r="F190" s="31"/>
      <c r="G190" s="31"/>
    </row>
    <row r="191" spans="1:7" ht="2.25" customHeight="1" hidden="1">
      <c r="A191" s="59" t="s">
        <v>234</v>
      </c>
      <c r="B191" s="29" t="s">
        <v>29</v>
      </c>
      <c r="C191" s="29" t="s">
        <v>216</v>
      </c>
      <c r="D191" s="50" t="s">
        <v>235</v>
      </c>
      <c r="E191" s="37"/>
      <c r="F191" s="31">
        <f>F192</f>
        <v>0</v>
      </c>
      <c r="G191" s="31">
        <f>G192</f>
        <v>0</v>
      </c>
    </row>
    <row r="192" spans="1:7" ht="26.25" customHeight="1" hidden="1">
      <c r="A192" s="35" t="s">
        <v>236</v>
      </c>
      <c r="B192" s="29" t="s">
        <v>29</v>
      </c>
      <c r="C192" s="29" t="s">
        <v>216</v>
      </c>
      <c r="D192" s="50" t="s">
        <v>237</v>
      </c>
      <c r="E192" s="37"/>
      <c r="F192" s="31">
        <f>F193</f>
        <v>0</v>
      </c>
      <c r="G192" s="31">
        <f>G193</f>
        <v>0</v>
      </c>
    </row>
    <row r="193" spans="1:7" ht="26.25" customHeight="1" hidden="1">
      <c r="A193" s="35" t="s">
        <v>38</v>
      </c>
      <c r="B193" s="29" t="s">
        <v>29</v>
      </c>
      <c r="C193" s="29" t="s">
        <v>216</v>
      </c>
      <c r="D193" s="50" t="s">
        <v>237</v>
      </c>
      <c r="E193" s="37" t="s">
        <v>39</v>
      </c>
      <c r="F193" s="31"/>
      <c r="G193" s="31"/>
    </row>
    <row r="194" spans="1:7" ht="15">
      <c r="A194" s="16" t="s">
        <v>238</v>
      </c>
      <c r="B194" s="29" t="s">
        <v>42</v>
      </c>
      <c r="C194" s="29"/>
      <c r="D194" s="29"/>
      <c r="E194" s="30"/>
      <c r="F194" s="31">
        <f>F195+F201+F234</f>
        <v>8081660</v>
      </c>
      <c r="G194" s="31">
        <f>G195+G201+G234</f>
        <v>8882763</v>
      </c>
    </row>
    <row r="195" spans="1:7" ht="15">
      <c r="A195" s="16" t="s">
        <v>239</v>
      </c>
      <c r="B195" s="29" t="s">
        <v>42</v>
      </c>
      <c r="C195" s="29" t="s">
        <v>240</v>
      </c>
      <c r="D195" s="29"/>
      <c r="E195" s="30"/>
      <c r="F195" s="31">
        <f aca="true" t="shared" si="14" ref="F195:G198">F196</f>
        <v>1589000</v>
      </c>
      <c r="G195" s="31">
        <f t="shared" si="14"/>
        <v>1589000</v>
      </c>
    </row>
    <row r="196" spans="1:7" ht="51">
      <c r="A196" s="60" t="s">
        <v>157</v>
      </c>
      <c r="B196" s="29" t="s">
        <v>42</v>
      </c>
      <c r="C196" s="29" t="s">
        <v>240</v>
      </c>
      <c r="D196" s="50" t="s">
        <v>158</v>
      </c>
      <c r="E196" s="30"/>
      <c r="F196" s="31">
        <f t="shared" si="14"/>
        <v>1589000</v>
      </c>
      <c r="G196" s="31">
        <f t="shared" si="14"/>
        <v>1589000</v>
      </c>
    </row>
    <row r="197" spans="1:7" s="42" customFormat="1" ht="63.75">
      <c r="A197" s="61" t="s">
        <v>241</v>
      </c>
      <c r="B197" s="38" t="s">
        <v>42</v>
      </c>
      <c r="C197" s="38" t="s">
        <v>240</v>
      </c>
      <c r="D197" s="58" t="s">
        <v>242</v>
      </c>
      <c r="E197" s="45"/>
      <c r="F197" s="41">
        <f t="shared" si="14"/>
        <v>1589000</v>
      </c>
      <c r="G197" s="41">
        <f t="shared" si="14"/>
        <v>1589000</v>
      </c>
    </row>
    <row r="198" spans="1:7" ht="25.5">
      <c r="A198" s="10" t="s">
        <v>243</v>
      </c>
      <c r="B198" s="29" t="s">
        <v>42</v>
      </c>
      <c r="C198" s="29" t="s">
        <v>240</v>
      </c>
      <c r="D198" s="50" t="s">
        <v>244</v>
      </c>
      <c r="E198" s="30"/>
      <c r="F198" s="31">
        <f t="shared" si="14"/>
        <v>1589000</v>
      </c>
      <c r="G198" s="31">
        <f t="shared" si="14"/>
        <v>1589000</v>
      </c>
    </row>
    <row r="199" spans="1:7" ht="15">
      <c r="A199" s="16" t="s">
        <v>245</v>
      </c>
      <c r="B199" s="29" t="s">
        <v>42</v>
      </c>
      <c r="C199" s="29" t="s">
        <v>240</v>
      </c>
      <c r="D199" s="50" t="s">
        <v>246</v>
      </c>
      <c r="E199" s="30"/>
      <c r="F199" s="31">
        <f>F200</f>
        <v>1589000</v>
      </c>
      <c r="G199" s="31">
        <f>G200</f>
        <v>1589000</v>
      </c>
    </row>
    <row r="200" spans="1:7" ht="15">
      <c r="A200" s="35" t="s">
        <v>84</v>
      </c>
      <c r="B200" s="29" t="s">
        <v>42</v>
      </c>
      <c r="C200" s="29" t="s">
        <v>240</v>
      </c>
      <c r="D200" s="50" t="s">
        <v>246</v>
      </c>
      <c r="E200" s="30" t="s">
        <v>85</v>
      </c>
      <c r="F200" s="31">
        <v>1589000</v>
      </c>
      <c r="G200" s="31">
        <v>1589000</v>
      </c>
    </row>
    <row r="201" spans="1:9" ht="15">
      <c r="A201" s="16" t="s">
        <v>247</v>
      </c>
      <c r="B201" s="29" t="s">
        <v>42</v>
      </c>
      <c r="C201" s="29" t="s">
        <v>248</v>
      </c>
      <c r="D201" s="29"/>
      <c r="E201" s="30"/>
      <c r="F201" s="31">
        <f>F202</f>
        <v>5871660</v>
      </c>
      <c r="G201" s="31">
        <f>G202</f>
        <v>6016620</v>
      </c>
      <c r="I201" s="21"/>
    </row>
    <row r="202" spans="1:9" ht="51">
      <c r="A202" s="62" t="s">
        <v>157</v>
      </c>
      <c r="B202" s="29" t="s">
        <v>42</v>
      </c>
      <c r="C202" s="29" t="s">
        <v>248</v>
      </c>
      <c r="D202" s="50" t="s">
        <v>158</v>
      </c>
      <c r="E202" s="30"/>
      <c r="F202" s="31">
        <f>F203+F228</f>
        <v>5871660</v>
      </c>
      <c r="G202" s="31">
        <f>G203+G228</f>
        <v>6016620</v>
      </c>
      <c r="I202" s="21"/>
    </row>
    <row r="203" spans="1:9" ht="63.75">
      <c r="A203" s="63" t="s">
        <v>249</v>
      </c>
      <c r="B203" s="29" t="s">
        <v>42</v>
      </c>
      <c r="C203" s="29" t="s">
        <v>248</v>
      </c>
      <c r="D203" s="50" t="s">
        <v>250</v>
      </c>
      <c r="E203" s="30"/>
      <c r="F203" s="31">
        <f>F204+F221</f>
        <v>5871660</v>
      </c>
      <c r="G203" s="31">
        <f>G204+G221</f>
        <v>6016620</v>
      </c>
      <c r="I203" s="21"/>
    </row>
    <row r="204" spans="1:9" ht="25.5">
      <c r="A204" s="10" t="s">
        <v>251</v>
      </c>
      <c r="B204" s="29" t="s">
        <v>42</v>
      </c>
      <c r="C204" s="29" t="s">
        <v>248</v>
      </c>
      <c r="D204" s="50" t="s">
        <v>252</v>
      </c>
      <c r="E204" s="30"/>
      <c r="F204" s="31">
        <f>F205+F212+F219</f>
        <v>5128623</v>
      </c>
      <c r="G204" s="31">
        <f>G205+G212+G219</f>
        <v>6016620</v>
      </c>
      <c r="I204" s="21"/>
    </row>
    <row r="205" spans="1:9" ht="15" hidden="1">
      <c r="A205" s="35" t="s">
        <v>253</v>
      </c>
      <c r="B205" s="29" t="s">
        <v>42</v>
      </c>
      <c r="C205" s="29" t="s">
        <v>248</v>
      </c>
      <c r="D205" s="50" t="s">
        <v>254</v>
      </c>
      <c r="E205" s="30"/>
      <c r="F205" s="31">
        <f>F206+F208+F210</f>
        <v>0</v>
      </c>
      <c r="G205" s="31">
        <f>G206+G208+G210</f>
        <v>0</v>
      </c>
      <c r="I205" s="21"/>
    </row>
    <row r="206" spans="1:9" ht="25.5" hidden="1">
      <c r="A206" s="64" t="s">
        <v>642</v>
      </c>
      <c r="B206" s="29" t="s">
        <v>42</v>
      </c>
      <c r="C206" s="29" t="s">
        <v>248</v>
      </c>
      <c r="D206" s="50" t="s">
        <v>256</v>
      </c>
      <c r="E206" s="30"/>
      <c r="F206" s="31">
        <f>F207</f>
        <v>0</v>
      </c>
      <c r="G206" s="31">
        <f>G207</f>
        <v>0</v>
      </c>
      <c r="I206" s="21"/>
    </row>
    <row r="207" spans="1:9" ht="15" hidden="1">
      <c r="A207" s="35" t="s">
        <v>92</v>
      </c>
      <c r="B207" s="29" t="s">
        <v>42</v>
      </c>
      <c r="C207" s="29" t="s">
        <v>248</v>
      </c>
      <c r="D207" s="50" t="s">
        <v>256</v>
      </c>
      <c r="E207" s="30" t="s">
        <v>39</v>
      </c>
      <c r="F207" s="31"/>
      <c r="G207" s="31"/>
      <c r="I207" s="21"/>
    </row>
    <row r="208" spans="1:9" ht="25.5" hidden="1">
      <c r="A208" s="64" t="s">
        <v>643</v>
      </c>
      <c r="B208" s="29" t="s">
        <v>42</v>
      </c>
      <c r="C208" s="29" t="s">
        <v>248</v>
      </c>
      <c r="D208" s="50" t="s">
        <v>257</v>
      </c>
      <c r="E208" s="30"/>
      <c r="F208" s="31">
        <f>F209</f>
        <v>0</v>
      </c>
      <c r="G208" s="31">
        <f>G209</f>
        <v>0</v>
      </c>
      <c r="I208" s="21"/>
    </row>
    <row r="209" spans="1:9" ht="15" hidden="1">
      <c r="A209" s="35" t="s">
        <v>92</v>
      </c>
      <c r="B209" s="29" t="s">
        <v>42</v>
      </c>
      <c r="C209" s="29" t="s">
        <v>248</v>
      </c>
      <c r="D209" s="50" t="s">
        <v>257</v>
      </c>
      <c r="E209" s="30" t="s">
        <v>39</v>
      </c>
      <c r="F209" s="31"/>
      <c r="G209" s="31"/>
      <c r="I209" s="21"/>
    </row>
    <row r="210" spans="1:9" ht="25.5" hidden="1">
      <c r="A210" s="64" t="s">
        <v>644</v>
      </c>
      <c r="B210" s="29" t="s">
        <v>42</v>
      </c>
      <c r="C210" s="29" t="s">
        <v>248</v>
      </c>
      <c r="D210" s="50" t="s">
        <v>258</v>
      </c>
      <c r="E210" s="30"/>
      <c r="F210" s="31">
        <f>F211</f>
        <v>0</v>
      </c>
      <c r="G210" s="31">
        <f>G211</f>
        <v>0</v>
      </c>
      <c r="I210" s="21"/>
    </row>
    <row r="211" spans="1:9" ht="15" hidden="1">
      <c r="A211" s="35" t="s">
        <v>92</v>
      </c>
      <c r="B211" s="29" t="s">
        <v>42</v>
      </c>
      <c r="C211" s="29" t="s">
        <v>248</v>
      </c>
      <c r="D211" s="50" t="s">
        <v>258</v>
      </c>
      <c r="E211" s="30" t="s">
        <v>39</v>
      </c>
      <c r="F211" s="31"/>
      <c r="G211" s="31"/>
      <c r="I211" s="21"/>
    </row>
    <row r="212" spans="1:9" ht="15">
      <c r="A212" s="35" t="s">
        <v>259</v>
      </c>
      <c r="B212" s="29" t="s">
        <v>42</v>
      </c>
      <c r="C212" s="29" t="s">
        <v>248</v>
      </c>
      <c r="D212" s="50" t="s">
        <v>260</v>
      </c>
      <c r="E212" s="30"/>
      <c r="F212" s="31">
        <f>F213+F215+F217</f>
        <v>2835527</v>
      </c>
      <c r="G212" s="31">
        <f>G213+G215+G217</f>
        <v>0</v>
      </c>
      <c r="I212" s="21"/>
    </row>
    <row r="213" spans="1:9" ht="25.5">
      <c r="A213" s="64" t="s">
        <v>770</v>
      </c>
      <c r="B213" s="29" t="s">
        <v>42</v>
      </c>
      <c r="C213" s="29" t="s">
        <v>248</v>
      </c>
      <c r="D213" s="50" t="s">
        <v>261</v>
      </c>
      <c r="E213" s="30"/>
      <c r="F213" s="31">
        <f>F214</f>
        <v>2835527</v>
      </c>
      <c r="G213" s="31">
        <f>G214</f>
        <v>0</v>
      </c>
      <c r="I213" s="21"/>
    </row>
    <row r="214" spans="1:9" ht="15">
      <c r="A214" s="35" t="s">
        <v>92</v>
      </c>
      <c r="B214" s="29" t="s">
        <v>42</v>
      </c>
      <c r="C214" s="29" t="s">
        <v>248</v>
      </c>
      <c r="D214" s="50" t="s">
        <v>261</v>
      </c>
      <c r="E214" s="30" t="s">
        <v>39</v>
      </c>
      <c r="F214" s="31">
        <v>2835527</v>
      </c>
      <c r="G214" s="31"/>
      <c r="I214" s="21"/>
    </row>
    <row r="215" spans="1:9" ht="25.5" hidden="1">
      <c r="A215" s="64" t="s">
        <v>643</v>
      </c>
      <c r="B215" s="29" t="s">
        <v>42</v>
      </c>
      <c r="C215" s="29" t="s">
        <v>248</v>
      </c>
      <c r="D215" s="50" t="s">
        <v>262</v>
      </c>
      <c r="E215" s="30"/>
      <c r="F215" s="31">
        <f>F216</f>
        <v>0</v>
      </c>
      <c r="G215" s="31">
        <f>G216</f>
        <v>0</v>
      </c>
      <c r="I215" s="21"/>
    </row>
    <row r="216" spans="1:9" ht="15" hidden="1">
      <c r="A216" s="35" t="s">
        <v>92</v>
      </c>
      <c r="B216" s="29" t="s">
        <v>42</v>
      </c>
      <c r="C216" s="29" t="s">
        <v>248</v>
      </c>
      <c r="D216" s="50" t="s">
        <v>262</v>
      </c>
      <c r="E216" s="30" t="s">
        <v>39</v>
      </c>
      <c r="F216" s="65"/>
      <c r="G216" s="65"/>
      <c r="I216" s="21"/>
    </row>
    <row r="217" spans="1:9" ht="25.5" hidden="1">
      <c r="A217" s="64" t="s">
        <v>644</v>
      </c>
      <c r="B217" s="29" t="s">
        <v>42</v>
      </c>
      <c r="C217" s="29" t="s">
        <v>248</v>
      </c>
      <c r="D217" s="50" t="s">
        <v>263</v>
      </c>
      <c r="E217" s="30"/>
      <c r="F217" s="31">
        <f>F218</f>
        <v>0</v>
      </c>
      <c r="G217" s="31">
        <f>G218</f>
        <v>0</v>
      </c>
      <c r="I217" s="21"/>
    </row>
    <row r="218" spans="1:9" ht="15" hidden="1">
      <c r="A218" s="35" t="s">
        <v>92</v>
      </c>
      <c r="B218" s="29" t="s">
        <v>42</v>
      </c>
      <c r="C218" s="29" t="s">
        <v>248</v>
      </c>
      <c r="D218" s="50" t="s">
        <v>263</v>
      </c>
      <c r="E218" s="30" t="s">
        <v>39</v>
      </c>
      <c r="F218" s="31"/>
      <c r="G218" s="31"/>
      <c r="I218" s="21"/>
    </row>
    <row r="219" spans="1:9" ht="26.25">
      <c r="A219" s="35" t="s">
        <v>264</v>
      </c>
      <c r="B219" s="29" t="s">
        <v>42</v>
      </c>
      <c r="C219" s="29" t="s">
        <v>248</v>
      </c>
      <c r="D219" s="50" t="s">
        <v>265</v>
      </c>
      <c r="E219" s="30"/>
      <c r="F219" s="31">
        <f>F220</f>
        <v>2293096</v>
      </c>
      <c r="G219" s="31">
        <f>G220</f>
        <v>6016620</v>
      </c>
      <c r="I219" s="21"/>
    </row>
    <row r="220" spans="1:9" ht="16.5" customHeight="1">
      <c r="A220" s="35" t="s">
        <v>92</v>
      </c>
      <c r="B220" s="29" t="s">
        <v>42</v>
      </c>
      <c r="C220" s="29" t="s">
        <v>248</v>
      </c>
      <c r="D220" s="50" t="s">
        <v>265</v>
      </c>
      <c r="E220" s="30" t="s">
        <v>39</v>
      </c>
      <c r="F220" s="31">
        <f>5871660-743037-2835527</f>
        <v>2293096</v>
      </c>
      <c r="G220" s="31">
        <f>6016620</f>
        <v>6016620</v>
      </c>
      <c r="I220" s="21"/>
    </row>
    <row r="221" spans="1:9" ht="30.75" customHeight="1">
      <c r="A221" s="10" t="s">
        <v>267</v>
      </c>
      <c r="B221" s="29" t="s">
        <v>42</v>
      </c>
      <c r="C221" s="29" t="s">
        <v>248</v>
      </c>
      <c r="D221" s="50" t="s">
        <v>268</v>
      </c>
      <c r="E221" s="30"/>
      <c r="F221" s="31">
        <f>F222+F226+F224</f>
        <v>743037</v>
      </c>
      <c r="G221" s="31">
        <f>G222+G226+G224</f>
        <v>0</v>
      </c>
      <c r="I221" s="21"/>
    </row>
    <row r="222" spans="1:9" ht="26.25" hidden="1">
      <c r="A222" s="35" t="s">
        <v>269</v>
      </c>
      <c r="B222" s="29" t="s">
        <v>42</v>
      </c>
      <c r="C222" s="29" t="s">
        <v>248</v>
      </c>
      <c r="D222" s="50" t="s">
        <v>270</v>
      </c>
      <c r="E222" s="30"/>
      <c r="F222" s="31">
        <f>F223</f>
        <v>0</v>
      </c>
      <c r="G222" s="31">
        <f>G223</f>
        <v>0</v>
      </c>
      <c r="I222" s="21"/>
    </row>
    <row r="223" spans="1:9" ht="30" hidden="1">
      <c r="A223" s="66" t="s">
        <v>271</v>
      </c>
      <c r="B223" s="29" t="s">
        <v>42</v>
      </c>
      <c r="C223" s="29" t="s">
        <v>248</v>
      </c>
      <c r="D223" s="50" t="s">
        <v>270</v>
      </c>
      <c r="E223" s="30" t="s">
        <v>272</v>
      </c>
      <c r="F223" s="31"/>
      <c r="G223" s="31"/>
      <c r="I223" s="21"/>
    </row>
    <row r="224" spans="1:9" ht="25.5" hidden="1">
      <c r="A224" s="10" t="s">
        <v>273</v>
      </c>
      <c r="B224" s="29" t="s">
        <v>42</v>
      </c>
      <c r="C224" s="29" t="s">
        <v>248</v>
      </c>
      <c r="D224" s="50" t="s">
        <v>274</v>
      </c>
      <c r="E224" s="30"/>
      <c r="F224" s="31">
        <f>F225</f>
        <v>0</v>
      </c>
      <c r="G224" s="31">
        <f>G225</f>
        <v>0</v>
      </c>
      <c r="I224" s="21"/>
    </row>
    <row r="225" spans="1:9" ht="26.25" hidden="1">
      <c r="A225" s="16" t="s">
        <v>271</v>
      </c>
      <c r="B225" s="29" t="s">
        <v>42</v>
      </c>
      <c r="C225" s="29" t="s">
        <v>248</v>
      </c>
      <c r="D225" s="50" t="s">
        <v>274</v>
      </c>
      <c r="E225" s="30" t="s">
        <v>272</v>
      </c>
      <c r="F225" s="31">
        <f>36408803-36408803</f>
        <v>0</v>
      </c>
      <c r="G225" s="31"/>
      <c r="I225" s="21"/>
    </row>
    <row r="226" spans="1:9" ht="38.25">
      <c r="A226" s="10" t="s">
        <v>275</v>
      </c>
      <c r="B226" s="29" t="s">
        <v>42</v>
      </c>
      <c r="C226" s="29" t="s">
        <v>248</v>
      </c>
      <c r="D226" s="50" t="s">
        <v>276</v>
      </c>
      <c r="E226" s="30"/>
      <c r="F226" s="31">
        <f>F227</f>
        <v>743037</v>
      </c>
      <c r="G226" s="31">
        <f>G227</f>
        <v>0</v>
      </c>
      <c r="I226" s="21"/>
    </row>
    <row r="227" spans="1:9" ht="25.5" customHeight="1">
      <c r="A227" s="16" t="s">
        <v>271</v>
      </c>
      <c r="B227" s="29" t="s">
        <v>42</v>
      </c>
      <c r="C227" s="29" t="s">
        <v>248</v>
      </c>
      <c r="D227" s="50" t="s">
        <v>276</v>
      </c>
      <c r="E227" s="30" t="s">
        <v>272</v>
      </c>
      <c r="F227" s="31">
        <v>743037</v>
      </c>
      <c r="G227" s="31"/>
      <c r="I227" s="21"/>
    </row>
    <row r="228" spans="1:9" ht="63.75" hidden="1">
      <c r="A228" s="67" t="s">
        <v>159</v>
      </c>
      <c r="B228" s="29" t="s">
        <v>42</v>
      </c>
      <c r="C228" s="29" t="s">
        <v>248</v>
      </c>
      <c r="D228" s="50" t="s">
        <v>160</v>
      </c>
      <c r="E228" s="30"/>
      <c r="F228" s="31">
        <f>F229</f>
        <v>0</v>
      </c>
      <c r="G228" s="31">
        <f>G229</f>
        <v>0</v>
      </c>
      <c r="I228" s="21"/>
    </row>
    <row r="229" spans="1:9" ht="25.5" hidden="1">
      <c r="A229" s="55" t="s">
        <v>277</v>
      </c>
      <c r="B229" s="29" t="s">
        <v>42</v>
      </c>
      <c r="C229" s="29" t="s">
        <v>248</v>
      </c>
      <c r="D229" s="50" t="s">
        <v>278</v>
      </c>
      <c r="E229" s="30"/>
      <c r="F229" s="31">
        <f>F232+F230</f>
        <v>0</v>
      </c>
      <c r="G229" s="31">
        <f>G232+G230</f>
        <v>0</v>
      </c>
      <c r="I229" s="21"/>
    </row>
    <row r="230" spans="1:9" ht="25.5" hidden="1">
      <c r="A230" s="10" t="s">
        <v>163</v>
      </c>
      <c r="B230" s="29" t="s">
        <v>42</v>
      </c>
      <c r="C230" s="29" t="s">
        <v>248</v>
      </c>
      <c r="D230" s="50" t="s">
        <v>279</v>
      </c>
      <c r="E230" s="30"/>
      <c r="F230" s="31">
        <f>F231</f>
        <v>0</v>
      </c>
      <c r="G230" s="31">
        <f>G231</f>
        <v>0</v>
      </c>
      <c r="I230" s="21"/>
    </row>
    <row r="231" spans="1:9" ht="15" hidden="1">
      <c r="A231" s="35" t="s">
        <v>92</v>
      </c>
      <c r="B231" s="29" t="s">
        <v>42</v>
      </c>
      <c r="C231" s="29" t="s">
        <v>248</v>
      </c>
      <c r="D231" s="50" t="s">
        <v>279</v>
      </c>
      <c r="E231" s="30" t="s">
        <v>39</v>
      </c>
      <c r="F231" s="31"/>
      <c r="G231" s="31"/>
      <c r="I231" s="21"/>
    </row>
    <row r="232" spans="1:9" ht="15" hidden="1">
      <c r="A232" s="10" t="s">
        <v>280</v>
      </c>
      <c r="B232" s="29" t="s">
        <v>42</v>
      </c>
      <c r="C232" s="29" t="s">
        <v>248</v>
      </c>
      <c r="D232" s="50" t="s">
        <v>281</v>
      </c>
      <c r="E232" s="30"/>
      <c r="F232" s="31">
        <f>F233</f>
        <v>0</v>
      </c>
      <c r="G232" s="31">
        <f>G233</f>
        <v>0</v>
      </c>
      <c r="I232" s="21"/>
    </row>
    <row r="233" spans="1:9" ht="15" hidden="1">
      <c r="A233" s="35" t="s">
        <v>92</v>
      </c>
      <c r="B233" s="29" t="s">
        <v>42</v>
      </c>
      <c r="C233" s="29" t="s">
        <v>248</v>
      </c>
      <c r="D233" s="50" t="s">
        <v>281</v>
      </c>
      <c r="E233" s="30" t="s">
        <v>39</v>
      </c>
      <c r="F233" s="31"/>
      <c r="G233" s="31"/>
      <c r="I233" s="21"/>
    </row>
    <row r="234" spans="1:9" ht="18.75" customHeight="1">
      <c r="A234" s="16" t="s">
        <v>282</v>
      </c>
      <c r="B234" s="29" t="s">
        <v>42</v>
      </c>
      <c r="C234" s="29" t="s">
        <v>283</v>
      </c>
      <c r="D234" s="29"/>
      <c r="E234" s="30"/>
      <c r="F234" s="31">
        <f>F235+F247+F263+F242+F258</f>
        <v>621000</v>
      </c>
      <c r="G234" s="31">
        <f>G235+G247+G263+G242+G258</f>
        <v>1277143</v>
      </c>
      <c r="I234" s="21"/>
    </row>
    <row r="235" spans="1:9" ht="38.25">
      <c r="A235" s="52" t="s">
        <v>284</v>
      </c>
      <c r="B235" s="29" t="s">
        <v>42</v>
      </c>
      <c r="C235" s="29" t="s">
        <v>283</v>
      </c>
      <c r="D235" s="29" t="s">
        <v>285</v>
      </c>
      <c r="E235" s="30"/>
      <c r="F235" s="31">
        <f>F236</f>
        <v>100000</v>
      </c>
      <c r="G235" s="31">
        <f>G236</f>
        <v>100000</v>
      </c>
      <c r="I235" s="21"/>
    </row>
    <row r="236" spans="1:9" s="42" customFormat="1" ht="63.75">
      <c r="A236" s="68" t="s">
        <v>286</v>
      </c>
      <c r="B236" s="38" t="s">
        <v>42</v>
      </c>
      <c r="C236" s="38" t="s">
        <v>283</v>
      </c>
      <c r="D236" s="38" t="s">
        <v>287</v>
      </c>
      <c r="E236" s="45"/>
      <c r="F236" s="41">
        <f>F237</f>
        <v>100000</v>
      </c>
      <c r="G236" s="41">
        <f>G237</f>
        <v>100000</v>
      </c>
      <c r="I236" s="69"/>
    </row>
    <row r="237" spans="1:7" ht="36.75" customHeight="1">
      <c r="A237" s="10" t="s">
        <v>288</v>
      </c>
      <c r="B237" s="29" t="s">
        <v>42</v>
      </c>
      <c r="C237" s="29" t="s">
        <v>283</v>
      </c>
      <c r="D237" s="29" t="s">
        <v>289</v>
      </c>
      <c r="E237" s="30"/>
      <c r="F237" s="31">
        <f>F238+F240</f>
        <v>100000</v>
      </c>
      <c r="G237" s="31">
        <f>G238+G240</f>
        <v>100000</v>
      </c>
    </row>
    <row r="238" spans="1:7" ht="15" customHeight="1" hidden="1">
      <c r="A238" s="8" t="s">
        <v>290</v>
      </c>
      <c r="B238" s="29" t="s">
        <v>42</v>
      </c>
      <c r="C238" s="29" t="s">
        <v>283</v>
      </c>
      <c r="D238" s="29" t="s">
        <v>291</v>
      </c>
      <c r="E238" s="30"/>
      <c r="F238" s="31">
        <f>F239</f>
        <v>0</v>
      </c>
      <c r="G238" s="31">
        <f>G239</f>
        <v>0</v>
      </c>
    </row>
    <row r="239" spans="1:7" ht="26.25" customHeight="1" hidden="1">
      <c r="A239" s="35" t="s">
        <v>38</v>
      </c>
      <c r="B239" s="29" t="s">
        <v>42</v>
      </c>
      <c r="C239" s="29" t="s">
        <v>283</v>
      </c>
      <c r="D239" s="29" t="s">
        <v>291</v>
      </c>
      <c r="E239" s="30" t="s">
        <v>39</v>
      </c>
      <c r="F239" s="31"/>
      <c r="G239" s="31"/>
    </row>
    <row r="240" spans="1:7" ht="15">
      <c r="A240" s="8" t="s">
        <v>292</v>
      </c>
      <c r="B240" s="29" t="s">
        <v>42</v>
      </c>
      <c r="C240" s="29" t="s">
        <v>283</v>
      </c>
      <c r="D240" s="29" t="s">
        <v>293</v>
      </c>
      <c r="E240" s="30"/>
      <c r="F240" s="31">
        <f>F241</f>
        <v>100000</v>
      </c>
      <c r="G240" s="31">
        <f>G241</f>
        <v>100000</v>
      </c>
    </row>
    <row r="241" spans="1:7" ht="26.25">
      <c r="A241" s="35" t="s">
        <v>38</v>
      </c>
      <c r="B241" s="29" t="s">
        <v>42</v>
      </c>
      <c r="C241" s="29" t="s">
        <v>283</v>
      </c>
      <c r="D241" s="29" t="s">
        <v>293</v>
      </c>
      <c r="E241" s="30" t="s">
        <v>39</v>
      </c>
      <c r="F241" s="31">
        <v>100000</v>
      </c>
      <c r="G241" s="31">
        <v>100000</v>
      </c>
    </row>
    <row r="242" spans="1:7" ht="51.75" customHeight="1" hidden="1">
      <c r="A242" s="70" t="s">
        <v>294</v>
      </c>
      <c r="B242" s="29" t="s">
        <v>42</v>
      </c>
      <c r="C242" s="29" t="s">
        <v>283</v>
      </c>
      <c r="D242" s="57" t="s">
        <v>295</v>
      </c>
      <c r="E242" s="30"/>
      <c r="F242" s="31">
        <f aca="true" t="shared" si="15" ref="F242:G245">F243</f>
        <v>0</v>
      </c>
      <c r="G242" s="31">
        <f t="shared" si="15"/>
        <v>0</v>
      </c>
    </row>
    <row r="243" spans="1:7" ht="6" customHeight="1" hidden="1">
      <c r="A243" s="16" t="s">
        <v>296</v>
      </c>
      <c r="B243" s="29" t="s">
        <v>42</v>
      </c>
      <c r="C243" s="29" t="s">
        <v>283</v>
      </c>
      <c r="D243" s="57" t="s">
        <v>297</v>
      </c>
      <c r="E243" s="30"/>
      <c r="F243" s="31">
        <f t="shared" si="15"/>
        <v>0</v>
      </c>
      <c r="G243" s="31">
        <f t="shared" si="15"/>
        <v>0</v>
      </c>
    </row>
    <row r="244" spans="1:7" ht="25.5" customHeight="1" hidden="1">
      <c r="A244" s="10" t="s">
        <v>298</v>
      </c>
      <c r="B244" s="29" t="s">
        <v>42</v>
      </c>
      <c r="C244" s="29" t="s">
        <v>283</v>
      </c>
      <c r="D244" s="71" t="s">
        <v>299</v>
      </c>
      <c r="E244" s="30"/>
      <c r="F244" s="31">
        <f t="shared" si="15"/>
        <v>0</v>
      </c>
      <c r="G244" s="31">
        <f t="shared" si="15"/>
        <v>0</v>
      </c>
    </row>
    <row r="245" spans="1:7" ht="15" customHeight="1" hidden="1">
      <c r="A245" s="15" t="s">
        <v>300</v>
      </c>
      <c r="B245" s="29" t="s">
        <v>42</v>
      </c>
      <c r="C245" s="29" t="s">
        <v>283</v>
      </c>
      <c r="D245" s="57" t="s">
        <v>301</v>
      </c>
      <c r="E245" s="30"/>
      <c r="F245" s="31">
        <f t="shared" si="15"/>
        <v>0</v>
      </c>
      <c r="G245" s="31">
        <f t="shared" si="15"/>
        <v>0</v>
      </c>
    </row>
    <row r="246" spans="1:7" ht="15" customHeight="1" hidden="1">
      <c r="A246" s="35" t="s">
        <v>92</v>
      </c>
      <c r="B246" s="29" t="s">
        <v>42</v>
      </c>
      <c r="C246" s="29" t="s">
        <v>283</v>
      </c>
      <c r="D246" s="57" t="s">
        <v>301</v>
      </c>
      <c r="E246" s="30" t="s">
        <v>39</v>
      </c>
      <c r="F246" s="31"/>
      <c r="G246" s="31"/>
    </row>
    <row r="247" spans="1:8" ht="38.25">
      <c r="A247" s="52" t="s">
        <v>302</v>
      </c>
      <c r="B247" s="29" t="s">
        <v>42</v>
      </c>
      <c r="C247" s="29" t="s">
        <v>283</v>
      </c>
      <c r="D247" s="57" t="s">
        <v>303</v>
      </c>
      <c r="E247" s="30"/>
      <c r="F247" s="31">
        <f>F248</f>
        <v>501000</v>
      </c>
      <c r="G247" s="31">
        <f>G248</f>
        <v>1157143</v>
      </c>
      <c r="H247" s="21"/>
    </row>
    <row r="248" spans="1:7" s="42" customFormat="1" ht="63.75">
      <c r="A248" s="53" t="s">
        <v>304</v>
      </c>
      <c r="B248" s="38" t="s">
        <v>42</v>
      </c>
      <c r="C248" s="38" t="s">
        <v>283</v>
      </c>
      <c r="D248" s="72" t="s">
        <v>305</v>
      </c>
      <c r="E248" s="45"/>
      <c r="F248" s="41">
        <f>F249</f>
        <v>501000</v>
      </c>
      <c r="G248" s="41">
        <f>G249</f>
        <v>1157143</v>
      </c>
    </row>
    <row r="249" spans="1:7" ht="25.5">
      <c r="A249" s="10" t="s">
        <v>306</v>
      </c>
      <c r="B249" s="29" t="s">
        <v>42</v>
      </c>
      <c r="C249" s="29" t="s">
        <v>283</v>
      </c>
      <c r="D249" s="47" t="s">
        <v>307</v>
      </c>
      <c r="E249" s="37"/>
      <c r="F249" s="31">
        <f>F256+F250+F254+F252</f>
        <v>501000</v>
      </c>
      <c r="G249" s="31">
        <f>G256+G250+G254+G252</f>
        <v>1157143</v>
      </c>
    </row>
    <row r="250" spans="1:7" ht="63.75">
      <c r="A250" s="10" t="s">
        <v>308</v>
      </c>
      <c r="B250" s="29" t="s">
        <v>42</v>
      </c>
      <c r="C250" s="29" t="s">
        <v>283</v>
      </c>
      <c r="D250" s="47" t="s">
        <v>309</v>
      </c>
      <c r="E250" s="37"/>
      <c r="F250" s="31">
        <f>F251</f>
        <v>350700</v>
      </c>
      <c r="G250" s="31">
        <f>G251</f>
        <v>810000</v>
      </c>
    </row>
    <row r="251" spans="1:7" ht="25.5" customHeight="1">
      <c r="A251" s="35" t="s">
        <v>38</v>
      </c>
      <c r="B251" s="29" t="s">
        <v>42</v>
      </c>
      <c r="C251" s="29" t="s">
        <v>283</v>
      </c>
      <c r="D251" s="47" t="s">
        <v>309</v>
      </c>
      <c r="E251" s="37" t="s">
        <v>39</v>
      </c>
      <c r="F251" s="31">
        <v>350700</v>
      </c>
      <c r="G251" s="31">
        <v>810000</v>
      </c>
    </row>
    <row r="252" spans="1:7" ht="26.25" hidden="1">
      <c r="A252" s="35" t="s">
        <v>310</v>
      </c>
      <c r="B252" s="29" t="s">
        <v>42</v>
      </c>
      <c r="C252" s="29" t="s">
        <v>283</v>
      </c>
      <c r="D252" s="47" t="s">
        <v>311</v>
      </c>
      <c r="E252" s="37"/>
      <c r="F252" s="31">
        <f>F253</f>
        <v>0</v>
      </c>
      <c r="G252" s="31">
        <f>G253</f>
        <v>0</v>
      </c>
    </row>
    <row r="253" spans="1:7" ht="26.25" hidden="1">
      <c r="A253" s="35" t="s">
        <v>38</v>
      </c>
      <c r="B253" s="29" t="s">
        <v>42</v>
      </c>
      <c r="C253" s="29" t="s">
        <v>283</v>
      </c>
      <c r="D253" s="47" t="s">
        <v>311</v>
      </c>
      <c r="E253" s="37" t="s">
        <v>39</v>
      </c>
      <c r="F253" s="31"/>
      <c r="G253" s="31"/>
    </row>
    <row r="254" spans="1:7" ht="30.75" customHeight="1">
      <c r="A254" s="10" t="s">
        <v>312</v>
      </c>
      <c r="B254" s="29" t="s">
        <v>42</v>
      </c>
      <c r="C254" s="29" t="s">
        <v>283</v>
      </c>
      <c r="D254" s="47" t="s">
        <v>313</v>
      </c>
      <c r="E254" s="37"/>
      <c r="F254" s="31">
        <f>F255</f>
        <v>150300</v>
      </c>
      <c r="G254" s="31">
        <f>G255</f>
        <v>347143</v>
      </c>
    </row>
    <row r="255" spans="1:7" ht="26.25">
      <c r="A255" s="35" t="s">
        <v>38</v>
      </c>
      <c r="B255" s="29" t="s">
        <v>42</v>
      </c>
      <c r="C255" s="29" t="s">
        <v>283</v>
      </c>
      <c r="D255" s="47" t="s">
        <v>313</v>
      </c>
      <c r="E255" s="37" t="s">
        <v>39</v>
      </c>
      <c r="F255" s="31">
        <v>150300</v>
      </c>
      <c r="G255" s="31">
        <v>347143</v>
      </c>
    </row>
    <row r="256" spans="1:7" ht="39" customHeight="1" hidden="1">
      <c r="A256" s="73" t="s">
        <v>645</v>
      </c>
      <c r="B256" s="29" t="s">
        <v>42</v>
      </c>
      <c r="C256" s="29" t="s">
        <v>283</v>
      </c>
      <c r="D256" s="47" t="s">
        <v>646</v>
      </c>
      <c r="E256" s="37"/>
      <c r="F256" s="31">
        <f>F257</f>
        <v>0</v>
      </c>
      <c r="G256" s="31">
        <f>G257</f>
        <v>0</v>
      </c>
    </row>
    <row r="257" spans="1:7" ht="15" customHeight="1" hidden="1">
      <c r="A257" s="73" t="s">
        <v>193</v>
      </c>
      <c r="B257" s="29" t="s">
        <v>42</v>
      </c>
      <c r="C257" s="29" t="s">
        <v>283</v>
      </c>
      <c r="D257" s="47" t="s">
        <v>646</v>
      </c>
      <c r="E257" s="37" t="s">
        <v>194</v>
      </c>
      <c r="F257" s="31"/>
      <c r="G257" s="31"/>
    </row>
    <row r="258" spans="1:7" ht="51" customHeight="1" hidden="1">
      <c r="A258" s="62" t="s">
        <v>157</v>
      </c>
      <c r="B258" s="29" t="s">
        <v>42</v>
      </c>
      <c r="C258" s="29" t="s">
        <v>283</v>
      </c>
      <c r="D258" s="47" t="s">
        <v>158</v>
      </c>
      <c r="E258" s="37"/>
      <c r="F258" s="31">
        <f aca="true" t="shared" si="16" ref="F258:G261">F259</f>
        <v>0</v>
      </c>
      <c r="G258" s="31">
        <f t="shared" si="16"/>
        <v>0</v>
      </c>
    </row>
    <row r="259" spans="1:7" ht="63.75" customHeight="1" hidden="1">
      <c r="A259" s="67" t="s">
        <v>159</v>
      </c>
      <c r="B259" s="29" t="s">
        <v>42</v>
      </c>
      <c r="C259" s="29" t="s">
        <v>283</v>
      </c>
      <c r="D259" s="58" t="s">
        <v>160</v>
      </c>
      <c r="E259" s="30"/>
      <c r="F259" s="31">
        <f t="shared" si="16"/>
        <v>0</v>
      </c>
      <c r="G259" s="31">
        <f t="shared" si="16"/>
        <v>0</v>
      </c>
    </row>
    <row r="260" spans="1:7" ht="25.5" customHeight="1" hidden="1">
      <c r="A260" s="55" t="s">
        <v>277</v>
      </c>
      <c r="B260" s="29" t="s">
        <v>42</v>
      </c>
      <c r="C260" s="29" t="s">
        <v>283</v>
      </c>
      <c r="D260" s="50" t="s">
        <v>278</v>
      </c>
      <c r="E260" s="30"/>
      <c r="F260" s="31">
        <f t="shared" si="16"/>
        <v>0</v>
      </c>
      <c r="G260" s="31">
        <f t="shared" si="16"/>
        <v>0</v>
      </c>
    </row>
    <row r="261" spans="1:7" ht="15" customHeight="1" hidden="1">
      <c r="A261" s="10" t="s">
        <v>280</v>
      </c>
      <c r="B261" s="29" t="s">
        <v>42</v>
      </c>
      <c r="C261" s="29" t="s">
        <v>283</v>
      </c>
      <c r="D261" s="50" t="s">
        <v>281</v>
      </c>
      <c r="E261" s="30"/>
      <c r="F261" s="31">
        <f t="shared" si="16"/>
        <v>0</v>
      </c>
      <c r="G261" s="31">
        <f t="shared" si="16"/>
        <v>0</v>
      </c>
    </row>
    <row r="262" spans="1:7" ht="15" customHeight="1" hidden="1">
      <c r="A262" s="35" t="s">
        <v>92</v>
      </c>
      <c r="B262" s="29" t="s">
        <v>42</v>
      </c>
      <c r="C262" s="29" t="s">
        <v>283</v>
      </c>
      <c r="D262" s="50" t="s">
        <v>281</v>
      </c>
      <c r="E262" s="30" t="s">
        <v>39</v>
      </c>
      <c r="F262" s="31"/>
      <c r="G262" s="31"/>
    </row>
    <row r="263" spans="1:7" ht="38.25">
      <c r="A263" s="63" t="s">
        <v>315</v>
      </c>
      <c r="B263" s="29" t="s">
        <v>42</v>
      </c>
      <c r="C263" s="29" t="s">
        <v>283</v>
      </c>
      <c r="D263" s="29" t="s">
        <v>316</v>
      </c>
      <c r="E263" s="37"/>
      <c r="F263" s="31">
        <f>F264+F268</f>
        <v>20000</v>
      </c>
      <c r="G263" s="31">
        <f>G264+G268</f>
        <v>20000</v>
      </c>
    </row>
    <row r="264" spans="1:7" s="42" customFormat="1" ht="63.75">
      <c r="A264" s="74" t="s">
        <v>317</v>
      </c>
      <c r="B264" s="29" t="s">
        <v>42</v>
      </c>
      <c r="C264" s="29" t="s">
        <v>283</v>
      </c>
      <c r="D264" s="29" t="s">
        <v>318</v>
      </c>
      <c r="E264" s="37"/>
      <c r="F264" s="31">
        <f aca="true" t="shared" si="17" ref="F264:G266">F265</f>
        <v>20000</v>
      </c>
      <c r="G264" s="31">
        <f t="shared" si="17"/>
        <v>20000</v>
      </c>
    </row>
    <row r="265" spans="1:7" ht="25.5">
      <c r="A265" s="13" t="s">
        <v>319</v>
      </c>
      <c r="B265" s="29" t="s">
        <v>42</v>
      </c>
      <c r="C265" s="29" t="s">
        <v>283</v>
      </c>
      <c r="D265" s="29" t="s">
        <v>320</v>
      </c>
      <c r="E265" s="37"/>
      <c r="F265" s="31">
        <f t="shared" si="17"/>
        <v>20000</v>
      </c>
      <c r="G265" s="31">
        <f t="shared" si="17"/>
        <v>20000</v>
      </c>
    </row>
    <row r="266" spans="1:7" ht="26.25">
      <c r="A266" s="8" t="s">
        <v>321</v>
      </c>
      <c r="B266" s="29" t="s">
        <v>42</v>
      </c>
      <c r="C266" s="29" t="s">
        <v>283</v>
      </c>
      <c r="D266" s="29" t="s">
        <v>322</v>
      </c>
      <c r="E266" s="37"/>
      <c r="F266" s="31">
        <f t="shared" si="17"/>
        <v>20000</v>
      </c>
      <c r="G266" s="31">
        <f t="shared" si="17"/>
        <v>20000</v>
      </c>
    </row>
    <row r="267" spans="1:7" ht="24.75" customHeight="1">
      <c r="A267" s="35" t="s">
        <v>38</v>
      </c>
      <c r="B267" s="29" t="s">
        <v>42</v>
      </c>
      <c r="C267" s="29" t="s">
        <v>283</v>
      </c>
      <c r="D267" s="29" t="s">
        <v>322</v>
      </c>
      <c r="E267" s="37" t="s">
        <v>39</v>
      </c>
      <c r="F267" s="31">
        <v>20000</v>
      </c>
      <c r="G267" s="31">
        <v>20000</v>
      </c>
    </row>
    <row r="268" spans="1:7" ht="51" hidden="1">
      <c r="A268" s="13" t="s">
        <v>323</v>
      </c>
      <c r="B268" s="29" t="s">
        <v>42</v>
      </c>
      <c r="C268" s="29" t="s">
        <v>283</v>
      </c>
      <c r="D268" s="29" t="s">
        <v>324</v>
      </c>
      <c r="E268" s="37"/>
      <c r="F268" s="31">
        <f aca="true" t="shared" si="18" ref="F268:G270">F269</f>
        <v>0</v>
      </c>
      <c r="G268" s="31">
        <f t="shared" si="18"/>
        <v>0</v>
      </c>
    </row>
    <row r="269" spans="1:7" ht="38.25" hidden="1">
      <c r="A269" s="13" t="s">
        <v>325</v>
      </c>
      <c r="B269" s="29" t="s">
        <v>42</v>
      </c>
      <c r="C269" s="29" t="s">
        <v>283</v>
      </c>
      <c r="D269" s="29" t="s">
        <v>326</v>
      </c>
      <c r="E269" s="37"/>
      <c r="F269" s="31">
        <f t="shared" si="18"/>
        <v>0</v>
      </c>
      <c r="G269" s="31">
        <f t="shared" si="18"/>
        <v>0</v>
      </c>
    </row>
    <row r="270" spans="1:7" ht="26.25" hidden="1">
      <c r="A270" s="35" t="s">
        <v>327</v>
      </c>
      <c r="B270" s="29" t="s">
        <v>42</v>
      </c>
      <c r="C270" s="29" t="s">
        <v>283</v>
      </c>
      <c r="D270" s="29" t="s">
        <v>328</v>
      </c>
      <c r="E270" s="37"/>
      <c r="F270" s="31">
        <f t="shared" si="18"/>
        <v>0</v>
      </c>
      <c r="G270" s="31">
        <f t="shared" si="18"/>
        <v>0</v>
      </c>
    </row>
    <row r="271" spans="1:7" ht="15" hidden="1">
      <c r="A271" s="35" t="s">
        <v>84</v>
      </c>
      <c r="B271" s="29" t="s">
        <v>42</v>
      </c>
      <c r="C271" s="29" t="s">
        <v>283</v>
      </c>
      <c r="D271" s="29" t="s">
        <v>328</v>
      </c>
      <c r="E271" s="37" t="s">
        <v>85</v>
      </c>
      <c r="F271" s="31"/>
      <c r="G271" s="31"/>
    </row>
    <row r="272" spans="1:7" ht="18.75" customHeight="1" hidden="1">
      <c r="A272" s="35" t="s">
        <v>329</v>
      </c>
      <c r="B272" s="29" t="s">
        <v>98</v>
      </c>
      <c r="C272" s="29"/>
      <c r="D272" s="29"/>
      <c r="E272" s="37"/>
      <c r="F272" s="31">
        <f>F282+F273</f>
        <v>0</v>
      </c>
      <c r="G272" s="31">
        <f>G282+G273</f>
        <v>0</v>
      </c>
    </row>
    <row r="273" spans="1:7" ht="0.75" customHeight="1" hidden="1">
      <c r="A273" s="35" t="s">
        <v>330</v>
      </c>
      <c r="B273" s="29" t="s">
        <v>98</v>
      </c>
      <c r="C273" s="29" t="s">
        <v>17</v>
      </c>
      <c r="D273" s="29"/>
      <c r="E273" s="37"/>
      <c r="F273" s="31">
        <f aca="true" t="shared" si="19" ref="F273:G275">F274</f>
        <v>0</v>
      </c>
      <c r="G273" s="31">
        <f t="shared" si="19"/>
        <v>0</v>
      </c>
    </row>
    <row r="274" spans="1:7" ht="39" customHeight="1" hidden="1">
      <c r="A274" s="35" t="s">
        <v>331</v>
      </c>
      <c r="B274" s="29" t="s">
        <v>98</v>
      </c>
      <c r="C274" s="29" t="s">
        <v>17</v>
      </c>
      <c r="D274" s="29" t="s">
        <v>303</v>
      </c>
      <c r="E274" s="37"/>
      <c r="F274" s="31">
        <f t="shared" si="19"/>
        <v>0</v>
      </c>
      <c r="G274" s="31">
        <f t="shared" si="19"/>
        <v>0</v>
      </c>
    </row>
    <row r="275" spans="1:7" ht="64.5" customHeight="1" hidden="1">
      <c r="A275" s="35" t="s">
        <v>332</v>
      </c>
      <c r="B275" s="29" t="s">
        <v>98</v>
      </c>
      <c r="C275" s="29" t="s">
        <v>17</v>
      </c>
      <c r="D275" s="29" t="s">
        <v>305</v>
      </c>
      <c r="E275" s="37"/>
      <c r="F275" s="31">
        <f t="shared" si="19"/>
        <v>0</v>
      </c>
      <c r="G275" s="31">
        <f t="shared" si="19"/>
        <v>0</v>
      </c>
    </row>
    <row r="276" spans="1:7" ht="64.5" customHeight="1" hidden="1">
      <c r="A276" s="35" t="s">
        <v>647</v>
      </c>
      <c r="B276" s="29" t="s">
        <v>98</v>
      </c>
      <c r="C276" s="29" t="s">
        <v>17</v>
      </c>
      <c r="D276" s="29" t="s">
        <v>648</v>
      </c>
      <c r="E276" s="37"/>
      <c r="F276" s="31">
        <f>F277+F279</f>
        <v>0</v>
      </c>
      <c r="G276" s="31">
        <f>G277+G279</f>
        <v>0</v>
      </c>
    </row>
    <row r="277" spans="1:7" ht="26.25" customHeight="1" hidden="1">
      <c r="A277" s="35" t="s">
        <v>649</v>
      </c>
      <c r="B277" s="29" t="s">
        <v>98</v>
      </c>
      <c r="C277" s="29" t="s">
        <v>17</v>
      </c>
      <c r="D277" s="29" t="s">
        <v>650</v>
      </c>
      <c r="E277" s="37"/>
      <c r="F277" s="31">
        <f>F278</f>
        <v>0</v>
      </c>
      <c r="G277" s="31">
        <f>G278</f>
        <v>0</v>
      </c>
    </row>
    <row r="278" spans="1:7" ht="15" customHeight="1" hidden="1">
      <c r="A278" s="73" t="s">
        <v>193</v>
      </c>
      <c r="B278" s="29" t="s">
        <v>98</v>
      </c>
      <c r="C278" s="29" t="s">
        <v>17</v>
      </c>
      <c r="D278" s="29" t="s">
        <v>650</v>
      </c>
      <c r="E278" s="37" t="s">
        <v>194</v>
      </c>
      <c r="F278" s="31"/>
      <c r="G278" s="31"/>
    </row>
    <row r="279" spans="1:7" ht="26.25" customHeight="1" hidden="1">
      <c r="A279" s="73" t="s">
        <v>651</v>
      </c>
      <c r="B279" s="29" t="s">
        <v>98</v>
      </c>
      <c r="C279" s="29" t="s">
        <v>17</v>
      </c>
      <c r="D279" s="29" t="s">
        <v>652</v>
      </c>
      <c r="E279" s="37"/>
      <c r="F279" s="31">
        <f>F281+F280</f>
        <v>0</v>
      </c>
      <c r="G279" s="31">
        <f>G281+G280</f>
        <v>0</v>
      </c>
    </row>
    <row r="280" spans="1:7" ht="26.25" customHeight="1" hidden="1">
      <c r="A280" s="35" t="s">
        <v>38</v>
      </c>
      <c r="B280" s="29" t="s">
        <v>98</v>
      </c>
      <c r="C280" s="29" t="s">
        <v>17</v>
      </c>
      <c r="D280" s="29" t="s">
        <v>652</v>
      </c>
      <c r="E280" s="37" t="s">
        <v>39</v>
      </c>
      <c r="F280" s="31"/>
      <c r="G280" s="31"/>
    </row>
    <row r="281" spans="1:7" ht="26.25" customHeight="1" hidden="1">
      <c r="A281" s="73" t="s">
        <v>271</v>
      </c>
      <c r="B281" s="29" t="s">
        <v>98</v>
      </c>
      <c r="C281" s="29" t="s">
        <v>17</v>
      </c>
      <c r="D281" s="29" t="s">
        <v>652</v>
      </c>
      <c r="E281" s="37" t="s">
        <v>272</v>
      </c>
      <c r="F281" s="31"/>
      <c r="G281" s="31"/>
    </row>
    <row r="282" spans="1:7" ht="14.25" customHeight="1" hidden="1">
      <c r="A282" s="35" t="s">
        <v>340</v>
      </c>
      <c r="B282" s="29" t="s">
        <v>98</v>
      </c>
      <c r="C282" s="29" t="s">
        <v>19</v>
      </c>
      <c r="D282" s="29"/>
      <c r="E282" s="37"/>
      <c r="F282" s="31">
        <f>F283+F295</f>
        <v>0</v>
      </c>
      <c r="G282" s="31">
        <f>G283+G295</f>
        <v>0</v>
      </c>
    </row>
    <row r="283" spans="1:8" ht="39" customHeight="1" hidden="1">
      <c r="A283" s="15" t="s">
        <v>341</v>
      </c>
      <c r="B283" s="29" t="s">
        <v>98</v>
      </c>
      <c r="C283" s="29" t="s">
        <v>19</v>
      </c>
      <c r="D283" s="50" t="s">
        <v>342</v>
      </c>
      <c r="E283" s="37"/>
      <c r="F283" s="31">
        <f>F284</f>
        <v>0</v>
      </c>
      <c r="G283" s="31">
        <f>G284</f>
        <v>0</v>
      </c>
      <c r="H283" s="21"/>
    </row>
    <row r="284" spans="1:7" s="42" customFormat="1" ht="51.75" customHeight="1" hidden="1">
      <c r="A284" s="77" t="s">
        <v>343</v>
      </c>
      <c r="B284" s="38" t="s">
        <v>98</v>
      </c>
      <c r="C284" s="38" t="s">
        <v>19</v>
      </c>
      <c r="D284" s="50" t="s">
        <v>344</v>
      </c>
      <c r="E284" s="40"/>
      <c r="F284" s="41">
        <f>F285</f>
        <v>0</v>
      </c>
      <c r="G284" s="41">
        <f>G285</f>
        <v>0</v>
      </c>
    </row>
    <row r="285" spans="1:7" ht="25.5" customHeight="1" hidden="1">
      <c r="A285" s="10" t="s">
        <v>345</v>
      </c>
      <c r="B285" s="29" t="s">
        <v>98</v>
      </c>
      <c r="C285" s="29" t="s">
        <v>19</v>
      </c>
      <c r="D285" s="50" t="s">
        <v>344</v>
      </c>
      <c r="E285" s="37"/>
      <c r="F285" s="31">
        <f>F286+F289+F292</f>
        <v>0</v>
      </c>
      <c r="G285" s="31">
        <f>G286+G289+G292</f>
        <v>0</v>
      </c>
    </row>
    <row r="286" spans="1:7" ht="22.5" customHeight="1" hidden="1">
      <c r="A286" s="51" t="s">
        <v>346</v>
      </c>
      <c r="B286" s="29" t="s">
        <v>98</v>
      </c>
      <c r="C286" s="29" t="s">
        <v>19</v>
      </c>
      <c r="D286" s="50" t="s">
        <v>347</v>
      </c>
      <c r="E286" s="37"/>
      <c r="F286" s="31">
        <f>F287+F288</f>
        <v>0</v>
      </c>
      <c r="G286" s="31">
        <f>G287+G288</f>
        <v>0</v>
      </c>
    </row>
    <row r="287" spans="1:7" ht="26.25" customHeight="1" hidden="1">
      <c r="A287" s="16" t="s">
        <v>271</v>
      </c>
      <c r="B287" s="29" t="s">
        <v>98</v>
      </c>
      <c r="C287" s="29" t="s">
        <v>19</v>
      </c>
      <c r="D287" s="50" t="s">
        <v>347</v>
      </c>
      <c r="E287" s="37" t="s">
        <v>272</v>
      </c>
      <c r="F287" s="31"/>
      <c r="G287" s="31"/>
    </row>
    <row r="288" spans="1:7" ht="15" customHeight="1" hidden="1">
      <c r="A288" s="73" t="s">
        <v>193</v>
      </c>
      <c r="B288" s="29" t="s">
        <v>98</v>
      </c>
      <c r="C288" s="29" t="s">
        <v>19</v>
      </c>
      <c r="D288" s="50" t="s">
        <v>347</v>
      </c>
      <c r="E288" s="37" t="s">
        <v>194</v>
      </c>
      <c r="F288" s="31"/>
      <c r="G288" s="31"/>
    </row>
    <row r="289" spans="1:7" ht="38.25" customHeight="1" hidden="1">
      <c r="A289" s="51" t="s">
        <v>348</v>
      </c>
      <c r="B289" s="29" t="s">
        <v>98</v>
      </c>
      <c r="C289" s="29" t="s">
        <v>19</v>
      </c>
      <c r="D289" s="50" t="s">
        <v>349</v>
      </c>
      <c r="E289" s="37"/>
      <c r="F289" s="31">
        <f>F290+F291</f>
        <v>0</v>
      </c>
      <c r="G289" s="31">
        <f>G290+G291</f>
        <v>0</v>
      </c>
    </row>
    <row r="290" spans="1:7" ht="26.25" customHeight="1" hidden="1">
      <c r="A290" s="16" t="s">
        <v>271</v>
      </c>
      <c r="B290" s="29" t="s">
        <v>98</v>
      </c>
      <c r="C290" s="29" t="s">
        <v>19</v>
      </c>
      <c r="D290" s="50" t="s">
        <v>349</v>
      </c>
      <c r="E290" s="37" t="s">
        <v>272</v>
      </c>
      <c r="F290" s="31"/>
      <c r="G290" s="31"/>
    </row>
    <row r="291" spans="1:7" ht="15" customHeight="1" hidden="1">
      <c r="A291" s="73" t="s">
        <v>193</v>
      </c>
      <c r="B291" s="29" t="s">
        <v>98</v>
      </c>
      <c r="C291" s="29" t="s">
        <v>19</v>
      </c>
      <c r="D291" s="50" t="s">
        <v>349</v>
      </c>
      <c r="E291" s="37" t="s">
        <v>194</v>
      </c>
      <c r="F291" s="31"/>
      <c r="G291" s="31"/>
    </row>
    <row r="292" spans="1:7" ht="25.5" customHeight="1" hidden="1">
      <c r="A292" s="51" t="s">
        <v>350</v>
      </c>
      <c r="B292" s="29" t="s">
        <v>98</v>
      </c>
      <c r="C292" s="29" t="s">
        <v>19</v>
      </c>
      <c r="D292" s="50" t="s">
        <v>351</v>
      </c>
      <c r="E292" s="37"/>
      <c r="F292" s="31">
        <f>F293+F294</f>
        <v>0</v>
      </c>
      <c r="G292" s="31">
        <f>G293+G294</f>
        <v>0</v>
      </c>
    </row>
    <row r="293" spans="1:7" ht="26.25" customHeight="1" hidden="1">
      <c r="A293" s="16" t="s">
        <v>271</v>
      </c>
      <c r="B293" s="29" t="s">
        <v>98</v>
      </c>
      <c r="C293" s="29" t="s">
        <v>19</v>
      </c>
      <c r="D293" s="50" t="s">
        <v>351</v>
      </c>
      <c r="E293" s="37" t="s">
        <v>272</v>
      </c>
      <c r="F293" s="31"/>
      <c r="G293" s="31"/>
    </row>
    <row r="294" spans="1:7" ht="15" customHeight="1" hidden="1">
      <c r="A294" s="73" t="s">
        <v>193</v>
      </c>
      <c r="B294" s="29" t="s">
        <v>98</v>
      </c>
      <c r="C294" s="29" t="s">
        <v>19</v>
      </c>
      <c r="D294" s="50" t="s">
        <v>351</v>
      </c>
      <c r="E294" s="37" t="s">
        <v>194</v>
      </c>
      <c r="F294" s="31"/>
      <c r="G294" s="31"/>
    </row>
    <row r="295" spans="1:7" ht="39" customHeight="1" hidden="1">
      <c r="A295" s="77" t="s">
        <v>333</v>
      </c>
      <c r="B295" s="29" t="s">
        <v>98</v>
      </c>
      <c r="C295" s="29" t="s">
        <v>19</v>
      </c>
      <c r="D295" s="50" t="s">
        <v>303</v>
      </c>
      <c r="E295" s="37"/>
      <c r="F295" s="31">
        <f aca="true" t="shared" si="20" ref="F295:G298">F296</f>
        <v>0</v>
      </c>
      <c r="G295" s="31">
        <f t="shared" si="20"/>
        <v>0</v>
      </c>
    </row>
    <row r="296" spans="1:7" s="42" customFormat="1" ht="77.25" customHeight="1" hidden="1">
      <c r="A296" s="73" t="s">
        <v>334</v>
      </c>
      <c r="B296" s="38" t="s">
        <v>98</v>
      </c>
      <c r="C296" s="38" t="s">
        <v>19</v>
      </c>
      <c r="D296" s="58" t="s">
        <v>335</v>
      </c>
      <c r="E296" s="40"/>
      <c r="F296" s="41">
        <f t="shared" si="20"/>
        <v>0</v>
      </c>
      <c r="G296" s="41">
        <f t="shared" si="20"/>
        <v>0</v>
      </c>
    </row>
    <row r="297" spans="1:7" ht="38.25" customHeight="1" hidden="1">
      <c r="A297" s="10" t="s">
        <v>352</v>
      </c>
      <c r="B297" s="29" t="s">
        <v>98</v>
      </c>
      <c r="C297" s="29" t="s">
        <v>19</v>
      </c>
      <c r="D297" s="47" t="s">
        <v>353</v>
      </c>
      <c r="E297" s="37"/>
      <c r="F297" s="31">
        <f t="shared" si="20"/>
        <v>0</v>
      </c>
      <c r="G297" s="31">
        <f t="shared" si="20"/>
        <v>0</v>
      </c>
    </row>
    <row r="298" spans="1:7" ht="25.5" customHeight="1" hidden="1">
      <c r="A298" s="10" t="s">
        <v>354</v>
      </c>
      <c r="B298" s="29" t="s">
        <v>98</v>
      </c>
      <c r="C298" s="29" t="s">
        <v>19</v>
      </c>
      <c r="D298" s="47" t="s">
        <v>355</v>
      </c>
      <c r="E298" s="37"/>
      <c r="F298" s="31">
        <f t="shared" si="20"/>
        <v>0</v>
      </c>
      <c r="G298" s="31">
        <f t="shared" si="20"/>
        <v>0</v>
      </c>
    </row>
    <row r="299" spans="1:7" s="42" customFormat="1" ht="25.5" customHeight="1" hidden="1">
      <c r="A299" s="35" t="s">
        <v>38</v>
      </c>
      <c r="B299" s="29" t="s">
        <v>98</v>
      </c>
      <c r="C299" s="29" t="s">
        <v>19</v>
      </c>
      <c r="D299" s="47" t="s">
        <v>355</v>
      </c>
      <c r="E299" s="37" t="s">
        <v>39</v>
      </c>
      <c r="F299" s="31"/>
      <c r="G299" s="31"/>
    </row>
    <row r="300" spans="1:7" ht="15" customHeight="1" hidden="1">
      <c r="A300" s="73" t="s">
        <v>362</v>
      </c>
      <c r="B300" s="29" t="s">
        <v>102</v>
      </c>
      <c r="C300" s="29"/>
      <c r="D300" s="50"/>
      <c r="E300" s="37"/>
      <c r="F300" s="31">
        <f aca="true" t="shared" si="21" ref="F300:G305">F301</f>
        <v>0</v>
      </c>
      <c r="G300" s="31">
        <f t="shared" si="21"/>
        <v>0</v>
      </c>
    </row>
    <row r="301" spans="1:7" ht="15" customHeight="1" hidden="1">
      <c r="A301" s="48" t="s">
        <v>363</v>
      </c>
      <c r="B301" s="29" t="s">
        <v>102</v>
      </c>
      <c r="C301" s="29" t="s">
        <v>98</v>
      </c>
      <c r="D301" s="50"/>
      <c r="E301" s="37"/>
      <c r="F301" s="31">
        <f t="shared" si="21"/>
        <v>0</v>
      </c>
      <c r="G301" s="31">
        <f t="shared" si="21"/>
        <v>0</v>
      </c>
    </row>
    <row r="302" spans="1:7" ht="39" customHeight="1" hidden="1">
      <c r="A302" s="16" t="s">
        <v>341</v>
      </c>
      <c r="B302" s="29" t="s">
        <v>102</v>
      </c>
      <c r="C302" s="29" t="s">
        <v>98</v>
      </c>
      <c r="D302" s="50" t="s">
        <v>342</v>
      </c>
      <c r="E302" s="37"/>
      <c r="F302" s="31">
        <f t="shared" si="21"/>
        <v>0</v>
      </c>
      <c r="G302" s="31">
        <f t="shared" si="21"/>
        <v>0</v>
      </c>
    </row>
    <row r="303" spans="1:7" ht="51.75" customHeight="1" hidden="1">
      <c r="A303" s="16" t="s">
        <v>343</v>
      </c>
      <c r="B303" s="29" t="s">
        <v>102</v>
      </c>
      <c r="C303" s="29" t="s">
        <v>98</v>
      </c>
      <c r="D303" s="50" t="s">
        <v>344</v>
      </c>
      <c r="E303" s="37"/>
      <c r="F303" s="31">
        <f t="shared" si="21"/>
        <v>0</v>
      </c>
      <c r="G303" s="31">
        <f t="shared" si="21"/>
        <v>0</v>
      </c>
    </row>
    <row r="304" spans="1:7" ht="15" customHeight="1" hidden="1">
      <c r="A304" s="16" t="s">
        <v>364</v>
      </c>
      <c r="B304" s="29" t="s">
        <v>102</v>
      </c>
      <c r="C304" s="29" t="s">
        <v>98</v>
      </c>
      <c r="D304" s="50" t="s">
        <v>365</v>
      </c>
      <c r="E304" s="37"/>
      <c r="F304" s="31">
        <f t="shared" si="21"/>
        <v>0</v>
      </c>
      <c r="G304" s="31">
        <f t="shared" si="21"/>
        <v>0</v>
      </c>
    </row>
    <row r="305" spans="1:7" ht="15" customHeight="1" hidden="1">
      <c r="A305" s="16" t="s">
        <v>366</v>
      </c>
      <c r="B305" s="29" t="s">
        <v>102</v>
      </c>
      <c r="C305" s="29" t="s">
        <v>98</v>
      </c>
      <c r="D305" s="50" t="s">
        <v>367</v>
      </c>
      <c r="E305" s="37"/>
      <c r="F305" s="31">
        <f t="shared" si="21"/>
        <v>0</v>
      </c>
      <c r="G305" s="31">
        <f t="shared" si="21"/>
        <v>0</v>
      </c>
    </row>
    <row r="306" spans="1:7" ht="26.25" customHeight="1" hidden="1">
      <c r="A306" s="35" t="s">
        <v>38</v>
      </c>
      <c r="B306" s="29" t="s">
        <v>102</v>
      </c>
      <c r="C306" s="29" t="s">
        <v>98</v>
      </c>
      <c r="D306" s="50" t="s">
        <v>367</v>
      </c>
      <c r="E306" s="37" t="s">
        <v>39</v>
      </c>
      <c r="F306" s="31"/>
      <c r="G306" s="31"/>
    </row>
    <row r="307" spans="1:9" ht="18.75" customHeight="1">
      <c r="A307" s="16" t="s">
        <v>368</v>
      </c>
      <c r="B307" s="29" t="s">
        <v>109</v>
      </c>
      <c r="C307" s="29"/>
      <c r="D307" s="50"/>
      <c r="E307" s="56"/>
      <c r="F307" s="31">
        <f>F411+F308+F325+F441+F391</f>
        <v>442425227</v>
      </c>
      <c r="G307" s="31">
        <f>G411+G308+G325+G441+G391</f>
        <v>442968432</v>
      </c>
      <c r="I307" s="21"/>
    </row>
    <row r="308" spans="1:8" ht="15">
      <c r="A308" s="16" t="s">
        <v>369</v>
      </c>
      <c r="B308" s="29" t="s">
        <v>109</v>
      </c>
      <c r="C308" s="29" t="s">
        <v>17</v>
      </c>
      <c r="D308" s="50"/>
      <c r="E308" s="56"/>
      <c r="F308" s="31">
        <f>F309+F320</f>
        <v>91404390</v>
      </c>
      <c r="G308" s="31">
        <f>G309+G320</f>
        <v>90587427</v>
      </c>
      <c r="H308" s="21"/>
    </row>
    <row r="309" spans="1:7" ht="26.25">
      <c r="A309" s="16" t="s">
        <v>370</v>
      </c>
      <c r="B309" s="29" t="s">
        <v>109</v>
      </c>
      <c r="C309" s="29" t="s">
        <v>17</v>
      </c>
      <c r="D309" s="29" t="s">
        <v>371</v>
      </c>
      <c r="E309" s="30"/>
      <c r="F309" s="31">
        <f>F310</f>
        <v>91404390</v>
      </c>
      <c r="G309" s="31">
        <f>G310</f>
        <v>90587427</v>
      </c>
    </row>
    <row r="310" spans="1:7" s="42" customFormat="1" ht="39">
      <c r="A310" s="15" t="s">
        <v>372</v>
      </c>
      <c r="B310" s="38" t="s">
        <v>109</v>
      </c>
      <c r="C310" s="38" t="s">
        <v>17</v>
      </c>
      <c r="D310" s="38" t="s">
        <v>373</v>
      </c>
      <c r="E310" s="45"/>
      <c r="F310" s="41">
        <f>F311</f>
        <v>91404390</v>
      </c>
      <c r="G310" s="41">
        <f>G311</f>
        <v>90587427</v>
      </c>
    </row>
    <row r="311" spans="1:7" ht="25.5">
      <c r="A311" s="10" t="s">
        <v>374</v>
      </c>
      <c r="B311" s="29" t="s">
        <v>109</v>
      </c>
      <c r="C311" s="29" t="s">
        <v>17</v>
      </c>
      <c r="D311" s="29" t="s">
        <v>375</v>
      </c>
      <c r="E311" s="30"/>
      <c r="F311" s="31">
        <f>F312+F315</f>
        <v>91404390</v>
      </c>
      <c r="G311" s="31">
        <f>G312+G315</f>
        <v>90587427</v>
      </c>
    </row>
    <row r="312" spans="1:7" ht="64.5">
      <c r="A312" s="44" t="s">
        <v>376</v>
      </c>
      <c r="B312" s="29" t="s">
        <v>109</v>
      </c>
      <c r="C312" s="29" t="s">
        <v>17</v>
      </c>
      <c r="D312" s="29" t="s">
        <v>377</v>
      </c>
      <c r="E312" s="30"/>
      <c r="F312" s="31">
        <f>F313+F314</f>
        <v>57617557</v>
      </c>
      <c r="G312" s="31">
        <f>G313+G314</f>
        <v>57617557</v>
      </c>
    </row>
    <row r="313" spans="1:7" ht="38.25">
      <c r="A313" s="78" t="s">
        <v>26</v>
      </c>
      <c r="B313" s="29" t="s">
        <v>109</v>
      </c>
      <c r="C313" s="29" t="s">
        <v>17</v>
      </c>
      <c r="D313" s="29" t="s">
        <v>377</v>
      </c>
      <c r="E313" s="30" t="s">
        <v>27</v>
      </c>
      <c r="F313" s="31">
        <v>57132120</v>
      </c>
      <c r="G313" s="31">
        <v>57132120</v>
      </c>
    </row>
    <row r="314" spans="1:7" ht="26.25">
      <c r="A314" s="35" t="s">
        <v>38</v>
      </c>
      <c r="B314" s="29" t="s">
        <v>109</v>
      </c>
      <c r="C314" s="29" t="s">
        <v>17</v>
      </c>
      <c r="D314" s="29" t="s">
        <v>377</v>
      </c>
      <c r="E314" s="30" t="s">
        <v>39</v>
      </c>
      <c r="F314" s="31">
        <v>485437</v>
      </c>
      <c r="G314" s="31">
        <v>485437</v>
      </c>
    </row>
    <row r="315" spans="1:7" ht="25.5">
      <c r="A315" s="10" t="s">
        <v>201</v>
      </c>
      <c r="B315" s="29" t="s">
        <v>109</v>
      </c>
      <c r="C315" s="29" t="s">
        <v>17</v>
      </c>
      <c r="D315" s="29" t="s">
        <v>378</v>
      </c>
      <c r="E315" s="30"/>
      <c r="F315" s="31">
        <f>F316+F317+F319+F318</f>
        <v>33786833</v>
      </c>
      <c r="G315" s="31">
        <f>G316+G317+G319+G318</f>
        <v>32969870</v>
      </c>
    </row>
    <row r="316" spans="1:8" ht="39">
      <c r="A316" s="35" t="s">
        <v>26</v>
      </c>
      <c r="B316" s="29" t="s">
        <v>109</v>
      </c>
      <c r="C316" s="29" t="s">
        <v>17</v>
      </c>
      <c r="D316" s="29" t="s">
        <v>378</v>
      </c>
      <c r="E316" s="30" t="s">
        <v>27</v>
      </c>
      <c r="F316" s="31">
        <f>21066254+6322746-6014295+45991</f>
        <v>21420696</v>
      </c>
      <c r="G316" s="31">
        <f>21066254+6322746-6014295-852394+81422</f>
        <v>20603733</v>
      </c>
      <c r="H316" s="21"/>
    </row>
    <row r="317" spans="1:7" ht="26.25">
      <c r="A317" s="35" t="s">
        <v>38</v>
      </c>
      <c r="B317" s="29" t="s">
        <v>109</v>
      </c>
      <c r="C317" s="29" t="s">
        <v>17</v>
      </c>
      <c r="D317" s="29" t="s">
        <v>378</v>
      </c>
      <c r="E317" s="30" t="s">
        <v>39</v>
      </c>
      <c r="F317" s="31">
        <v>11142752</v>
      </c>
      <c r="G317" s="31">
        <f>11142752</f>
        <v>11142752</v>
      </c>
    </row>
    <row r="318" spans="1:7" ht="26.25" customHeight="1" hidden="1">
      <c r="A318" s="16" t="s">
        <v>271</v>
      </c>
      <c r="B318" s="29" t="s">
        <v>109</v>
      </c>
      <c r="C318" s="29" t="s">
        <v>17</v>
      </c>
      <c r="D318" s="29" t="s">
        <v>378</v>
      </c>
      <c r="E318" s="30" t="s">
        <v>272</v>
      </c>
      <c r="F318" s="31"/>
      <c r="G318" s="31"/>
    </row>
    <row r="319" spans="1:9" ht="14.25" customHeight="1">
      <c r="A319" s="10" t="s">
        <v>84</v>
      </c>
      <c r="B319" s="29" t="s">
        <v>109</v>
      </c>
      <c r="C319" s="29" t="s">
        <v>17</v>
      </c>
      <c r="D319" s="29" t="s">
        <v>378</v>
      </c>
      <c r="E319" s="30" t="s">
        <v>85</v>
      </c>
      <c r="F319" s="31">
        <v>1223385</v>
      </c>
      <c r="G319" s="31">
        <v>1223385</v>
      </c>
      <c r="H319" s="79"/>
      <c r="I319" s="21"/>
    </row>
    <row r="320" spans="1:9" ht="39" hidden="1">
      <c r="A320" s="75" t="s">
        <v>379</v>
      </c>
      <c r="B320" s="29" t="s">
        <v>109</v>
      </c>
      <c r="C320" s="29" t="s">
        <v>17</v>
      </c>
      <c r="D320" s="50" t="s">
        <v>295</v>
      </c>
      <c r="E320" s="30"/>
      <c r="F320" s="31">
        <f aca="true" t="shared" si="22" ref="F320:G323">F321</f>
        <v>0</v>
      </c>
      <c r="G320" s="31">
        <f t="shared" si="22"/>
        <v>0</v>
      </c>
      <c r="H320" s="79"/>
      <c r="I320" s="21"/>
    </row>
    <row r="321" spans="1:9" ht="51.75" hidden="1">
      <c r="A321" s="73" t="s">
        <v>380</v>
      </c>
      <c r="B321" s="29" t="s">
        <v>109</v>
      </c>
      <c r="C321" s="29" t="s">
        <v>17</v>
      </c>
      <c r="D321" s="50" t="s">
        <v>381</v>
      </c>
      <c r="E321" s="30"/>
      <c r="F321" s="31">
        <f t="shared" si="22"/>
        <v>0</v>
      </c>
      <c r="G321" s="31">
        <f t="shared" si="22"/>
        <v>0</v>
      </c>
      <c r="H321" s="79"/>
      <c r="I321" s="21"/>
    </row>
    <row r="322" spans="1:9" ht="15" hidden="1">
      <c r="A322" s="10" t="s">
        <v>382</v>
      </c>
      <c r="B322" s="29" t="s">
        <v>109</v>
      </c>
      <c r="C322" s="29" t="s">
        <v>17</v>
      </c>
      <c r="D322" s="47" t="s">
        <v>299</v>
      </c>
      <c r="E322" s="30"/>
      <c r="F322" s="31">
        <f t="shared" si="22"/>
        <v>0</v>
      </c>
      <c r="G322" s="31">
        <f t="shared" si="22"/>
        <v>0</v>
      </c>
      <c r="H322" s="79"/>
      <c r="I322" s="21"/>
    </row>
    <row r="323" spans="1:9" ht="15" hidden="1">
      <c r="A323" s="80" t="s">
        <v>300</v>
      </c>
      <c r="B323" s="29" t="s">
        <v>109</v>
      </c>
      <c r="C323" s="29" t="s">
        <v>17</v>
      </c>
      <c r="D323" s="47" t="s">
        <v>301</v>
      </c>
      <c r="E323" s="30"/>
      <c r="F323" s="31">
        <f t="shared" si="22"/>
        <v>0</v>
      </c>
      <c r="G323" s="31">
        <f t="shared" si="22"/>
        <v>0</v>
      </c>
      <c r="H323" s="79"/>
      <c r="I323" s="21"/>
    </row>
    <row r="324" spans="1:9" ht="26.25" hidden="1">
      <c r="A324" s="35" t="s">
        <v>38</v>
      </c>
      <c r="B324" s="29" t="s">
        <v>109</v>
      </c>
      <c r="C324" s="29" t="s">
        <v>17</v>
      </c>
      <c r="D324" s="47" t="s">
        <v>301</v>
      </c>
      <c r="E324" s="30" t="s">
        <v>39</v>
      </c>
      <c r="F324" s="31"/>
      <c r="G324" s="31"/>
      <c r="H324" s="79"/>
      <c r="I324" s="21"/>
    </row>
    <row r="325" spans="1:7" ht="17.25" customHeight="1">
      <c r="A325" s="16" t="s">
        <v>383</v>
      </c>
      <c r="B325" s="29" t="s">
        <v>109</v>
      </c>
      <c r="C325" s="29" t="s">
        <v>19</v>
      </c>
      <c r="D325" s="29"/>
      <c r="E325" s="30"/>
      <c r="F325" s="31">
        <f>F326+F376+F381+F371+F386</f>
        <v>322043253</v>
      </c>
      <c r="G325" s="31">
        <f>G326+G376+G381+G371+G386</f>
        <v>326841178</v>
      </c>
    </row>
    <row r="326" spans="1:7" ht="26.25">
      <c r="A326" s="16" t="s">
        <v>370</v>
      </c>
      <c r="B326" s="29" t="s">
        <v>109</v>
      </c>
      <c r="C326" s="29" t="s">
        <v>19</v>
      </c>
      <c r="D326" s="29" t="s">
        <v>371</v>
      </c>
      <c r="E326" s="30"/>
      <c r="F326" s="31">
        <f>F327</f>
        <v>321986293</v>
      </c>
      <c r="G326" s="31">
        <f>G327</f>
        <v>326784218</v>
      </c>
    </row>
    <row r="327" spans="1:7" s="42" customFormat="1" ht="39">
      <c r="A327" s="15" t="s">
        <v>372</v>
      </c>
      <c r="B327" s="29" t="s">
        <v>109</v>
      </c>
      <c r="C327" s="29" t="s">
        <v>19</v>
      </c>
      <c r="D327" s="29" t="s">
        <v>373</v>
      </c>
      <c r="E327" s="30"/>
      <c r="F327" s="41">
        <f>F331+F339+F328+F336</f>
        <v>321986293</v>
      </c>
      <c r="G327" s="41">
        <f>G331+G339+G328+G336</f>
        <v>326784218</v>
      </c>
    </row>
    <row r="328" spans="1:7" s="42" customFormat="1" ht="15">
      <c r="A328" s="10" t="s">
        <v>384</v>
      </c>
      <c r="B328" s="29" t="s">
        <v>109</v>
      </c>
      <c r="C328" s="29" t="s">
        <v>19</v>
      </c>
      <c r="D328" s="29" t="s">
        <v>385</v>
      </c>
      <c r="E328" s="45"/>
      <c r="F328" s="41">
        <f>F329</f>
        <v>4135443</v>
      </c>
      <c r="G328" s="41">
        <f>G329</f>
        <v>5808812</v>
      </c>
    </row>
    <row r="329" spans="1:7" s="42" customFormat="1" ht="53.25" customHeight="1">
      <c r="A329" s="10" t="s">
        <v>386</v>
      </c>
      <c r="B329" s="29" t="s">
        <v>109</v>
      </c>
      <c r="C329" s="29" t="s">
        <v>19</v>
      </c>
      <c r="D329" s="29" t="s">
        <v>387</v>
      </c>
      <c r="E329" s="45"/>
      <c r="F329" s="41">
        <f>F330</f>
        <v>4135443</v>
      </c>
      <c r="G329" s="41">
        <f>G330</f>
        <v>5808812</v>
      </c>
    </row>
    <row r="330" spans="1:7" s="42" customFormat="1" ht="26.25">
      <c r="A330" s="35" t="s">
        <v>38</v>
      </c>
      <c r="B330" s="29" t="s">
        <v>109</v>
      </c>
      <c r="C330" s="29" t="s">
        <v>19</v>
      </c>
      <c r="D330" s="29" t="s">
        <v>387</v>
      </c>
      <c r="E330" s="30" t="s">
        <v>39</v>
      </c>
      <c r="F330" s="31">
        <v>4135443</v>
      </c>
      <c r="G330" s="31">
        <v>5808812</v>
      </c>
    </row>
    <row r="331" spans="1:7" s="42" customFormat="1" ht="15">
      <c r="A331" s="10" t="s">
        <v>451</v>
      </c>
      <c r="B331" s="29" t="s">
        <v>109</v>
      </c>
      <c r="C331" s="29" t="s">
        <v>19</v>
      </c>
      <c r="D331" s="29" t="s">
        <v>389</v>
      </c>
      <c r="E331" s="45"/>
      <c r="F331" s="31">
        <f>F332+F334</f>
        <v>0</v>
      </c>
      <c r="G331" s="31">
        <f>G332+G334</f>
        <v>3400000</v>
      </c>
    </row>
    <row r="332" spans="1:7" s="42" customFormat="1" ht="38.25">
      <c r="A332" s="103" t="s">
        <v>653</v>
      </c>
      <c r="B332" s="29" t="s">
        <v>109</v>
      </c>
      <c r="C332" s="29" t="s">
        <v>19</v>
      </c>
      <c r="D332" s="29" t="s">
        <v>391</v>
      </c>
      <c r="E332" s="45"/>
      <c r="F332" s="31">
        <f>F333</f>
        <v>0</v>
      </c>
      <c r="G332" s="31">
        <f>G333</f>
        <v>3400000</v>
      </c>
    </row>
    <row r="333" spans="1:7" s="42" customFormat="1" ht="25.5" customHeight="1">
      <c r="A333" s="35" t="s">
        <v>38</v>
      </c>
      <c r="B333" s="29" t="s">
        <v>109</v>
      </c>
      <c r="C333" s="29" t="s">
        <v>19</v>
      </c>
      <c r="D333" s="29" t="s">
        <v>391</v>
      </c>
      <c r="E333" s="30" t="s">
        <v>39</v>
      </c>
      <c r="F333" s="31"/>
      <c r="G333" s="31">
        <v>3400000</v>
      </c>
    </row>
    <row r="334" spans="1:7" s="42" customFormat="1" ht="1.5" customHeight="1" hidden="1">
      <c r="A334" s="81" t="s">
        <v>654</v>
      </c>
      <c r="B334" s="29" t="s">
        <v>109</v>
      </c>
      <c r="C334" s="29" t="s">
        <v>19</v>
      </c>
      <c r="D334" s="29" t="s">
        <v>453</v>
      </c>
      <c r="E334" s="45"/>
      <c r="F334" s="31">
        <f>F335</f>
        <v>0</v>
      </c>
      <c r="G334" s="31">
        <f>G335</f>
        <v>0</v>
      </c>
    </row>
    <row r="335" spans="1:7" s="42" customFormat="1" ht="26.25" customHeight="1" hidden="1">
      <c r="A335" s="35" t="s">
        <v>38</v>
      </c>
      <c r="B335" s="29" t="s">
        <v>109</v>
      </c>
      <c r="C335" s="29" t="s">
        <v>19</v>
      </c>
      <c r="D335" s="29" t="s">
        <v>453</v>
      </c>
      <c r="E335" s="30" t="s">
        <v>39</v>
      </c>
      <c r="F335" s="31"/>
      <c r="G335" s="31"/>
    </row>
    <row r="336" spans="1:7" ht="25.5">
      <c r="A336" s="10" t="s">
        <v>392</v>
      </c>
      <c r="B336" s="29" t="s">
        <v>109</v>
      </c>
      <c r="C336" s="29" t="s">
        <v>19</v>
      </c>
      <c r="D336" s="29" t="s">
        <v>393</v>
      </c>
      <c r="E336" s="45"/>
      <c r="F336" s="31">
        <f>F337</f>
        <v>4748817</v>
      </c>
      <c r="G336" s="31">
        <f>G337</f>
        <v>4379960</v>
      </c>
    </row>
    <row r="337" spans="1:7" ht="26.25">
      <c r="A337" s="81" t="s">
        <v>394</v>
      </c>
      <c r="B337" s="29" t="s">
        <v>109</v>
      </c>
      <c r="C337" s="29" t="s">
        <v>19</v>
      </c>
      <c r="D337" s="29" t="s">
        <v>655</v>
      </c>
      <c r="E337" s="45"/>
      <c r="F337" s="31">
        <f>F338</f>
        <v>4748817</v>
      </c>
      <c r="G337" s="31">
        <f>G338</f>
        <v>4379960</v>
      </c>
    </row>
    <row r="338" spans="1:7" ht="26.25">
      <c r="A338" s="35" t="s">
        <v>38</v>
      </c>
      <c r="B338" s="29" t="s">
        <v>109</v>
      </c>
      <c r="C338" s="29" t="s">
        <v>19</v>
      </c>
      <c r="D338" s="29" t="s">
        <v>655</v>
      </c>
      <c r="E338" s="30" t="s">
        <v>39</v>
      </c>
      <c r="F338" s="31">
        <v>4748817</v>
      </c>
      <c r="G338" s="31">
        <v>4379960</v>
      </c>
    </row>
    <row r="339" spans="1:7" ht="25.5">
      <c r="A339" s="10" t="s">
        <v>396</v>
      </c>
      <c r="B339" s="29" t="s">
        <v>109</v>
      </c>
      <c r="C339" s="29" t="s">
        <v>19</v>
      </c>
      <c r="D339" s="29" t="s">
        <v>397</v>
      </c>
      <c r="E339" s="30"/>
      <c r="F339" s="31">
        <f>F348+F351+F353+F355+F357+F359+F361+F364+F367+F369+F342+F340+F344+F346</f>
        <v>313102033</v>
      </c>
      <c r="G339" s="31">
        <f>G348+G351+G353+G355+G357+G359+G361+G364+G367+G369+G342+G340+G344+G346</f>
        <v>313195446</v>
      </c>
    </row>
    <row r="340" spans="1:7" ht="38.25" customHeight="1">
      <c r="A340" s="59" t="s">
        <v>398</v>
      </c>
      <c r="B340" s="29" t="s">
        <v>109</v>
      </c>
      <c r="C340" s="29" t="s">
        <v>19</v>
      </c>
      <c r="D340" s="47" t="s">
        <v>399</v>
      </c>
      <c r="E340" s="30"/>
      <c r="F340" s="31">
        <f>F341</f>
        <v>8206333</v>
      </c>
      <c r="G340" s="31">
        <f>G341</f>
        <v>8454029</v>
      </c>
    </row>
    <row r="341" spans="1:7" ht="26.25">
      <c r="A341" s="35" t="s">
        <v>38</v>
      </c>
      <c r="B341" s="29" t="s">
        <v>109</v>
      </c>
      <c r="C341" s="29" t="s">
        <v>19</v>
      </c>
      <c r="D341" s="47" t="s">
        <v>399</v>
      </c>
      <c r="E341" s="30" t="s">
        <v>39</v>
      </c>
      <c r="F341" s="31">
        <v>8206333</v>
      </c>
      <c r="G341" s="31">
        <v>8454029</v>
      </c>
    </row>
    <row r="342" spans="1:7" ht="44.25" customHeight="1">
      <c r="A342" s="10" t="s">
        <v>400</v>
      </c>
      <c r="B342" s="29" t="s">
        <v>109</v>
      </c>
      <c r="C342" s="29" t="s">
        <v>19</v>
      </c>
      <c r="D342" s="29" t="s">
        <v>401</v>
      </c>
      <c r="E342" s="30"/>
      <c r="F342" s="31">
        <f>F343</f>
        <v>16710782</v>
      </c>
      <c r="G342" s="31">
        <f>G343</f>
        <v>16556499</v>
      </c>
    </row>
    <row r="343" spans="1:7" ht="39">
      <c r="A343" s="35" t="s">
        <v>26</v>
      </c>
      <c r="B343" s="29" t="s">
        <v>109</v>
      </c>
      <c r="C343" s="29" t="s">
        <v>19</v>
      </c>
      <c r="D343" s="29" t="s">
        <v>401</v>
      </c>
      <c r="E343" s="30" t="s">
        <v>27</v>
      </c>
      <c r="F343" s="31">
        <f>16873920-163138</f>
        <v>16710782</v>
      </c>
      <c r="G343" s="31">
        <f>16873920-317421</f>
        <v>16556499</v>
      </c>
    </row>
    <row r="344" spans="1:7" ht="38.25" hidden="1">
      <c r="A344" s="59" t="s">
        <v>402</v>
      </c>
      <c r="B344" s="29" t="s">
        <v>109</v>
      </c>
      <c r="C344" s="29" t="s">
        <v>19</v>
      </c>
      <c r="D344" s="47" t="s">
        <v>403</v>
      </c>
      <c r="E344" s="30"/>
      <c r="F344" s="31">
        <f>F345</f>
        <v>0</v>
      </c>
      <c r="G344" s="31">
        <f>G345</f>
        <v>0</v>
      </c>
    </row>
    <row r="345" spans="1:7" ht="26.25" hidden="1">
      <c r="A345" s="35" t="s">
        <v>38</v>
      </c>
      <c r="B345" s="29" t="s">
        <v>109</v>
      </c>
      <c r="C345" s="29" t="s">
        <v>19</v>
      </c>
      <c r="D345" s="47" t="s">
        <v>403</v>
      </c>
      <c r="E345" s="30" t="s">
        <v>39</v>
      </c>
      <c r="F345" s="31"/>
      <c r="G345" s="31"/>
    </row>
    <row r="346" spans="1:8" ht="38.25" hidden="1">
      <c r="A346" s="59" t="s">
        <v>404</v>
      </c>
      <c r="B346" s="29" t="s">
        <v>109</v>
      </c>
      <c r="C346" s="29" t="s">
        <v>19</v>
      </c>
      <c r="D346" s="47" t="s">
        <v>405</v>
      </c>
      <c r="E346" s="30"/>
      <c r="F346" s="31">
        <f>F347</f>
        <v>0</v>
      </c>
      <c r="G346" s="31">
        <f>G347</f>
        <v>0</v>
      </c>
      <c r="H346" s="21"/>
    </row>
    <row r="347" spans="1:7" ht="26.25" hidden="1">
      <c r="A347" s="35" t="s">
        <v>38</v>
      </c>
      <c r="B347" s="29" t="s">
        <v>109</v>
      </c>
      <c r="C347" s="29" t="s">
        <v>19</v>
      </c>
      <c r="D347" s="47" t="s">
        <v>405</v>
      </c>
      <c r="E347" s="30" t="s">
        <v>39</v>
      </c>
      <c r="F347" s="31"/>
      <c r="G347" s="31"/>
    </row>
    <row r="348" spans="1:7" ht="77.25">
      <c r="A348" s="44" t="s">
        <v>406</v>
      </c>
      <c r="B348" s="29" t="s">
        <v>109</v>
      </c>
      <c r="C348" s="29" t="s">
        <v>19</v>
      </c>
      <c r="D348" s="29" t="s">
        <v>407</v>
      </c>
      <c r="E348" s="30"/>
      <c r="F348" s="31">
        <f>F349+F350</f>
        <v>257764367</v>
      </c>
      <c r="G348" s="31">
        <f>G349+G350</f>
        <v>257764367</v>
      </c>
    </row>
    <row r="349" spans="1:7" ht="39">
      <c r="A349" s="35" t="s">
        <v>26</v>
      </c>
      <c r="B349" s="29" t="s">
        <v>109</v>
      </c>
      <c r="C349" s="29" t="s">
        <v>19</v>
      </c>
      <c r="D349" s="29" t="s">
        <v>407</v>
      </c>
      <c r="E349" s="30" t="s">
        <v>27</v>
      </c>
      <c r="F349" s="31">
        <v>250857973</v>
      </c>
      <c r="G349" s="31">
        <v>250857973</v>
      </c>
    </row>
    <row r="350" spans="1:7" ht="25.5" customHeight="1">
      <c r="A350" s="35" t="s">
        <v>38</v>
      </c>
      <c r="B350" s="29" t="s">
        <v>109</v>
      </c>
      <c r="C350" s="29" t="s">
        <v>19</v>
      </c>
      <c r="D350" s="29" t="s">
        <v>407</v>
      </c>
      <c r="E350" s="30" t="s">
        <v>39</v>
      </c>
      <c r="F350" s="31">
        <f>742224+280800+5741970+141400</f>
        <v>6906394</v>
      </c>
      <c r="G350" s="31">
        <f>742224+280800+5741970+141400</f>
        <v>6906394</v>
      </c>
    </row>
    <row r="351" spans="1:7" ht="26.25" hidden="1">
      <c r="A351" s="44" t="s">
        <v>408</v>
      </c>
      <c r="B351" s="29" t="s">
        <v>109</v>
      </c>
      <c r="C351" s="29" t="s">
        <v>19</v>
      </c>
      <c r="D351" s="29" t="s">
        <v>409</v>
      </c>
      <c r="E351" s="30"/>
      <c r="F351" s="31">
        <f>F352</f>
        <v>0</v>
      </c>
      <c r="G351" s="31">
        <f>G352</f>
        <v>0</v>
      </c>
    </row>
    <row r="352" spans="1:7" ht="26.25" hidden="1">
      <c r="A352" s="35" t="s">
        <v>38</v>
      </c>
      <c r="B352" s="29" t="s">
        <v>109</v>
      </c>
      <c r="C352" s="29" t="s">
        <v>19</v>
      </c>
      <c r="D352" s="29" t="s">
        <v>409</v>
      </c>
      <c r="E352" s="30" t="s">
        <v>39</v>
      </c>
      <c r="F352" s="31"/>
      <c r="G352" s="31"/>
    </row>
    <row r="353" spans="1:7" ht="26.25" hidden="1">
      <c r="A353" s="44" t="s">
        <v>410</v>
      </c>
      <c r="B353" s="29" t="s">
        <v>109</v>
      </c>
      <c r="C353" s="29" t="s">
        <v>19</v>
      </c>
      <c r="D353" s="29" t="s">
        <v>411</v>
      </c>
      <c r="E353" s="30"/>
      <c r="F353" s="31">
        <f>F354</f>
        <v>0</v>
      </c>
      <c r="G353" s="31">
        <f>G354</f>
        <v>0</v>
      </c>
    </row>
    <row r="354" spans="1:7" ht="26.25" hidden="1">
      <c r="A354" s="35" t="s">
        <v>38</v>
      </c>
      <c r="B354" s="29" t="s">
        <v>109</v>
      </c>
      <c r="C354" s="29" t="s">
        <v>19</v>
      </c>
      <c r="D354" s="29" t="s">
        <v>411</v>
      </c>
      <c r="E354" s="30" t="s">
        <v>39</v>
      </c>
      <c r="F354" s="31"/>
      <c r="G354" s="31"/>
    </row>
    <row r="355" spans="1:7" ht="39">
      <c r="A355" s="44" t="s">
        <v>412</v>
      </c>
      <c r="B355" s="29" t="s">
        <v>109</v>
      </c>
      <c r="C355" s="29" t="s">
        <v>19</v>
      </c>
      <c r="D355" s="29" t="s">
        <v>413</v>
      </c>
      <c r="E355" s="30"/>
      <c r="F355" s="31">
        <f>F356</f>
        <v>1085644</v>
      </c>
      <c r="G355" s="31">
        <f>G356</f>
        <v>1085644</v>
      </c>
    </row>
    <row r="356" spans="1:7" ht="26.25">
      <c r="A356" s="35" t="s">
        <v>38</v>
      </c>
      <c r="B356" s="29" t="s">
        <v>109</v>
      </c>
      <c r="C356" s="29" t="s">
        <v>19</v>
      </c>
      <c r="D356" s="29" t="s">
        <v>413</v>
      </c>
      <c r="E356" s="30" t="s">
        <v>39</v>
      </c>
      <c r="F356" s="31">
        <v>1085644</v>
      </c>
      <c r="G356" s="31">
        <v>1085644</v>
      </c>
    </row>
    <row r="357" spans="1:7" ht="38.25">
      <c r="A357" s="59" t="s">
        <v>414</v>
      </c>
      <c r="B357" s="29" t="s">
        <v>109</v>
      </c>
      <c r="C357" s="29" t="s">
        <v>19</v>
      </c>
      <c r="D357" s="29" t="s">
        <v>415</v>
      </c>
      <c r="E357" s="30"/>
      <c r="F357" s="31">
        <f>F358</f>
        <v>1670986</v>
      </c>
      <c r="G357" s="31">
        <f>G358</f>
        <v>1670986</v>
      </c>
    </row>
    <row r="358" spans="1:7" ht="26.25">
      <c r="A358" s="35" t="s">
        <v>38</v>
      </c>
      <c r="B358" s="29" t="s">
        <v>109</v>
      </c>
      <c r="C358" s="29" t="s">
        <v>19</v>
      </c>
      <c r="D358" s="29" t="s">
        <v>415</v>
      </c>
      <c r="E358" s="30" t="s">
        <v>39</v>
      </c>
      <c r="F358" s="31">
        <v>1670986</v>
      </c>
      <c r="G358" s="31">
        <v>1670986</v>
      </c>
    </row>
    <row r="359" spans="1:7" ht="51.75">
      <c r="A359" s="44" t="s">
        <v>416</v>
      </c>
      <c r="B359" s="29" t="s">
        <v>109</v>
      </c>
      <c r="C359" s="29" t="s">
        <v>19</v>
      </c>
      <c r="D359" s="29" t="s">
        <v>417</v>
      </c>
      <c r="E359" s="30"/>
      <c r="F359" s="31">
        <f>F360</f>
        <v>737089</v>
      </c>
      <c r="G359" s="31">
        <f>G360</f>
        <v>737089</v>
      </c>
    </row>
    <row r="360" spans="1:7" ht="26.25">
      <c r="A360" s="35" t="s">
        <v>38</v>
      </c>
      <c r="B360" s="29" t="s">
        <v>109</v>
      </c>
      <c r="C360" s="29" t="s">
        <v>19</v>
      </c>
      <c r="D360" s="29" t="s">
        <v>417</v>
      </c>
      <c r="E360" s="30" t="s">
        <v>39</v>
      </c>
      <c r="F360" s="31">
        <v>737089</v>
      </c>
      <c r="G360" s="31">
        <v>737089</v>
      </c>
    </row>
    <row r="361" spans="1:7" ht="39">
      <c r="A361" s="44" t="s">
        <v>418</v>
      </c>
      <c r="B361" s="29" t="s">
        <v>109</v>
      </c>
      <c r="C361" s="29" t="s">
        <v>19</v>
      </c>
      <c r="D361" s="29" t="s">
        <v>419</v>
      </c>
      <c r="E361" s="30"/>
      <c r="F361" s="31">
        <f>F362+F363</f>
        <v>4929639</v>
      </c>
      <c r="G361" s="31">
        <f>G362+G363</f>
        <v>4929639</v>
      </c>
    </row>
    <row r="362" spans="1:7" ht="25.5" customHeight="1">
      <c r="A362" s="35" t="s">
        <v>38</v>
      </c>
      <c r="B362" s="29" t="s">
        <v>109</v>
      </c>
      <c r="C362" s="29" t="s">
        <v>19</v>
      </c>
      <c r="D362" s="29" t="s">
        <v>419</v>
      </c>
      <c r="E362" s="30" t="s">
        <v>39</v>
      </c>
      <c r="F362" s="31">
        <v>4929639</v>
      </c>
      <c r="G362" s="31">
        <v>4929639</v>
      </c>
    </row>
    <row r="363" spans="1:7" ht="6.75" customHeight="1" hidden="1">
      <c r="A363" s="35" t="s">
        <v>211</v>
      </c>
      <c r="B363" s="29" t="s">
        <v>109</v>
      </c>
      <c r="C363" s="29" t="s">
        <v>19</v>
      </c>
      <c r="D363" s="29" t="s">
        <v>419</v>
      </c>
      <c r="E363" s="30" t="s">
        <v>212</v>
      </c>
      <c r="F363" s="31"/>
      <c r="G363" s="31"/>
    </row>
    <row r="364" spans="1:9" ht="17.25" customHeight="1">
      <c r="A364" s="10" t="s">
        <v>201</v>
      </c>
      <c r="B364" s="29" t="s">
        <v>109</v>
      </c>
      <c r="C364" s="29" t="s">
        <v>19</v>
      </c>
      <c r="D364" s="29" t="s">
        <v>420</v>
      </c>
      <c r="E364" s="30"/>
      <c r="F364" s="31">
        <f>F365+F366</f>
        <v>21897193</v>
      </c>
      <c r="G364" s="31">
        <f>G365+G366</f>
        <v>21897193</v>
      </c>
      <c r="I364" s="21"/>
    </row>
    <row r="365" spans="1:7" ht="26.25">
      <c r="A365" s="35" t="s">
        <v>38</v>
      </c>
      <c r="B365" s="29" t="s">
        <v>109</v>
      </c>
      <c r="C365" s="29" t="s">
        <v>19</v>
      </c>
      <c r="D365" s="29" t="s">
        <v>420</v>
      </c>
      <c r="E365" s="30" t="s">
        <v>39</v>
      </c>
      <c r="F365" s="31">
        <v>20333773</v>
      </c>
      <c r="G365" s="31">
        <f>20333773</f>
        <v>20333773</v>
      </c>
    </row>
    <row r="366" spans="1:7" ht="18.75" customHeight="1">
      <c r="A366" s="10" t="s">
        <v>84</v>
      </c>
      <c r="B366" s="29" t="s">
        <v>109</v>
      </c>
      <c r="C366" s="29" t="s">
        <v>19</v>
      </c>
      <c r="D366" s="29" t="s">
        <v>420</v>
      </c>
      <c r="E366" s="30" t="s">
        <v>85</v>
      </c>
      <c r="F366" s="31">
        <v>1563420</v>
      </c>
      <c r="G366" s="31">
        <v>1563420</v>
      </c>
    </row>
    <row r="367" spans="1:7" ht="15">
      <c r="A367" s="35" t="s">
        <v>421</v>
      </c>
      <c r="B367" s="29" t="s">
        <v>109</v>
      </c>
      <c r="C367" s="29" t="s">
        <v>19</v>
      </c>
      <c r="D367" s="29" t="s">
        <v>422</v>
      </c>
      <c r="E367" s="30"/>
      <c r="F367" s="31">
        <f>F368</f>
        <v>100000</v>
      </c>
      <c r="G367" s="31">
        <f>G368</f>
        <v>100000</v>
      </c>
    </row>
    <row r="368" spans="1:7" ht="21.75" customHeight="1">
      <c r="A368" s="35" t="s">
        <v>211</v>
      </c>
      <c r="B368" s="29" t="s">
        <v>109</v>
      </c>
      <c r="C368" s="29" t="s">
        <v>19</v>
      </c>
      <c r="D368" s="29" t="s">
        <v>422</v>
      </c>
      <c r="E368" s="30" t="s">
        <v>212</v>
      </c>
      <c r="F368" s="31">
        <v>100000</v>
      </c>
      <c r="G368" s="31">
        <v>100000</v>
      </c>
    </row>
    <row r="369" spans="1:7" ht="25.5" hidden="1">
      <c r="A369" s="10" t="s">
        <v>236</v>
      </c>
      <c r="B369" s="29" t="s">
        <v>109</v>
      </c>
      <c r="C369" s="29" t="s">
        <v>19</v>
      </c>
      <c r="D369" s="29" t="s">
        <v>423</v>
      </c>
      <c r="E369" s="30"/>
      <c r="F369" s="31">
        <f>F370</f>
        <v>0</v>
      </c>
      <c r="G369" s="31">
        <f>G370</f>
        <v>0</v>
      </c>
    </row>
    <row r="370" spans="1:7" ht="26.25" hidden="1">
      <c r="A370" s="35" t="s">
        <v>38</v>
      </c>
      <c r="B370" s="29" t="s">
        <v>109</v>
      </c>
      <c r="C370" s="29" t="s">
        <v>19</v>
      </c>
      <c r="D370" s="29" t="s">
        <v>423</v>
      </c>
      <c r="E370" s="30" t="s">
        <v>39</v>
      </c>
      <c r="F370" s="31"/>
      <c r="G370" s="31"/>
    </row>
    <row r="371" spans="1:7" ht="3" customHeight="1" hidden="1">
      <c r="A371" s="75" t="s">
        <v>379</v>
      </c>
      <c r="B371" s="29" t="s">
        <v>109</v>
      </c>
      <c r="C371" s="29" t="s">
        <v>19</v>
      </c>
      <c r="D371" s="50" t="s">
        <v>295</v>
      </c>
      <c r="E371" s="30"/>
      <c r="F371" s="31">
        <f aca="true" t="shared" si="23" ref="F371:G374">F372</f>
        <v>0</v>
      </c>
      <c r="G371" s="31">
        <f t="shared" si="23"/>
        <v>0</v>
      </c>
    </row>
    <row r="372" spans="1:7" ht="51.75" hidden="1">
      <c r="A372" s="73" t="s">
        <v>380</v>
      </c>
      <c r="B372" s="29" t="s">
        <v>109</v>
      </c>
      <c r="C372" s="29" t="s">
        <v>19</v>
      </c>
      <c r="D372" s="50" t="s">
        <v>381</v>
      </c>
      <c r="E372" s="30"/>
      <c r="F372" s="31">
        <f t="shared" si="23"/>
        <v>0</v>
      </c>
      <c r="G372" s="31">
        <f t="shared" si="23"/>
        <v>0</v>
      </c>
    </row>
    <row r="373" spans="1:7" ht="15" hidden="1">
      <c r="A373" s="10" t="s">
        <v>382</v>
      </c>
      <c r="B373" s="29" t="s">
        <v>109</v>
      </c>
      <c r="C373" s="29" t="s">
        <v>19</v>
      </c>
      <c r="D373" s="47" t="s">
        <v>299</v>
      </c>
      <c r="E373" s="30"/>
      <c r="F373" s="31">
        <f t="shared" si="23"/>
        <v>0</v>
      </c>
      <c r="G373" s="31">
        <f t="shared" si="23"/>
        <v>0</v>
      </c>
    </row>
    <row r="374" spans="1:7" s="42" customFormat="1" ht="15" hidden="1">
      <c r="A374" s="59" t="s">
        <v>300</v>
      </c>
      <c r="B374" s="29" t="s">
        <v>109</v>
      </c>
      <c r="C374" s="29" t="s">
        <v>19</v>
      </c>
      <c r="D374" s="47" t="s">
        <v>301</v>
      </c>
      <c r="E374" s="30"/>
      <c r="F374" s="31">
        <f t="shared" si="23"/>
        <v>0</v>
      </c>
      <c r="G374" s="31">
        <f t="shared" si="23"/>
        <v>0</v>
      </c>
    </row>
    <row r="375" spans="1:7" ht="26.25" hidden="1">
      <c r="A375" s="35" t="s">
        <v>38</v>
      </c>
      <c r="B375" s="29" t="s">
        <v>109</v>
      </c>
      <c r="C375" s="29" t="s">
        <v>19</v>
      </c>
      <c r="D375" s="47" t="s">
        <v>301</v>
      </c>
      <c r="E375" s="30" t="s">
        <v>39</v>
      </c>
      <c r="F375" s="31"/>
      <c r="G375" s="31"/>
    </row>
    <row r="376" spans="1:7" ht="51">
      <c r="A376" s="60" t="s">
        <v>157</v>
      </c>
      <c r="B376" s="29" t="s">
        <v>109</v>
      </c>
      <c r="C376" s="29" t="s">
        <v>19</v>
      </c>
      <c r="D376" s="50" t="s">
        <v>158</v>
      </c>
      <c r="E376" s="30"/>
      <c r="F376" s="31">
        <f aca="true" t="shared" si="24" ref="F376:G379">F377</f>
        <v>36960</v>
      </c>
      <c r="G376" s="31">
        <f t="shared" si="24"/>
        <v>36960</v>
      </c>
    </row>
    <row r="377" spans="1:7" ht="63.75">
      <c r="A377" s="61" t="s">
        <v>159</v>
      </c>
      <c r="B377" s="38" t="s">
        <v>109</v>
      </c>
      <c r="C377" s="38" t="s">
        <v>19</v>
      </c>
      <c r="D377" s="58" t="s">
        <v>160</v>
      </c>
      <c r="E377" s="45"/>
      <c r="F377" s="41">
        <f t="shared" si="24"/>
        <v>36960</v>
      </c>
      <c r="G377" s="41">
        <f t="shared" si="24"/>
        <v>36960</v>
      </c>
    </row>
    <row r="378" spans="1:7" ht="51">
      <c r="A378" s="68" t="s">
        <v>432</v>
      </c>
      <c r="B378" s="29" t="s">
        <v>109</v>
      </c>
      <c r="C378" s="29" t="s">
        <v>19</v>
      </c>
      <c r="D378" s="50" t="s">
        <v>433</v>
      </c>
      <c r="E378" s="30"/>
      <c r="F378" s="31">
        <f t="shared" si="24"/>
        <v>36960</v>
      </c>
      <c r="G378" s="31">
        <f t="shared" si="24"/>
        <v>36960</v>
      </c>
    </row>
    <row r="379" spans="1:7" ht="25.5">
      <c r="A379" s="10" t="s">
        <v>163</v>
      </c>
      <c r="B379" s="29" t="s">
        <v>109</v>
      </c>
      <c r="C379" s="29" t="s">
        <v>19</v>
      </c>
      <c r="D379" s="50" t="s">
        <v>434</v>
      </c>
      <c r="E379" s="30"/>
      <c r="F379" s="31">
        <f t="shared" si="24"/>
        <v>36960</v>
      </c>
      <c r="G379" s="31">
        <f t="shared" si="24"/>
        <v>36960</v>
      </c>
    </row>
    <row r="380" spans="1:7" ht="26.25">
      <c r="A380" s="35" t="s">
        <v>38</v>
      </c>
      <c r="B380" s="29" t="s">
        <v>109</v>
      </c>
      <c r="C380" s="29" t="s">
        <v>19</v>
      </c>
      <c r="D380" s="50" t="s">
        <v>434</v>
      </c>
      <c r="E380" s="30" t="s">
        <v>39</v>
      </c>
      <c r="F380" s="31">
        <v>36960</v>
      </c>
      <c r="G380" s="31">
        <v>36960</v>
      </c>
    </row>
    <row r="381" spans="1:7" ht="25.5">
      <c r="A381" s="52" t="s">
        <v>435</v>
      </c>
      <c r="B381" s="29" t="s">
        <v>109</v>
      </c>
      <c r="C381" s="29" t="s">
        <v>19</v>
      </c>
      <c r="D381" s="29" t="s">
        <v>436</v>
      </c>
      <c r="E381" s="37"/>
      <c r="F381" s="31">
        <f aca="true" t="shared" si="25" ref="F381:G384">F382</f>
        <v>20000</v>
      </c>
      <c r="G381" s="31">
        <f t="shared" si="25"/>
        <v>20000</v>
      </c>
    </row>
    <row r="382" spans="1:7" ht="25.5" customHeight="1">
      <c r="A382" s="13" t="s">
        <v>437</v>
      </c>
      <c r="B382" s="29" t="s">
        <v>109</v>
      </c>
      <c r="C382" s="29" t="s">
        <v>19</v>
      </c>
      <c r="D382" s="29" t="s">
        <v>438</v>
      </c>
      <c r="E382" s="37"/>
      <c r="F382" s="31">
        <f t="shared" si="25"/>
        <v>20000</v>
      </c>
      <c r="G382" s="31">
        <f t="shared" si="25"/>
        <v>20000</v>
      </c>
    </row>
    <row r="383" spans="1:7" ht="51" customHeight="1" hidden="1">
      <c r="A383" s="51" t="s">
        <v>439</v>
      </c>
      <c r="B383" s="29" t="s">
        <v>109</v>
      </c>
      <c r="C383" s="29" t="s">
        <v>19</v>
      </c>
      <c r="D383" s="29" t="s">
        <v>440</v>
      </c>
      <c r="E383" s="37"/>
      <c r="F383" s="31">
        <f t="shared" si="25"/>
        <v>20000</v>
      </c>
      <c r="G383" s="31">
        <f t="shared" si="25"/>
        <v>20000</v>
      </c>
    </row>
    <row r="384" spans="1:7" ht="64.5" customHeight="1" hidden="1">
      <c r="A384" s="51" t="s">
        <v>441</v>
      </c>
      <c r="B384" s="29" t="s">
        <v>109</v>
      </c>
      <c r="C384" s="29" t="s">
        <v>19</v>
      </c>
      <c r="D384" s="29" t="s">
        <v>442</v>
      </c>
      <c r="E384" s="37"/>
      <c r="F384" s="31">
        <f t="shared" si="25"/>
        <v>20000</v>
      </c>
      <c r="G384" s="31">
        <f t="shared" si="25"/>
        <v>20000</v>
      </c>
    </row>
    <row r="385" spans="1:7" ht="26.25">
      <c r="A385" s="35" t="s">
        <v>38</v>
      </c>
      <c r="B385" s="29" t="s">
        <v>109</v>
      </c>
      <c r="C385" s="29" t="s">
        <v>19</v>
      </c>
      <c r="D385" s="29" t="s">
        <v>442</v>
      </c>
      <c r="E385" s="30" t="s">
        <v>39</v>
      </c>
      <c r="F385" s="31">
        <v>20000</v>
      </c>
      <c r="G385" s="31">
        <v>20000</v>
      </c>
    </row>
    <row r="386" spans="1:7" ht="51" hidden="1">
      <c r="A386" s="60" t="s">
        <v>443</v>
      </c>
      <c r="B386" s="29" t="s">
        <v>109</v>
      </c>
      <c r="C386" s="29" t="s">
        <v>19</v>
      </c>
      <c r="D386" s="29" t="s">
        <v>444</v>
      </c>
      <c r="E386" s="30"/>
      <c r="F386" s="31">
        <f aca="true" t="shared" si="26" ref="F386:G389">F387</f>
        <v>0</v>
      </c>
      <c r="G386" s="31">
        <f t="shared" si="26"/>
        <v>0</v>
      </c>
    </row>
    <row r="387" spans="1:7" ht="64.5" hidden="1">
      <c r="A387" s="35" t="s">
        <v>445</v>
      </c>
      <c r="B387" s="29" t="s">
        <v>109</v>
      </c>
      <c r="C387" s="29" t="s">
        <v>19</v>
      </c>
      <c r="D387" s="29" t="s">
        <v>446</v>
      </c>
      <c r="E387" s="30"/>
      <c r="F387" s="31">
        <f t="shared" si="26"/>
        <v>0</v>
      </c>
      <c r="G387" s="31">
        <f t="shared" si="26"/>
        <v>0</v>
      </c>
    </row>
    <row r="388" spans="1:8" ht="26.25" hidden="1">
      <c r="A388" s="35" t="s">
        <v>447</v>
      </c>
      <c r="B388" s="29" t="s">
        <v>109</v>
      </c>
      <c r="C388" s="29" t="s">
        <v>19</v>
      </c>
      <c r="D388" s="29" t="s">
        <v>448</v>
      </c>
      <c r="E388" s="30"/>
      <c r="F388" s="31">
        <f t="shared" si="26"/>
        <v>0</v>
      </c>
      <c r="G388" s="31">
        <f t="shared" si="26"/>
        <v>0</v>
      </c>
      <c r="H388" s="21"/>
    </row>
    <row r="389" spans="1:7" ht="25.5" hidden="1">
      <c r="A389" s="10" t="s">
        <v>163</v>
      </c>
      <c r="B389" s="29" t="s">
        <v>109</v>
      </c>
      <c r="C389" s="29" t="s">
        <v>19</v>
      </c>
      <c r="D389" s="29" t="s">
        <v>449</v>
      </c>
      <c r="E389" s="30"/>
      <c r="F389" s="31">
        <f t="shared" si="26"/>
        <v>0</v>
      </c>
      <c r="G389" s="31">
        <f t="shared" si="26"/>
        <v>0</v>
      </c>
    </row>
    <row r="390" spans="1:7" s="42" customFormat="1" ht="26.25" hidden="1">
      <c r="A390" s="35" t="s">
        <v>38</v>
      </c>
      <c r="B390" s="29" t="s">
        <v>109</v>
      </c>
      <c r="C390" s="29" t="s">
        <v>19</v>
      </c>
      <c r="D390" s="29" t="s">
        <v>449</v>
      </c>
      <c r="E390" s="30" t="s">
        <v>39</v>
      </c>
      <c r="F390" s="31"/>
      <c r="G390" s="31"/>
    </row>
    <row r="391" spans="1:7" s="42" customFormat="1" ht="15">
      <c r="A391" s="35" t="s">
        <v>450</v>
      </c>
      <c r="B391" s="29" t="s">
        <v>109</v>
      </c>
      <c r="C391" s="29" t="s">
        <v>29</v>
      </c>
      <c r="D391" s="29"/>
      <c r="E391" s="30"/>
      <c r="F391" s="31">
        <f>F392</f>
        <v>18376465</v>
      </c>
      <c r="G391" s="31">
        <f>G392</f>
        <v>16793235</v>
      </c>
    </row>
    <row r="392" spans="1:7" s="42" customFormat="1" ht="25.5" customHeight="1">
      <c r="A392" s="16" t="s">
        <v>370</v>
      </c>
      <c r="B392" s="29" t="s">
        <v>109</v>
      </c>
      <c r="C392" s="29" t="s">
        <v>29</v>
      </c>
      <c r="D392" s="29" t="s">
        <v>371</v>
      </c>
      <c r="E392" s="30"/>
      <c r="F392" s="31">
        <f>F397+F393</f>
        <v>18376465</v>
      </c>
      <c r="G392" s="31">
        <f>G397+G393</f>
        <v>16793235</v>
      </c>
    </row>
    <row r="393" spans="1:7" s="42" customFormat="1" ht="0.75" customHeight="1" hidden="1">
      <c r="A393" s="15" t="s">
        <v>372</v>
      </c>
      <c r="B393" s="29" t="s">
        <v>109</v>
      </c>
      <c r="C393" s="29" t="s">
        <v>29</v>
      </c>
      <c r="D393" s="29" t="s">
        <v>373</v>
      </c>
      <c r="E393" s="30"/>
      <c r="F393" s="41">
        <f aca="true" t="shared" si="27" ref="F393:G395">F394</f>
        <v>0</v>
      </c>
      <c r="G393" s="41">
        <f t="shared" si="27"/>
        <v>0</v>
      </c>
    </row>
    <row r="394" spans="1:7" ht="15" hidden="1">
      <c r="A394" s="81" t="s">
        <v>388</v>
      </c>
      <c r="B394" s="29" t="s">
        <v>109</v>
      </c>
      <c r="C394" s="29" t="s">
        <v>29</v>
      </c>
      <c r="D394" s="29" t="s">
        <v>389</v>
      </c>
      <c r="E394" s="45"/>
      <c r="F394" s="31">
        <f t="shared" si="27"/>
        <v>0</v>
      </c>
      <c r="G394" s="31">
        <f t="shared" si="27"/>
        <v>0</v>
      </c>
    </row>
    <row r="395" spans="1:7" ht="38.25" hidden="1">
      <c r="A395" s="59" t="s">
        <v>452</v>
      </c>
      <c r="B395" s="29" t="s">
        <v>109</v>
      </c>
      <c r="C395" s="29" t="s">
        <v>29</v>
      </c>
      <c r="D395" s="29" t="s">
        <v>453</v>
      </c>
      <c r="E395" s="45"/>
      <c r="F395" s="31">
        <f t="shared" si="27"/>
        <v>0</v>
      </c>
      <c r="G395" s="31">
        <f t="shared" si="27"/>
        <v>0</v>
      </c>
    </row>
    <row r="396" spans="1:7" ht="26.25" hidden="1">
      <c r="A396" s="35" t="s">
        <v>38</v>
      </c>
      <c r="B396" s="29" t="s">
        <v>109</v>
      </c>
      <c r="C396" s="29" t="s">
        <v>29</v>
      </c>
      <c r="D396" s="29" t="s">
        <v>453</v>
      </c>
      <c r="E396" s="30" t="s">
        <v>39</v>
      </c>
      <c r="F396" s="31"/>
      <c r="G396" s="31"/>
    </row>
    <row r="397" spans="1:7" ht="51.75">
      <c r="A397" s="35" t="s">
        <v>454</v>
      </c>
      <c r="B397" s="29" t="s">
        <v>109</v>
      </c>
      <c r="C397" s="29" t="s">
        <v>29</v>
      </c>
      <c r="D397" s="38" t="s">
        <v>455</v>
      </c>
      <c r="E397" s="30"/>
      <c r="F397" s="31">
        <f>F398+F405</f>
        <v>18376465</v>
      </c>
      <c r="G397" s="31">
        <f>G398+G405</f>
        <v>16793235</v>
      </c>
    </row>
    <row r="398" spans="1:7" ht="24.75" customHeight="1">
      <c r="A398" s="10" t="s">
        <v>456</v>
      </c>
      <c r="B398" s="29" t="s">
        <v>109</v>
      </c>
      <c r="C398" s="29" t="s">
        <v>29</v>
      </c>
      <c r="D398" s="29" t="s">
        <v>457</v>
      </c>
      <c r="E398" s="30"/>
      <c r="F398" s="31">
        <f>F399+F409</f>
        <v>9432815</v>
      </c>
      <c r="G398" s="31">
        <f>G399+G409</f>
        <v>8049585</v>
      </c>
    </row>
    <row r="399" spans="1:7" ht="25.5">
      <c r="A399" s="10" t="s">
        <v>201</v>
      </c>
      <c r="B399" s="29" t="s">
        <v>109</v>
      </c>
      <c r="C399" s="29" t="s">
        <v>29</v>
      </c>
      <c r="D399" s="29" t="s">
        <v>458</v>
      </c>
      <c r="E399" s="30"/>
      <c r="F399" s="31">
        <f>F400+F401+F404+F402+F403</f>
        <v>9432815</v>
      </c>
      <c r="G399" s="31">
        <f>G400+G401+G404+G402+G403</f>
        <v>8049585</v>
      </c>
    </row>
    <row r="400" spans="1:7" ht="14.25" customHeight="1" hidden="1">
      <c r="A400" s="35" t="s">
        <v>26</v>
      </c>
      <c r="B400" s="29" t="s">
        <v>109</v>
      </c>
      <c r="C400" s="29" t="s">
        <v>29</v>
      </c>
      <c r="D400" s="29" t="s">
        <v>458</v>
      </c>
      <c r="E400" s="30" t="s">
        <v>27</v>
      </c>
      <c r="F400" s="31"/>
      <c r="G400" s="31"/>
    </row>
    <row r="401" spans="1:7" ht="26.25" hidden="1">
      <c r="A401" s="35" t="s">
        <v>38</v>
      </c>
      <c r="B401" s="29" t="s">
        <v>109</v>
      </c>
      <c r="C401" s="29" t="s">
        <v>29</v>
      </c>
      <c r="D401" s="29" t="s">
        <v>458</v>
      </c>
      <c r="E401" s="30" t="s">
        <v>39</v>
      </c>
      <c r="F401" s="31"/>
      <c r="G401" s="31"/>
    </row>
    <row r="402" spans="1:7" ht="26.25" hidden="1">
      <c r="A402" s="16" t="s">
        <v>271</v>
      </c>
      <c r="B402" s="29" t="s">
        <v>109</v>
      </c>
      <c r="C402" s="29" t="s">
        <v>29</v>
      </c>
      <c r="D402" s="29" t="s">
        <v>458</v>
      </c>
      <c r="E402" s="30" t="s">
        <v>272</v>
      </c>
      <c r="F402" s="31"/>
      <c r="G402" s="31"/>
    </row>
    <row r="403" spans="1:7" ht="26.25">
      <c r="A403" s="16" t="s">
        <v>140</v>
      </c>
      <c r="B403" s="29" t="s">
        <v>109</v>
      </c>
      <c r="C403" s="29" t="s">
        <v>29</v>
      </c>
      <c r="D403" s="29" t="s">
        <v>458</v>
      </c>
      <c r="E403" s="30" t="s">
        <v>141</v>
      </c>
      <c r="F403" s="31">
        <f>22357768-11443650-4724340+2500000+743037</f>
        <v>9432815</v>
      </c>
      <c r="G403" s="31">
        <f>22357768-11443650-4724340-700893-139300+2700000</f>
        <v>8049585</v>
      </c>
    </row>
    <row r="404" spans="1:7" s="42" customFormat="1" ht="15">
      <c r="A404" s="10" t="s">
        <v>84</v>
      </c>
      <c r="B404" s="29" t="s">
        <v>109</v>
      </c>
      <c r="C404" s="29" t="s">
        <v>29</v>
      </c>
      <c r="D404" s="29" t="s">
        <v>458</v>
      </c>
      <c r="E404" s="30" t="s">
        <v>85</v>
      </c>
      <c r="F404" s="31"/>
      <c r="G404" s="31"/>
    </row>
    <row r="405" spans="2:7" s="42" customFormat="1" ht="15">
      <c r="B405" s="29" t="s">
        <v>109</v>
      </c>
      <c r="C405" s="29" t="s">
        <v>29</v>
      </c>
      <c r="D405" s="29" t="s">
        <v>460</v>
      </c>
      <c r="E405" s="30"/>
      <c r="F405" s="31">
        <f>F406</f>
        <v>8943650</v>
      </c>
      <c r="G405" s="31">
        <f>G406</f>
        <v>8743650</v>
      </c>
    </row>
    <row r="406" spans="1:7" s="42" customFormat="1" ht="25.5">
      <c r="A406" s="10" t="s">
        <v>201</v>
      </c>
      <c r="B406" s="29" t="s">
        <v>109</v>
      </c>
      <c r="C406" s="29" t="s">
        <v>29</v>
      </c>
      <c r="D406" s="29" t="s">
        <v>461</v>
      </c>
      <c r="E406" s="30"/>
      <c r="F406" s="31">
        <f>F407</f>
        <v>8943650</v>
      </c>
      <c r="G406" s="31">
        <f>G407</f>
        <v>8743650</v>
      </c>
    </row>
    <row r="407" spans="1:7" s="42" customFormat="1" ht="25.5" customHeight="1">
      <c r="A407" s="16" t="s">
        <v>140</v>
      </c>
      <c r="B407" s="29" t="s">
        <v>109</v>
      </c>
      <c r="C407" s="29" t="s">
        <v>29</v>
      </c>
      <c r="D407" s="29" t="s">
        <v>461</v>
      </c>
      <c r="E407" s="30" t="s">
        <v>141</v>
      </c>
      <c r="F407" s="31">
        <f>11443650-2500000</f>
        <v>8943650</v>
      </c>
      <c r="G407" s="31">
        <f>11443650-2700000</f>
        <v>8743650</v>
      </c>
    </row>
    <row r="408" spans="1:7" s="42" customFormat="1" ht="15" hidden="1">
      <c r="A408" s="10"/>
      <c r="B408" s="29"/>
      <c r="C408" s="29"/>
      <c r="D408" s="29"/>
      <c r="E408" s="30"/>
      <c r="F408" s="31"/>
      <c r="G408" s="31"/>
    </row>
    <row r="409" spans="1:7" s="42" customFormat="1" ht="25.5" hidden="1">
      <c r="A409" s="10" t="s">
        <v>236</v>
      </c>
      <c r="B409" s="29" t="s">
        <v>109</v>
      </c>
      <c r="C409" s="29" t="s">
        <v>29</v>
      </c>
      <c r="D409" s="29" t="s">
        <v>656</v>
      </c>
      <c r="E409" s="30"/>
      <c r="F409" s="31">
        <f>F410</f>
        <v>0</v>
      </c>
      <c r="G409" s="31">
        <f>G410</f>
        <v>0</v>
      </c>
    </row>
    <row r="410" spans="1:7" s="42" customFormat="1" ht="26.25" hidden="1">
      <c r="A410" s="35" t="s">
        <v>38</v>
      </c>
      <c r="B410" s="29" t="s">
        <v>109</v>
      </c>
      <c r="C410" s="29" t="s">
        <v>29</v>
      </c>
      <c r="D410" s="29" t="s">
        <v>656</v>
      </c>
      <c r="E410" s="30" t="s">
        <v>39</v>
      </c>
      <c r="F410" s="31"/>
      <c r="G410" s="31"/>
    </row>
    <row r="411" spans="1:7" ht="15">
      <c r="A411" s="16" t="s">
        <v>462</v>
      </c>
      <c r="B411" s="29" t="s">
        <v>109</v>
      </c>
      <c r="C411" s="29" t="s">
        <v>109</v>
      </c>
      <c r="D411" s="29"/>
      <c r="E411" s="30"/>
      <c r="F411" s="31">
        <f>F412</f>
        <v>2549041</v>
      </c>
      <c r="G411" s="31">
        <f>G412</f>
        <v>2549041</v>
      </c>
    </row>
    <row r="412" spans="1:7" ht="51">
      <c r="A412" s="10" t="s">
        <v>463</v>
      </c>
      <c r="B412" s="29" t="s">
        <v>109</v>
      </c>
      <c r="C412" s="29" t="s">
        <v>109</v>
      </c>
      <c r="D412" s="50" t="s">
        <v>464</v>
      </c>
      <c r="E412" s="30"/>
      <c r="F412" s="31">
        <f>F413+F418</f>
        <v>2549041</v>
      </c>
      <c r="G412" s="31">
        <f>G413+G418</f>
        <v>2549041</v>
      </c>
    </row>
    <row r="413" spans="1:7" ht="63.75">
      <c r="A413" s="10" t="s">
        <v>465</v>
      </c>
      <c r="B413" s="38" t="s">
        <v>109</v>
      </c>
      <c r="C413" s="38" t="s">
        <v>109</v>
      </c>
      <c r="D413" s="58" t="s">
        <v>466</v>
      </c>
      <c r="E413" s="82"/>
      <c r="F413" s="41">
        <f>F414</f>
        <v>100000</v>
      </c>
      <c r="G413" s="41">
        <f>G414</f>
        <v>100000</v>
      </c>
    </row>
    <row r="414" spans="1:7" ht="38.25">
      <c r="A414" s="10" t="s">
        <v>467</v>
      </c>
      <c r="B414" s="29" t="s">
        <v>109</v>
      </c>
      <c r="C414" s="29" t="s">
        <v>109</v>
      </c>
      <c r="D414" s="50" t="s">
        <v>468</v>
      </c>
      <c r="E414" s="56"/>
      <c r="F414" s="31">
        <f>F415</f>
        <v>100000</v>
      </c>
      <c r="G414" s="31">
        <f>G415</f>
        <v>100000</v>
      </c>
    </row>
    <row r="415" spans="1:7" s="42" customFormat="1" ht="15">
      <c r="A415" s="10" t="s">
        <v>469</v>
      </c>
      <c r="B415" s="29" t="s">
        <v>109</v>
      </c>
      <c r="C415" s="29" t="s">
        <v>109</v>
      </c>
      <c r="D415" s="50" t="s">
        <v>470</v>
      </c>
      <c r="E415" s="56"/>
      <c r="F415" s="31">
        <f>F416+F417</f>
        <v>100000</v>
      </c>
      <c r="G415" s="31">
        <f>G416+G417</f>
        <v>100000</v>
      </c>
    </row>
    <row r="416" spans="1:7" ht="25.5" customHeight="1">
      <c r="A416" s="35" t="s">
        <v>38</v>
      </c>
      <c r="B416" s="29" t="s">
        <v>109</v>
      </c>
      <c r="C416" s="29" t="s">
        <v>109</v>
      </c>
      <c r="D416" s="50" t="s">
        <v>470</v>
      </c>
      <c r="E416" s="56" t="s">
        <v>39</v>
      </c>
      <c r="F416" s="31">
        <v>100000</v>
      </c>
      <c r="G416" s="31">
        <v>100000</v>
      </c>
    </row>
    <row r="417" spans="1:7" ht="15" hidden="1">
      <c r="A417" s="16" t="s">
        <v>211</v>
      </c>
      <c r="B417" s="29" t="s">
        <v>109</v>
      </c>
      <c r="C417" s="29" t="s">
        <v>109</v>
      </c>
      <c r="D417" s="50" t="s">
        <v>470</v>
      </c>
      <c r="E417" s="56" t="s">
        <v>212</v>
      </c>
      <c r="F417" s="31"/>
      <c r="G417" s="31"/>
    </row>
    <row r="418" spans="1:7" ht="51">
      <c r="A418" s="53" t="s">
        <v>471</v>
      </c>
      <c r="B418" s="38" t="s">
        <v>109</v>
      </c>
      <c r="C418" s="38" t="s">
        <v>109</v>
      </c>
      <c r="D418" s="58" t="s">
        <v>472</v>
      </c>
      <c r="E418" s="82"/>
      <c r="F418" s="41">
        <f>F419+F431+F428</f>
        <v>2449041</v>
      </c>
      <c r="G418" s="41">
        <f>G419+G431+G428</f>
        <v>2449041</v>
      </c>
    </row>
    <row r="419" spans="1:7" ht="24.75" customHeight="1">
      <c r="A419" s="10" t="s">
        <v>473</v>
      </c>
      <c r="B419" s="29" t="s">
        <v>109</v>
      </c>
      <c r="C419" s="29" t="s">
        <v>109</v>
      </c>
      <c r="D419" s="50" t="s">
        <v>474</v>
      </c>
      <c r="E419" s="56"/>
      <c r="F419" s="31">
        <f>F420+F423+F426</f>
        <v>1785165</v>
      </c>
      <c r="G419" s="31">
        <f>G420+G423+G426</f>
        <v>1785165</v>
      </c>
    </row>
    <row r="420" spans="1:7" ht="14.25" customHeight="1" hidden="1">
      <c r="A420" s="16" t="s">
        <v>475</v>
      </c>
      <c r="B420" s="29" t="s">
        <v>109</v>
      </c>
      <c r="C420" s="29" t="s">
        <v>109</v>
      </c>
      <c r="D420" s="50" t="s">
        <v>476</v>
      </c>
      <c r="E420" s="30"/>
      <c r="F420" s="31">
        <f>F421+F422</f>
        <v>0</v>
      </c>
      <c r="G420" s="31">
        <f>G421+G422</f>
        <v>0</v>
      </c>
    </row>
    <row r="421" spans="1:8" ht="26.25" hidden="1">
      <c r="A421" s="35" t="s">
        <v>38</v>
      </c>
      <c r="B421" s="29" t="s">
        <v>109</v>
      </c>
      <c r="C421" s="29" t="s">
        <v>109</v>
      </c>
      <c r="D421" s="50" t="s">
        <v>476</v>
      </c>
      <c r="E421" s="56" t="s">
        <v>39</v>
      </c>
      <c r="F421" s="31"/>
      <c r="G421" s="31"/>
      <c r="H421" s="21"/>
    </row>
    <row r="422" spans="1:8" ht="15" hidden="1">
      <c r="A422" s="16" t="s">
        <v>211</v>
      </c>
      <c r="B422" s="29" t="s">
        <v>109</v>
      </c>
      <c r="C422" s="29" t="s">
        <v>109</v>
      </c>
      <c r="D422" s="50" t="s">
        <v>476</v>
      </c>
      <c r="E422" s="56" t="s">
        <v>212</v>
      </c>
      <c r="F422" s="31"/>
      <c r="G422" s="31"/>
      <c r="H422" s="21"/>
    </row>
    <row r="423" spans="1:7" ht="15">
      <c r="A423" s="44" t="s">
        <v>477</v>
      </c>
      <c r="B423" s="29" t="s">
        <v>109</v>
      </c>
      <c r="C423" s="29" t="s">
        <v>109</v>
      </c>
      <c r="D423" s="50" t="s">
        <v>478</v>
      </c>
      <c r="E423" s="30"/>
      <c r="F423" s="31">
        <f>F425+F424</f>
        <v>1785165</v>
      </c>
      <c r="G423" s="31">
        <f>G425+G424</f>
        <v>1785165</v>
      </c>
    </row>
    <row r="424" spans="1:7" ht="26.25">
      <c r="A424" s="35" t="s">
        <v>38</v>
      </c>
      <c r="B424" s="29" t="s">
        <v>109</v>
      </c>
      <c r="C424" s="29" t="s">
        <v>109</v>
      </c>
      <c r="D424" s="50" t="s">
        <v>478</v>
      </c>
      <c r="E424" s="30" t="s">
        <v>39</v>
      </c>
      <c r="F424" s="31">
        <v>693165</v>
      </c>
      <c r="G424" s="31">
        <v>693165</v>
      </c>
    </row>
    <row r="425" spans="1:7" ht="15">
      <c r="A425" s="16" t="s">
        <v>211</v>
      </c>
      <c r="B425" s="29" t="s">
        <v>109</v>
      </c>
      <c r="C425" s="29" t="s">
        <v>109</v>
      </c>
      <c r="D425" s="50" t="s">
        <v>478</v>
      </c>
      <c r="E425" s="56" t="s">
        <v>212</v>
      </c>
      <c r="F425" s="31">
        <v>1092000</v>
      </c>
      <c r="G425" s="31">
        <v>1092000</v>
      </c>
    </row>
    <row r="426" spans="1:7" ht="15" hidden="1">
      <c r="A426" s="83" t="s">
        <v>479</v>
      </c>
      <c r="B426" s="29" t="s">
        <v>109</v>
      </c>
      <c r="C426" s="29" t="s">
        <v>109</v>
      </c>
      <c r="D426" s="50" t="s">
        <v>480</v>
      </c>
      <c r="E426" s="30"/>
      <c r="F426" s="31">
        <f>F427</f>
        <v>0</v>
      </c>
      <c r="G426" s="31">
        <f>G427</f>
        <v>0</v>
      </c>
    </row>
    <row r="427" spans="1:7" ht="15" hidden="1">
      <c r="A427" s="16" t="s">
        <v>211</v>
      </c>
      <c r="B427" s="29" t="s">
        <v>109</v>
      </c>
      <c r="C427" s="29" t="s">
        <v>109</v>
      </c>
      <c r="D427" s="50" t="s">
        <v>480</v>
      </c>
      <c r="E427" s="56" t="s">
        <v>212</v>
      </c>
      <c r="F427" s="31"/>
      <c r="G427" s="31"/>
    </row>
    <row r="428" spans="1:7" ht="15" hidden="1">
      <c r="A428" s="10" t="s">
        <v>481</v>
      </c>
      <c r="B428" s="29" t="s">
        <v>109</v>
      </c>
      <c r="C428" s="29" t="s">
        <v>109</v>
      </c>
      <c r="D428" s="50" t="s">
        <v>482</v>
      </c>
      <c r="E428" s="56"/>
      <c r="F428" s="31">
        <f>F429</f>
        <v>0</v>
      </c>
      <c r="G428" s="31">
        <f>G429</f>
        <v>0</v>
      </c>
    </row>
    <row r="429" spans="1:7" ht="15" hidden="1">
      <c r="A429" s="35" t="s">
        <v>479</v>
      </c>
      <c r="B429" s="29" t="s">
        <v>109</v>
      </c>
      <c r="C429" s="29" t="s">
        <v>109</v>
      </c>
      <c r="D429" s="50" t="s">
        <v>483</v>
      </c>
      <c r="E429" s="56"/>
      <c r="F429" s="31">
        <f>F430</f>
        <v>0</v>
      </c>
      <c r="G429" s="31">
        <f>G430</f>
        <v>0</v>
      </c>
    </row>
    <row r="430" spans="1:7" ht="26.25" hidden="1">
      <c r="A430" s="35" t="s">
        <v>38</v>
      </c>
      <c r="B430" s="29" t="s">
        <v>109</v>
      </c>
      <c r="C430" s="29" t="s">
        <v>109</v>
      </c>
      <c r="D430" s="50" t="s">
        <v>483</v>
      </c>
      <c r="E430" s="56" t="s">
        <v>39</v>
      </c>
      <c r="F430" s="31"/>
      <c r="G430" s="31"/>
    </row>
    <row r="431" spans="1:7" ht="38.25">
      <c r="A431" s="10" t="s">
        <v>484</v>
      </c>
      <c r="B431" s="29" t="s">
        <v>109</v>
      </c>
      <c r="C431" s="29" t="s">
        <v>109</v>
      </c>
      <c r="D431" s="50" t="s">
        <v>485</v>
      </c>
      <c r="E431" s="56"/>
      <c r="F431" s="31">
        <f>F436+F432+F434</f>
        <v>663876</v>
      </c>
      <c r="G431" s="31">
        <f>G436+G432+G434</f>
        <v>663876</v>
      </c>
    </row>
    <row r="432" spans="1:7" ht="25.5" hidden="1">
      <c r="A432" s="10" t="s">
        <v>486</v>
      </c>
      <c r="B432" s="29" t="s">
        <v>109</v>
      </c>
      <c r="C432" s="29" t="s">
        <v>109</v>
      </c>
      <c r="D432" s="50" t="s">
        <v>487</v>
      </c>
      <c r="E432" s="56"/>
      <c r="F432" s="31">
        <f>F433</f>
        <v>0</v>
      </c>
      <c r="G432" s="31">
        <f>G433</f>
        <v>0</v>
      </c>
    </row>
    <row r="433" spans="1:7" ht="26.25" hidden="1">
      <c r="A433" s="35" t="s">
        <v>38</v>
      </c>
      <c r="B433" s="29" t="s">
        <v>109</v>
      </c>
      <c r="C433" s="29" t="s">
        <v>109</v>
      </c>
      <c r="D433" s="50" t="s">
        <v>487</v>
      </c>
      <c r="E433" s="56" t="s">
        <v>39</v>
      </c>
      <c r="F433" s="31"/>
      <c r="G433" s="31"/>
    </row>
    <row r="434" spans="1:7" ht="38.25" hidden="1">
      <c r="A434" s="10" t="s">
        <v>488</v>
      </c>
      <c r="B434" s="29" t="s">
        <v>109</v>
      </c>
      <c r="C434" s="29" t="s">
        <v>109</v>
      </c>
      <c r="D434" s="50" t="s">
        <v>489</v>
      </c>
      <c r="E434" s="56"/>
      <c r="F434" s="31">
        <f>F435</f>
        <v>0</v>
      </c>
      <c r="G434" s="31">
        <f>G435</f>
        <v>0</v>
      </c>
    </row>
    <row r="435" spans="1:7" ht="26.25" hidden="1">
      <c r="A435" s="35" t="s">
        <v>38</v>
      </c>
      <c r="B435" s="29" t="s">
        <v>109</v>
      </c>
      <c r="C435" s="29" t="s">
        <v>109</v>
      </c>
      <c r="D435" s="50" t="s">
        <v>489</v>
      </c>
      <c r="E435" s="56" t="s">
        <v>39</v>
      </c>
      <c r="F435" s="31"/>
      <c r="G435" s="31"/>
    </row>
    <row r="436" spans="1:7" ht="25.5" customHeight="1">
      <c r="A436" s="8" t="s">
        <v>201</v>
      </c>
      <c r="B436" s="29" t="s">
        <v>109</v>
      </c>
      <c r="C436" s="29" t="s">
        <v>109</v>
      </c>
      <c r="D436" s="50" t="s">
        <v>490</v>
      </c>
      <c r="E436" s="56"/>
      <c r="F436" s="31">
        <f>F437+F438+F440+F439</f>
        <v>663876</v>
      </c>
      <c r="G436" s="31">
        <f>G437+G438+G440+G439</f>
        <v>663876</v>
      </c>
    </row>
    <row r="437" spans="1:7" ht="26.25" hidden="1">
      <c r="A437" s="16" t="s">
        <v>491</v>
      </c>
      <c r="B437" s="29" t="s">
        <v>109</v>
      </c>
      <c r="C437" s="29" t="s">
        <v>109</v>
      </c>
      <c r="D437" s="50" t="s">
        <v>490</v>
      </c>
      <c r="E437" s="30" t="s">
        <v>27</v>
      </c>
      <c r="F437" s="31"/>
      <c r="G437" s="31"/>
    </row>
    <row r="438" spans="1:7" ht="26.25" hidden="1">
      <c r="A438" s="35" t="s">
        <v>38</v>
      </c>
      <c r="B438" s="29" t="s">
        <v>109</v>
      </c>
      <c r="C438" s="29" t="s">
        <v>109</v>
      </c>
      <c r="D438" s="50" t="s">
        <v>490</v>
      </c>
      <c r="E438" s="56" t="s">
        <v>39</v>
      </c>
      <c r="F438" s="31"/>
      <c r="G438" s="31"/>
    </row>
    <row r="439" spans="1:7" ht="26.25">
      <c r="A439" s="16" t="s">
        <v>140</v>
      </c>
      <c r="B439" s="29" t="s">
        <v>109</v>
      </c>
      <c r="C439" s="29" t="s">
        <v>109</v>
      </c>
      <c r="D439" s="50" t="s">
        <v>490</v>
      </c>
      <c r="E439" s="56" t="s">
        <v>141</v>
      </c>
      <c r="F439" s="31">
        <f>884876-221000</f>
        <v>663876</v>
      </c>
      <c r="G439" s="31">
        <f>884876-221000</f>
        <v>663876</v>
      </c>
    </row>
    <row r="440" spans="1:7" s="42" customFormat="1" ht="15" hidden="1">
      <c r="A440" s="10" t="s">
        <v>84</v>
      </c>
      <c r="B440" s="29" t="s">
        <v>109</v>
      </c>
      <c r="C440" s="29" t="s">
        <v>109</v>
      </c>
      <c r="D440" s="50" t="s">
        <v>490</v>
      </c>
      <c r="E440" s="56" t="s">
        <v>85</v>
      </c>
      <c r="F440" s="31"/>
      <c r="G440" s="31"/>
    </row>
    <row r="441" spans="1:7" ht="15">
      <c r="A441" s="16" t="s">
        <v>493</v>
      </c>
      <c r="B441" s="29" t="s">
        <v>109</v>
      </c>
      <c r="C441" s="29" t="s">
        <v>248</v>
      </c>
      <c r="D441" s="29"/>
      <c r="E441" s="30"/>
      <c r="F441" s="31">
        <f>F442+F456</f>
        <v>8052078</v>
      </c>
      <c r="G441" s="31">
        <f>G442+G456</f>
        <v>6197551</v>
      </c>
    </row>
    <row r="442" spans="1:7" ht="26.25">
      <c r="A442" s="16" t="s">
        <v>370</v>
      </c>
      <c r="B442" s="29" t="s">
        <v>109</v>
      </c>
      <c r="C442" s="29" t="s">
        <v>248</v>
      </c>
      <c r="D442" s="29" t="s">
        <v>371</v>
      </c>
      <c r="E442" s="30"/>
      <c r="F442" s="31">
        <f>F443</f>
        <v>8052078</v>
      </c>
      <c r="G442" s="31">
        <f>G443</f>
        <v>6197551</v>
      </c>
    </row>
    <row r="443" spans="1:7" ht="51">
      <c r="A443" s="52" t="s">
        <v>494</v>
      </c>
      <c r="B443" s="38" t="s">
        <v>109</v>
      </c>
      <c r="C443" s="38" t="s">
        <v>248</v>
      </c>
      <c r="D443" s="38" t="s">
        <v>495</v>
      </c>
      <c r="E443" s="45"/>
      <c r="F443" s="41">
        <f>F444+F451</f>
        <v>8052078</v>
      </c>
      <c r="G443" s="41">
        <f>G444+G451</f>
        <v>6197551</v>
      </c>
    </row>
    <row r="444" spans="1:7" ht="25.5">
      <c r="A444" s="10" t="s">
        <v>496</v>
      </c>
      <c r="B444" s="29" t="s">
        <v>109</v>
      </c>
      <c r="C444" s="29" t="s">
        <v>248</v>
      </c>
      <c r="D444" s="29" t="s">
        <v>497</v>
      </c>
      <c r="E444" s="30"/>
      <c r="F444" s="31">
        <f>F445+F449</f>
        <v>7762203</v>
      </c>
      <c r="G444" s="31">
        <f>G445+G449</f>
        <v>5907676</v>
      </c>
    </row>
    <row r="445" spans="1:9" ht="14.25" customHeight="1">
      <c r="A445" s="10" t="s">
        <v>201</v>
      </c>
      <c r="B445" s="29" t="s">
        <v>109</v>
      </c>
      <c r="C445" s="29" t="s">
        <v>248</v>
      </c>
      <c r="D445" s="29" t="s">
        <v>498</v>
      </c>
      <c r="E445" s="30"/>
      <c r="F445" s="31">
        <f>F446+F447+F448</f>
        <v>7762203</v>
      </c>
      <c r="G445" s="31">
        <f>G446+G447+G448</f>
        <v>5907676</v>
      </c>
      <c r="I445" s="21"/>
    </row>
    <row r="446" spans="1:9" ht="39">
      <c r="A446" s="35" t="s">
        <v>26</v>
      </c>
      <c r="B446" s="29" t="s">
        <v>109</v>
      </c>
      <c r="C446" s="29" t="s">
        <v>248</v>
      </c>
      <c r="D446" s="29" t="s">
        <v>498</v>
      </c>
      <c r="E446" s="30" t="s">
        <v>27</v>
      </c>
      <c r="F446" s="31">
        <f>8473000-1860569</f>
        <v>6612431</v>
      </c>
      <c r="G446" s="31">
        <f>8473000-90420-3360981-263695</f>
        <v>4757904</v>
      </c>
      <c r="I446" s="21"/>
    </row>
    <row r="447" spans="1:9" ht="26.25">
      <c r="A447" s="35" t="s">
        <v>38</v>
      </c>
      <c r="B447" s="29" t="s">
        <v>109</v>
      </c>
      <c r="C447" s="29" t="s">
        <v>248</v>
      </c>
      <c r="D447" s="29" t="s">
        <v>498</v>
      </c>
      <c r="E447" s="30" t="s">
        <v>39</v>
      </c>
      <c r="F447" s="31">
        <v>1132462</v>
      </c>
      <c r="G447" s="31">
        <v>1132462</v>
      </c>
      <c r="I447" s="21"/>
    </row>
    <row r="448" spans="1:7" ht="15.75" customHeight="1">
      <c r="A448" s="10" t="s">
        <v>84</v>
      </c>
      <c r="B448" s="29" t="s">
        <v>109</v>
      </c>
      <c r="C448" s="29" t="s">
        <v>248</v>
      </c>
      <c r="D448" s="29" t="s">
        <v>498</v>
      </c>
      <c r="E448" s="30" t="s">
        <v>85</v>
      </c>
      <c r="F448" s="31">
        <v>17310</v>
      </c>
      <c r="G448" s="31">
        <v>17310</v>
      </c>
    </row>
    <row r="449" spans="1:7" ht="25.5" hidden="1">
      <c r="A449" s="10" t="s">
        <v>236</v>
      </c>
      <c r="B449" s="29" t="s">
        <v>109</v>
      </c>
      <c r="C449" s="29" t="s">
        <v>248</v>
      </c>
      <c r="D449" s="29" t="s">
        <v>657</v>
      </c>
      <c r="E449" s="30"/>
      <c r="F449" s="31">
        <f>F450</f>
        <v>0</v>
      </c>
      <c r="G449" s="31">
        <f>G450</f>
        <v>0</v>
      </c>
    </row>
    <row r="450" spans="1:7" ht="26.25" hidden="1">
      <c r="A450" s="35" t="s">
        <v>38</v>
      </c>
      <c r="B450" s="29" t="s">
        <v>109</v>
      </c>
      <c r="C450" s="29" t="s">
        <v>248</v>
      </c>
      <c r="D450" s="29" t="s">
        <v>657</v>
      </c>
      <c r="E450" s="30" t="s">
        <v>39</v>
      </c>
      <c r="F450" s="31"/>
      <c r="G450" s="31"/>
    </row>
    <row r="451" spans="1:7" ht="25.5">
      <c r="A451" s="10" t="s">
        <v>499</v>
      </c>
      <c r="B451" s="29" t="s">
        <v>109</v>
      </c>
      <c r="C451" s="29" t="s">
        <v>248</v>
      </c>
      <c r="D451" s="29" t="s">
        <v>500</v>
      </c>
      <c r="E451" s="30"/>
      <c r="F451" s="31">
        <f>F452+F454</f>
        <v>289875</v>
      </c>
      <c r="G451" s="31">
        <f>G452+G454</f>
        <v>289875</v>
      </c>
    </row>
    <row r="452" spans="1:7" ht="26.25">
      <c r="A452" s="8" t="s">
        <v>501</v>
      </c>
      <c r="B452" s="29" t="s">
        <v>109</v>
      </c>
      <c r="C452" s="29" t="s">
        <v>248</v>
      </c>
      <c r="D452" s="29" t="s">
        <v>502</v>
      </c>
      <c r="E452" s="30"/>
      <c r="F452" s="31">
        <f>F453</f>
        <v>289875</v>
      </c>
      <c r="G452" s="31">
        <f>G453</f>
        <v>289875</v>
      </c>
    </row>
    <row r="453" spans="1:7" ht="38.25" customHeight="1">
      <c r="A453" s="35" t="s">
        <v>26</v>
      </c>
      <c r="B453" s="29" t="s">
        <v>109</v>
      </c>
      <c r="C453" s="29" t="s">
        <v>248</v>
      </c>
      <c r="D453" s="29" t="s">
        <v>502</v>
      </c>
      <c r="E453" s="30" t="s">
        <v>27</v>
      </c>
      <c r="F453" s="31">
        <v>289875</v>
      </c>
      <c r="G453" s="31">
        <v>289875</v>
      </c>
    </row>
    <row r="454" spans="1:7" ht="15" hidden="1">
      <c r="A454" s="35" t="s">
        <v>421</v>
      </c>
      <c r="B454" s="29" t="s">
        <v>109</v>
      </c>
      <c r="C454" s="29" t="s">
        <v>248</v>
      </c>
      <c r="D454" s="29" t="s">
        <v>503</v>
      </c>
      <c r="E454" s="30"/>
      <c r="F454" s="31">
        <f>F455</f>
        <v>0</v>
      </c>
      <c r="G454" s="31">
        <f>G455</f>
        <v>0</v>
      </c>
    </row>
    <row r="455" spans="1:7" ht="26.25" hidden="1">
      <c r="A455" s="35" t="s">
        <v>38</v>
      </c>
      <c r="B455" s="29" t="s">
        <v>109</v>
      </c>
      <c r="C455" s="29" t="s">
        <v>248</v>
      </c>
      <c r="D455" s="29" t="s">
        <v>503</v>
      </c>
      <c r="E455" s="30" t="s">
        <v>39</v>
      </c>
      <c r="F455" s="31"/>
      <c r="G455" s="31"/>
    </row>
    <row r="456" spans="1:7" ht="25.5" hidden="1">
      <c r="A456" s="10" t="s">
        <v>504</v>
      </c>
      <c r="B456" s="29" t="s">
        <v>109</v>
      </c>
      <c r="C456" s="29" t="s">
        <v>248</v>
      </c>
      <c r="D456" s="36" t="s">
        <v>505</v>
      </c>
      <c r="E456" s="30"/>
      <c r="F456" s="31">
        <f aca="true" t="shared" si="28" ref="F456:G458">F457</f>
        <v>0</v>
      </c>
      <c r="G456" s="31">
        <f t="shared" si="28"/>
        <v>0</v>
      </c>
    </row>
    <row r="457" spans="1:7" ht="25.5" hidden="1">
      <c r="A457" s="10" t="s">
        <v>506</v>
      </c>
      <c r="B457" s="29" t="s">
        <v>109</v>
      </c>
      <c r="C457" s="29" t="s">
        <v>248</v>
      </c>
      <c r="D457" s="36" t="s">
        <v>507</v>
      </c>
      <c r="E457" s="30"/>
      <c r="F457" s="31">
        <f t="shared" si="28"/>
        <v>0</v>
      </c>
      <c r="G457" s="31">
        <f t="shared" si="28"/>
        <v>0</v>
      </c>
    </row>
    <row r="458" spans="1:7" ht="15" hidden="1">
      <c r="A458" s="10" t="s">
        <v>508</v>
      </c>
      <c r="B458" s="29" t="s">
        <v>109</v>
      </c>
      <c r="C458" s="29" t="s">
        <v>248</v>
      </c>
      <c r="D458" s="85" t="s">
        <v>509</v>
      </c>
      <c r="E458" s="30"/>
      <c r="F458" s="31">
        <f t="shared" si="28"/>
        <v>0</v>
      </c>
      <c r="G458" s="31">
        <f t="shared" si="28"/>
        <v>0</v>
      </c>
    </row>
    <row r="459" spans="1:7" ht="26.25" hidden="1">
      <c r="A459" s="35" t="s">
        <v>38</v>
      </c>
      <c r="B459" s="29" t="s">
        <v>109</v>
      </c>
      <c r="C459" s="29" t="s">
        <v>248</v>
      </c>
      <c r="D459" s="36" t="s">
        <v>509</v>
      </c>
      <c r="E459" s="30" t="s">
        <v>39</v>
      </c>
      <c r="F459" s="31"/>
      <c r="G459" s="31"/>
    </row>
    <row r="460" spans="1:7" s="42" customFormat="1" ht="15">
      <c r="A460" s="16" t="s">
        <v>510</v>
      </c>
      <c r="B460" s="29" t="s">
        <v>240</v>
      </c>
      <c r="C460" s="29"/>
      <c r="D460" s="29"/>
      <c r="E460" s="56"/>
      <c r="F460" s="31">
        <f>F461+F487</f>
        <v>24414958</v>
      </c>
      <c r="G460" s="31">
        <f>G461+G487</f>
        <v>23528859</v>
      </c>
    </row>
    <row r="461" spans="1:7" ht="15">
      <c r="A461" s="16" t="s">
        <v>511</v>
      </c>
      <c r="B461" s="29" t="s">
        <v>240</v>
      </c>
      <c r="C461" s="29" t="s">
        <v>17</v>
      </c>
      <c r="D461" s="50"/>
      <c r="E461" s="56"/>
      <c r="F461" s="31">
        <f>F462+F478+F483</f>
        <v>21432029</v>
      </c>
      <c r="G461" s="31">
        <f>G462+G478+G483</f>
        <v>20666091</v>
      </c>
    </row>
    <row r="462" spans="1:7" ht="26.25">
      <c r="A462" s="16" t="s">
        <v>512</v>
      </c>
      <c r="B462" s="29" t="s">
        <v>240</v>
      </c>
      <c r="C462" s="29" t="s">
        <v>17</v>
      </c>
      <c r="D462" s="29" t="s">
        <v>513</v>
      </c>
      <c r="E462" s="56"/>
      <c r="F462" s="31">
        <f>F463+F472</f>
        <v>21422029</v>
      </c>
      <c r="G462" s="31">
        <f>G463+G472</f>
        <v>20656091</v>
      </c>
    </row>
    <row r="463" spans="1:7" ht="39">
      <c r="A463" s="16" t="s">
        <v>514</v>
      </c>
      <c r="B463" s="38" t="s">
        <v>515</v>
      </c>
      <c r="C463" s="38" t="s">
        <v>17</v>
      </c>
      <c r="D463" s="38" t="s">
        <v>516</v>
      </c>
      <c r="E463" s="45"/>
      <c r="F463" s="41">
        <f>F464</f>
        <v>12060394</v>
      </c>
      <c r="G463" s="41">
        <f>G464</f>
        <v>11620114</v>
      </c>
    </row>
    <row r="464" spans="1:7" ht="38.25">
      <c r="A464" s="13" t="s">
        <v>517</v>
      </c>
      <c r="B464" s="29" t="s">
        <v>515</v>
      </c>
      <c r="C464" s="29" t="s">
        <v>17</v>
      </c>
      <c r="D464" s="29" t="s">
        <v>518</v>
      </c>
      <c r="E464" s="30"/>
      <c r="F464" s="31">
        <f>F465+F470</f>
        <v>12060394</v>
      </c>
      <c r="G464" s="31">
        <f>G465+G470</f>
        <v>11620114</v>
      </c>
    </row>
    <row r="465" spans="1:7" ht="26.25">
      <c r="A465" s="16" t="s">
        <v>201</v>
      </c>
      <c r="B465" s="29" t="s">
        <v>515</v>
      </c>
      <c r="C465" s="29" t="s">
        <v>17</v>
      </c>
      <c r="D465" s="29" t="s">
        <v>519</v>
      </c>
      <c r="E465" s="30"/>
      <c r="F465" s="31">
        <f>F466+F467+F469+F468</f>
        <v>12060394</v>
      </c>
      <c r="G465" s="31">
        <f>G466+G467+G469+G468</f>
        <v>11620114</v>
      </c>
    </row>
    <row r="466" spans="1:7" ht="39">
      <c r="A466" s="35" t="s">
        <v>26</v>
      </c>
      <c r="B466" s="29" t="s">
        <v>515</v>
      </c>
      <c r="C466" s="29" t="s">
        <v>17</v>
      </c>
      <c r="D466" s="29" t="s">
        <v>519</v>
      </c>
      <c r="E466" s="30" t="s">
        <v>27</v>
      </c>
      <c r="F466" s="31">
        <f>10949700+2314300-2885420</f>
        <v>10378580</v>
      </c>
      <c r="G466" s="31">
        <f>10949700+2314300-2885420-440280</f>
        <v>9938300</v>
      </c>
    </row>
    <row r="467" spans="1:7" ht="26.25">
      <c r="A467" s="35" t="s">
        <v>38</v>
      </c>
      <c r="B467" s="29" t="s">
        <v>515</v>
      </c>
      <c r="C467" s="29" t="s">
        <v>17</v>
      </c>
      <c r="D467" s="29" t="s">
        <v>519</v>
      </c>
      <c r="E467" s="30" t="s">
        <v>39</v>
      </c>
      <c r="F467" s="31">
        <f>75300+15400+35000+32000+12000+78200+460700+6000+92000+10000+40000+532000</f>
        <v>1388600</v>
      </c>
      <c r="G467" s="31">
        <f>75300+15400+35000+32000+12000+78200+460700+6000+92000+10000+40000+532000</f>
        <v>1388600</v>
      </c>
    </row>
    <row r="468" spans="1:7" ht="26.25">
      <c r="A468" s="16" t="s">
        <v>271</v>
      </c>
      <c r="B468" s="29" t="s">
        <v>515</v>
      </c>
      <c r="C468" s="29" t="s">
        <v>17</v>
      </c>
      <c r="D468" s="29" t="s">
        <v>519</v>
      </c>
      <c r="E468" s="30" t="s">
        <v>272</v>
      </c>
      <c r="F468" s="31"/>
      <c r="G468" s="31"/>
    </row>
    <row r="469" spans="1:7" s="42" customFormat="1" ht="15">
      <c r="A469" s="48" t="s">
        <v>84</v>
      </c>
      <c r="B469" s="29" t="s">
        <v>515</v>
      </c>
      <c r="C469" s="29" t="s">
        <v>17</v>
      </c>
      <c r="D469" s="29" t="s">
        <v>519</v>
      </c>
      <c r="E469" s="30" t="s">
        <v>85</v>
      </c>
      <c r="F469" s="31">
        <f>280514+12700</f>
        <v>293214</v>
      </c>
      <c r="G469" s="31">
        <f>280514+12700</f>
        <v>293214</v>
      </c>
    </row>
    <row r="470" spans="1:7" ht="26.25" hidden="1">
      <c r="A470" s="35" t="s">
        <v>520</v>
      </c>
      <c r="B470" s="29" t="s">
        <v>240</v>
      </c>
      <c r="C470" s="29" t="s">
        <v>17</v>
      </c>
      <c r="D470" s="29" t="s">
        <v>521</v>
      </c>
      <c r="E470" s="30"/>
      <c r="F470" s="31">
        <f>F471</f>
        <v>0</v>
      </c>
      <c r="G470" s="31">
        <f>G471</f>
        <v>0</v>
      </c>
    </row>
    <row r="471" spans="1:7" ht="26.25" hidden="1">
      <c r="A471" s="35" t="s">
        <v>38</v>
      </c>
      <c r="B471" s="29" t="s">
        <v>240</v>
      </c>
      <c r="C471" s="29" t="s">
        <v>17</v>
      </c>
      <c r="D471" s="29" t="s">
        <v>521</v>
      </c>
      <c r="E471" s="30" t="s">
        <v>39</v>
      </c>
      <c r="F471" s="31"/>
      <c r="G471" s="31"/>
    </row>
    <row r="472" spans="1:7" ht="39">
      <c r="A472" s="16" t="s">
        <v>522</v>
      </c>
      <c r="B472" s="38" t="s">
        <v>515</v>
      </c>
      <c r="C472" s="38" t="s">
        <v>17</v>
      </c>
      <c r="D472" s="58" t="s">
        <v>523</v>
      </c>
      <c r="E472" s="45"/>
      <c r="F472" s="41">
        <f>F473</f>
        <v>9361635</v>
      </c>
      <c r="G472" s="41">
        <f>G473</f>
        <v>9035977</v>
      </c>
    </row>
    <row r="473" spans="1:7" ht="25.5">
      <c r="A473" s="10" t="s">
        <v>524</v>
      </c>
      <c r="B473" s="29" t="s">
        <v>515</v>
      </c>
      <c r="C473" s="29" t="s">
        <v>17</v>
      </c>
      <c r="D473" s="50" t="s">
        <v>525</v>
      </c>
      <c r="E473" s="30"/>
      <c r="F473" s="31">
        <f>F474</f>
        <v>9361635</v>
      </c>
      <c r="G473" s="31">
        <f>G474</f>
        <v>9035977</v>
      </c>
    </row>
    <row r="474" spans="1:7" ht="26.25">
      <c r="A474" s="16" t="s">
        <v>201</v>
      </c>
      <c r="B474" s="29" t="s">
        <v>515</v>
      </c>
      <c r="C474" s="29" t="s">
        <v>17</v>
      </c>
      <c r="D474" s="50" t="s">
        <v>526</v>
      </c>
      <c r="E474" s="30"/>
      <c r="F474" s="31">
        <f>F475+F476+F477</f>
        <v>9361635</v>
      </c>
      <c r="G474" s="31">
        <f>G475+G476+G477</f>
        <v>9035977</v>
      </c>
    </row>
    <row r="475" spans="1:7" ht="39">
      <c r="A475" s="35" t="s">
        <v>26</v>
      </c>
      <c r="B475" s="29" t="s">
        <v>515</v>
      </c>
      <c r="C475" s="29" t="s">
        <v>17</v>
      </c>
      <c r="D475" s="50" t="s">
        <v>526</v>
      </c>
      <c r="E475" s="30" t="s">
        <v>27</v>
      </c>
      <c r="F475" s="31">
        <f>8860000+40000+2676000-2468859</f>
        <v>9107141</v>
      </c>
      <c r="G475" s="31">
        <f>8860000+40000+2676000-2468859-325658</f>
        <v>8781483</v>
      </c>
    </row>
    <row r="476" spans="1:7" ht="26.25">
      <c r="A476" s="35" t="s">
        <v>38</v>
      </c>
      <c r="B476" s="29" t="s">
        <v>515</v>
      </c>
      <c r="C476" s="29" t="s">
        <v>17</v>
      </c>
      <c r="D476" s="50" t="s">
        <v>526</v>
      </c>
      <c r="E476" s="30" t="s">
        <v>39</v>
      </c>
      <c r="F476" s="31">
        <f>20800+6800+1000+15000+60000+5000+111694</f>
        <v>220294</v>
      </c>
      <c r="G476" s="31">
        <f>20800+6800+1000+15000+60000+5000+111694</f>
        <v>220294</v>
      </c>
    </row>
    <row r="477" spans="1:7" ht="15">
      <c r="A477" s="48" t="s">
        <v>84</v>
      </c>
      <c r="B477" s="29" t="s">
        <v>515</v>
      </c>
      <c r="C477" s="29" t="s">
        <v>17</v>
      </c>
      <c r="D477" s="50" t="s">
        <v>526</v>
      </c>
      <c r="E477" s="30" t="s">
        <v>85</v>
      </c>
      <c r="F477" s="31">
        <f>34200</f>
        <v>34200</v>
      </c>
      <c r="G477" s="31">
        <f>34200</f>
        <v>34200</v>
      </c>
    </row>
    <row r="478" spans="1:7" ht="25.5">
      <c r="A478" s="52" t="s">
        <v>527</v>
      </c>
      <c r="B478" s="29" t="s">
        <v>515</v>
      </c>
      <c r="C478" s="29" t="s">
        <v>17</v>
      </c>
      <c r="D478" s="29" t="s">
        <v>436</v>
      </c>
      <c r="E478" s="37"/>
      <c r="F478" s="31">
        <f aca="true" t="shared" si="29" ref="F478:G481">F479</f>
        <v>10000</v>
      </c>
      <c r="G478" s="31">
        <f t="shared" si="29"/>
        <v>10000</v>
      </c>
    </row>
    <row r="479" spans="1:7" ht="24.75" customHeight="1">
      <c r="A479" s="13" t="s">
        <v>437</v>
      </c>
      <c r="B479" s="29" t="s">
        <v>515</v>
      </c>
      <c r="C479" s="29" t="s">
        <v>17</v>
      </c>
      <c r="D479" s="29" t="s">
        <v>438</v>
      </c>
      <c r="E479" s="37"/>
      <c r="F479" s="31">
        <f t="shared" si="29"/>
        <v>10000</v>
      </c>
      <c r="G479" s="31">
        <f t="shared" si="29"/>
        <v>10000</v>
      </c>
    </row>
    <row r="480" spans="1:7" ht="25.5">
      <c r="A480" s="51" t="s">
        <v>439</v>
      </c>
      <c r="B480" s="29" t="s">
        <v>515</v>
      </c>
      <c r="C480" s="29" t="s">
        <v>17</v>
      </c>
      <c r="D480" s="29" t="s">
        <v>440</v>
      </c>
      <c r="E480" s="37"/>
      <c r="F480" s="31">
        <f t="shared" si="29"/>
        <v>10000</v>
      </c>
      <c r="G480" s="31">
        <f t="shared" si="29"/>
        <v>10000</v>
      </c>
    </row>
    <row r="481" spans="1:7" ht="15">
      <c r="A481" s="51" t="s">
        <v>441</v>
      </c>
      <c r="B481" s="29" t="s">
        <v>515</v>
      </c>
      <c r="C481" s="29" t="s">
        <v>17</v>
      </c>
      <c r="D481" s="29" t="s">
        <v>442</v>
      </c>
      <c r="E481" s="37"/>
      <c r="F481" s="31">
        <f t="shared" si="29"/>
        <v>10000</v>
      </c>
      <c r="G481" s="31">
        <f t="shared" si="29"/>
        <v>10000</v>
      </c>
    </row>
    <row r="482" spans="1:7" ht="26.25">
      <c r="A482" s="35" t="s">
        <v>38</v>
      </c>
      <c r="B482" s="29" t="s">
        <v>515</v>
      </c>
      <c r="C482" s="29" t="s">
        <v>17</v>
      </c>
      <c r="D482" s="29" t="s">
        <v>442</v>
      </c>
      <c r="E482" s="30" t="s">
        <v>39</v>
      </c>
      <c r="F482" s="31">
        <v>10000</v>
      </c>
      <c r="G482" s="31">
        <v>10000</v>
      </c>
    </row>
    <row r="483" spans="1:7" ht="25.5" hidden="1">
      <c r="A483" s="10" t="s">
        <v>504</v>
      </c>
      <c r="B483" s="29" t="s">
        <v>515</v>
      </c>
      <c r="C483" s="29" t="s">
        <v>17</v>
      </c>
      <c r="D483" s="50" t="s">
        <v>505</v>
      </c>
      <c r="E483" s="30"/>
      <c r="F483" s="31">
        <f aca="true" t="shared" si="30" ref="F483:G485">F484</f>
        <v>0</v>
      </c>
      <c r="G483" s="31">
        <f t="shared" si="30"/>
        <v>0</v>
      </c>
    </row>
    <row r="484" spans="1:7" ht="26.25" hidden="1">
      <c r="A484" s="35" t="s">
        <v>506</v>
      </c>
      <c r="B484" s="29" t="s">
        <v>515</v>
      </c>
      <c r="C484" s="29" t="s">
        <v>17</v>
      </c>
      <c r="D484" s="50" t="s">
        <v>507</v>
      </c>
      <c r="E484" s="30"/>
      <c r="F484" s="31">
        <f t="shared" si="30"/>
        <v>0</v>
      </c>
      <c r="G484" s="31">
        <f t="shared" si="30"/>
        <v>0</v>
      </c>
    </row>
    <row r="485" spans="1:7" ht="26.25" hidden="1">
      <c r="A485" s="35" t="s">
        <v>528</v>
      </c>
      <c r="B485" s="29" t="s">
        <v>515</v>
      </c>
      <c r="C485" s="29" t="s">
        <v>17</v>
      </c>
      <c r="D485" s="36" t="s">
        <v>529</v>
      </c>
      <c r="E485" s="30"/>
      <c r="F485" s="31">
        <f t="shared" si="30"/>
        <v>0</v>
      </c>
      <c r="G485" s="31">
        <f t="shared" si="30"/>
        <v>0</v>
      </c>
    </row>
    <row r="486" spans="1:7" ht="15" hidden="1">
      <c r="A486" s="16" t="s">
        <v>211</v>
      </c>
      <c r="B486" s="29" t="s">
        <v>515</v>
      </c>
      <c r="C486" s="29" t="s">
        <v>17</v>
      </c>
      <c r="D486" s="36" t="s">
        <v>529</v>
      </c>
      <c r="E486" s="30" t="s">
        <v>212</v>
      </c>
      <c r="F486" s="31"/>
      <c r="G486" s="31"/>
    </row>
    <row r="487" spans="1:7" ht="15">
      <c r="A487" s="16" t="s">
        <v>530</v>
      </c>
      <c r="B487" s="29" t="s">
        <v>240</v>
      </c>
      <c r="C487" s="29" t="s">
        <v>42</v>
      </c>
      <c r="D487" s="29"/>
      <c r="E487" s="30"/>
      <c r="F487" s="31">
        <f>F488</f>
        <v>2982929</v>
      </c>
      <c r="G487" s="31">
        <f>G488</f>
        <v>2862768</v>
      </c>
    </row>
    <row r="488" spans="1:7" ht="26.25">
      <c r="A488" s="16" t="s">
        <v>512</v>
      </c>
      <c r="B488" s="29" t="s">
        <v>240</v>
      </c>
      <c r="C488" s="29" t="s">
        <v>42</v>
      </c>
      <c r="D488" s="29" t="s">
        <v>513</v>
      </c>
      <c r="E488" s="30"/>
      <c r="F488" s="31">
        <f>F489</f>
        <v>2982929</v>
      </c>
      <c r="G488" s="31">
        <f>G489</f>
        <v>2862768</v>
      </c>
    </row>
    <row r="489" spans="1:7" ht="51.75">
      <c r="A489" s="16" t="s">
        <v>531</v>
      </c>
      <c r="B489" s="29" t="s">
        <v>240</v>
      </c>
      <c r="C489" s="29" t="s">
        <v>42</v>
      </c>
      <c r="D489" s="29" t="s">
        <v>532</v>
      </c>
      <c r="E489" s="30"/>
      <c r="F489" s="31">
        <f>F490+F495</f>
        <v>2982929</v>
      </c>
      <c r="G489" s="31">
        <f>G490+G495</f>
        <v>2862768</v>
      </c>
    </row>
    <row r="490" spans="1:7" ht="25.5">
      <c r="A490" s="86" t="s">
        <v>533</v>
      </c>
      <c r="B490" s="29" t="s">
        <v>240</v>
      </c>
      <c r="C490" s="29" t="s">
        <v>42</v>
      </c>
      <c r="D490" s="29" t="s">
        <v>534</v>
      </c>
      <c r="E490" s="30"/>
      <c r="F490" s="31">
        <f>F491</f>
        <v>2922971</v>
      </c>
      <c r="G490" s="31">
        <f>G491</f>
        <v>2802810</v>
      </c>
    </row>
    <row r="491" spans="1:7" ht="26.25">
      <c r="A491" s="16" t="s">
        <v>201</v>
      </c>
      <c r="B491" s="29" t="s">
        <v>240</v>
      </c>
      <c r="C491" s="29" t="s">
        <v>42</v>
      </c>
      <c r="D491" s="29" t="s">
        <v>535</v>
      </c>
      <c r="E491" s="30"/>
      <c r="F491" s="31">
        <f>F492+F493+F494</f>
        <v>2922971</v>
      </c>
      <c r="G491" s="31">
        <f>G492+G493+G494</f>
        <v>2802810</v>
      </c>
    </row>
    <row r="492" spans="1:7" ht="39">
      <c r="A492" s="35" t="s">
        <v>26</v>
      </c>
      <c r="B492" s="29" t="s">
        <v>240</v>
      </c>
      <c r="C492" s="29" t="s">
        <v>42</v>
      </c>
      <c r="D492" s="29" t="s">
        <v>535</v>
      </c>
      <c r="E492" s="30" t="s">
        <v>27</v>
      </c>
      <c r="F492" s="31">
        <f>2782000+10000+840000-847829</f>
        <v>2784171</v>
      </c>
      <c r="G492" s="31">
        <f>2782000+10000+840000-847829-120161</f>
        <v>2664010</v>
      </c>
    </row>
    <row r="493" spans="1:7" ht="25.5" customHeight="1">
      <c r="A493" s="35" t="s">
        <v>38</v>
      </c>
      <c r="B493" s="29" t="s">
        <v>240</v>
      </c>
      <c r="C493" s="29" t="s">
        <v>42</v>
      </c>
      <c r="D493" s="29" t="s">
        <v>535</v>
      </c>
      <c r="E493" s="30" t="s">
        <v>39</v>
      </c>
      <c r="F493" s="31">
        <f>32500+65300+2000+7000+32000</f>
        <v>138800</v>
      </c>
      <c r="G493" s="31">
        <f>32500+65300+2000+7000+32000</f>
        <v>138800</v>
      </c>
    </row>
    <row r="494" spans="1:7" ht="0.75" customHeight="1" hidden="1">
      <c r="A494" s="48" t="s">
        <v>84</v>
      </c>
      <c r="B494" s="29" t="s">
        <v>240</v>
      </c>
      <c r="C494" s="29" t="s">
        <v>42</v>
      </c>
      <c r="D494" s="29" t="s">
        <v>535</v>
      </c>
      <c r="E494" s="30" t="s">
        <v>85</v>
      </c>
      <c r="F494" s="31"/>
      <c r="G494" s="31"/>
    </row>
    <row r="495" spans="1:7" ht="39">
      <c r="A495" s="87" t="s">
        <v>536</v>
      </c>
      <c r="B495" s="29" t="s">
        <v>240</v>
      </c>
      <c r="C495" s="29" t="s">
        <v>42</v>
      </c>
      <c r="D495" s="29" t="s">
        <v>537</v>
      </c>
      <c r="E495" s="30"/>
      <c r="F495" s="31">
        <f>F496</f>
        <v>59958</v>
      </c>
      <c r="G495" s="31">
        <f>G496</f>
        <v>59958</v>
      </c>
    </row>
    <row r="496" spans="1:7" ht="39">
      <c r="A496" s="8" t="s">
        <v>538</v>
      </c>
      <c r="B496" s="29" t="s">
        <v>240</v>
      </c>
      <c r="C496" s="29" t="s">
        <v>42</v>
      </c>
      <c r="D496" s="29" t="s">
        <v>539</v>
      </c>
      <c r="E496" s="30"/>
      <c r="F496" s="31">
        <f>F497</f>
        <v>59958</v>
      </c>
      <c r="G496" s="31">
        <f>G497</f>
        <v>59958</v>
      </c>
    </row>
    <row r="497" spans="1:7" ht="39">
      <c r="A497" s="35" t="s">
        <v>26</v>
      </c>
      <c r="B497" s="29" t="s">
        <v>240</v>
      </c>
      <c r="C497" s="29" t="s">
        <v>42</v>
      </c>
      <c r="D497" s="29" t="s">
        <v>539</v>
      </c>
      <c r="E497" s="30" t="s">
        <v>27</v>
      </c>
      <c r="F497" s="31">
        <v>59958</v>
      </c>
      <c r="G497" s="31">
        <v>59958</v>
      </c>
    </row>
    <row r="498" spans="1:7" ht="15">
      <c r="A498" s="16" t="s">
        <v>540</v>
      </c>
      <c r="B498" s="29" t="s">
        <v>248</v>
      </c>
      <c r="C498" s="29"/>
      <c r="D498" s="50"/>
      <c r="E498" s="56"/>
      <c r="F498" s="31">
        <f aca="true" t="shared" si="31" ref="F498:G502">F499</f>
        <v>851087</v>
      </c>
      <c r="G498" s="31">
        <f t="shared" si="31"/>
        <v>851087</v>
      </c>
    </row>
    <row r="499" spans="1:7" ht="15">
      <c r="A499" s="10" t="s">
        <v>541</v>
      </c>
      <c r="B499" s="29" t="s">
        <v>248</v>
      </c>
      <c r="C499" s="29" t="s">
        <v>109</v>
      </c>
      <c r="D499" s="29"/>
      <c r="E499" s="30"/>
      <c r="F499" s="31">
        <f t="shared" si="31"/>
        <v>851087</v>
      </c>
      <c r="G499" s="31">
        <f t="shared" si="31"/>
        <v>851087</v>
      </c>
    </row>
    <row r="500" spans="1:7" ht="15">
      <c r="A500" s="16" t="s">
        <v>86</v>
      </c>
      <c r="B500" s="29" t="s">
        <v>248</v>
      </c>
      <c r="C500" s="29" t="s">
        <v>109</v>
      </c>
      <c r="D500" s="47" t="s">
        <v>87</v>
      </c>
      <c r="E500" s="37"/>
      <c r="F500" s="31">
        <f t="shared" si="31"/>
        <v>851087</v>
      </c>
      <c r="G500" s="31">
        <f t="shared" si="31"/>
        <v>851087</v>
      </c>
    </row>
    <row r="501" spans="1:7" ht="15">
      <c r="A501" s="16" t="s">
        <v>93</v>
      </c>
      <c r="B501" s="29" t="s">
        <v>248</v>
      </c>
      <c r="C501" s="29" t="s">
        <v>109</v>
      </c>
      <c r="D501" s="29" t="s">
        <v>94</v>
      </c>
      <c r="E501" s="30"/>
      <c r="F501" s="31">
        <f t="shared" si="31"/>
        <v>851087</v>
      </c>
      <c r="G501" s="31">
        <f t="shared" si="31"/>
        <v>851087</v>
      </c>
    </row>
    <row r="502" spans="1:7" ht="25.5">
      <c r="A502" s="12" t="s">
        <v>542</v>
      </c>
      <c r="B502" s="29" t="s">
        <v>248</v>
      </c>
      <c r="C502" s="29" t="s">
        <v>109</v>
      </c>
      <c r="D502" s="29" t="s">
        <v>543</v>
      </c>
      <c r="E502" s="30"/>
      <c r="F502" s="31">
        <f t="shared" si="31"/>
        <v>851087</v>
      </c>
      <c r="G502" s="31">
        <f t="shared" si="31"/>
        <v>851087</v>
      </c>
    </row>
    <row r="503" spans="1:7" ht="26.25">
      <c r="A503" s="35" t="s">
        <v>38</v>
      </c>
      <c r="B503" s="29" t="s">
        <v>248</v>
      </c>
      <c r="C503" s="29" t="s">
        <v>109</v>
      </c>
      <c r="D503" s="29" t="s">
        <v>543</v>
      </c>
      <c r="E503" s="37" t="s">
        <v>39</v>
      </c>
      <c r="F503" s="31">
        <v>851087</v>
      </c>
      <c r="G503" s="31">
        <v>851087</v>
      </c>
    </row>
    <row r="504" spans="1:7" s="42" customFormat="1" ht="15">
      <c r="A504" s="16" t="s">
        <v>544</v>
      </c>
      <c r="B504" s="29" t="s">
        <v>216</v>
      </c>
      <c r="C504" s="29"/>
      <c r="D504" s="50"/>
      <c r="E504" s="56"/>
      <c r="F504" s="31">
        <f>F505+F511+F541</f>
        <v>121349622</v>
      </c>
      <c r="G504" s="31">
        <f>G505+G511+G541</f>
        <v>120966701</v>
      </c>
    </row>
    <row r="505" spans="1:7" ht="15">
      <c r="A505" s="16" t="s">
        <v>545</v>
      </c>
      <c r="B505" s="29" t="s">
        <v>216</v>
      </c>
      <c r="C505" s="29" t="s">
        <v>17</v>
      </c>
      <c r="D505" s="29"/>
      <c r="E505" s="30"/>
      <c r="F505" s="31">
        <f>F506</f>
        <v>295400</v>
      </c>
      <c r="G505" s="31">
        <f>G506</f>
        <v>295400</v>
      </c>
    </row>
    <row r="506" spans="1:7" ht="26.25">
      <c r="A506" s="16" t="s">
        <v>546</v>
      </c>
      <c r="B506" s="29" t="s">
        <v>216</v>
      </c>
      <c r="C506" s="29" t="s">
        <v>17</v>
      </c>
      <c r="D506" s="29" t="s">
        <v>44</v>
      </c>
      <c r="E506" s="30"/>
      <c r="F506" s="31">
        <f>F507</f>
        <v>295400</v>
      </c>
      <c r="G506" s="31">
        <f>G507</f>
        <v>295400</v>
      </c>
    </row>
    <row r="507" spans="1:7" ht="51">
      <c r="A507" s="53" t="s">
        <v>547</v>
      </c>
      <c r="B507" s="38" t="s">
        <v>216</v>
      </c>
      <c r="C507" s="38" t="s">
        <v>17</v>
      </c>
      <c r="D507" s="38" t="s">
        <v>126</v>
      </c>
      <c r="E507" s="45"/>
      <c r="F507" s="41">
        <f>F509</f>
        <v>295400</v>
      </c>
      <c r="G507" s="41">
        <f>G509</f>
        <v>295400</v>
      </c>
    </row>
    <row r="508" spans="1:7" ht="25.5">
      <c r="A508" s="14" t="s">
        <v>548</v>
      </c>
      <c r="B508" s="29" t="s">
        <v>216</v>
      </c>
      <c r="C508" s="29" t="s">
        <v>17</v>
      </c>
      <c r="D508" s="29" t="s">
        <v>549</v>
      </c>
      <c r="E508" s="30"/>
      <c r="F508" s="31">
        <f>F509</f>
        <v>295400</v>
      </c>
      <c r="G508" s="31">
        <f>G509</f>
        <v>295400</v>
      </c>
    </row>
    <row r="509" spans="1:7" ht="25.5">
      <c r="A509" s="53" t="s">
        <v>550</v>
      </c>
      <c r="B509" s="29" t="s">
        <v>551</v>
      </c>
      <c r="C509" s="29" t="s">
        <v>17</v>
      </c>
      <c r="D509" s="29" t="s">
        <v>552</v>
      </c>
      <c r="E509" s="30"/>
      <c r="F509" s="31">
        <f>F510</f>
        <v>295400</v>
      </c>
      <c r="G509" s="31">
        <f>G510</f>
        <v>295400</v>
      </c>
    </row>
    <row r="510" spans="1:7" s="42" customFormat="1" ht="15">
      <c r="A510" s="48" t="s">
        <v>211</v>
      </c>
      <c r="B510" s="29" t="s">
        <v>551</v>
      </c>
      <c r="C510" s="29" t="s">
        <v>17</v>
      </c>
      <c r="D510" s="29" t="s">
        <v>552</v>
      </c>
      <c r="E510" s="30" t="s">
        <v>212</v>
      </c>
      <c r="F510" s="31">
        <v>295400</v>
      </c>
      <c r="G510" s="31">
        <v>295400</v>
      </c>
    </row>
    <row r="511" spans="1:7" ht="15">
      <c r="A511" s="16" t="s">
        <v>553</v>
      </c>
      <c r="B511" s="29">
        <v>10</v>
      </c>
      <c r="C511" s="29" t="s">
        <v>29</v>
      </c>
      <c r="D511" s="29"/>
      <c r="E511" s="30"/>
      <c r="F511" s="31">
        <f>F517+F532+F512</f>
        <v>34653437</v>
      </c>
      <c r="G511" s="31">
        <f>G517+G532+G512</f>
        <v>34653437</v>
      </c>
    </row>
    <row r="512" spans="1:7" ht="26.25">
      <c r="A512" s="16" t="s">
        <v>512</v>
      </c>
      <c r="B512" s="29">
        <v>10</v>
      </c>
      <c r="C512" s="29" t="s">
        <v>29</v>
      </c>
      <c r="D512" s="29" t="s">
        <v>513</v>
      </c>
      <c r="E512" s="30"/>
      <c r="F512" s="31">
        <f aca="true" t="shared" si="32" ref="F512:G515">F513</f>
        <v>1665450</v>
      </c>
      <c r="G512" s="31">
        <f t="shared" si="32"/>
        <v>1665450</v>
      </c>
    </row>
    <row r="513" spans="1:7" ht="51.75">
      <c r="A513" s="16" t="s">
        <v>531</v>
      </c>
      <c r="B513" s="38">
        <v>10</v>
      </c>
      <c r="C513" s="38" t="s">
        <v>29</v>
      </c>
      <c r="D513" s="38" t="s">
        <v>532</v>
      </c>
      <c r="E513" s="45"/>
      <c r="F513" s="41">
        <f t="shared" si="32"/>
        <v>1665450</v>
      </c>
      <c r="G513" s="41">
        <f t="shared" si="32"/>
        <v>1665450</v>
      </c>
    </row>
    <row r="514" spans="1:7" ht="25.5">
      <c r="A514" s="14" t="s">
        <v>554</v>
      </c>
      <c r="B514" s="29">
        <v>10</v>
      </c>
      <c r="C514" s="29" t="s">
        <v>29</v>
      </c>
      <c r="D514" s="29" t="s">
        <v>555</v>
      </c>
      <c r="E514" s="30"/>
      <c r="F514" s="31">
        <f t="shared" si="32"/>
        <v>1665450</v>
      </c>
      <c r="G514" s="31">
        <f t="shared" si="32"/>
        <v>1665450</v>
      </c>
    </row>
    <row r="515" spans="1:8" s="42" customFormat="1" ht="39">
      <c r="A515" s="44" t="s">
        <v>556</v>
      </c>
      <c r="B515" s="29">
        <v>10</v>
      </c>
      <c r="C515" s="29" t="s">
        <v>29</v>
      </c>
      <c r="D515" s="47" t="s">
        <v>557</v>
      </c>
      <c r="E515" s="30"/>
      <c r="F515" s="31">
        <f t="shared" si="32"/>
        <v>1665450</v>
      </c>
      <c r="G515" s="31">
        <f t="shared" si="32"/>
        <v>1665450</v>
      </c>
      <c r="H515" s="69"/>
    </row>
    <row r="516" spans="1:7" ht="15">
      <c r="A516" s="48" t="s">
        <v>211</v>
      </c>
      <c r="B516" s="29">
        <v>10</v>
      </c>
      <c r="C516" s="29" t="s">
        <v>29</v>
      </c>
      <c r="D516" s="47" t="s">
        <v>557</v>
      </c>
      <c r="E516" s="30" t="s">
        <v>212</v>
      </c>
      <c r="F516" s="31">
        <f>1665442+8</f>
        <v>1665450</v>
      </c>
      <c r="G516" s="31">
        <f>1665442+8</f>
        <v>1665450</v>
      </c>
    </row>
    <row r="517" spans="1:7" ht="39">
      <c r="A517" s="16" t="s">
        <v>558</v>
      </c>
      <c r="B517" s="29">
        <v>10</v>
      </c>
      <c r="C517" s="29" t="s">
        <v>29</v>
      </c>
      <c r="D517" s="29" t="s">
        <v>44</v>
      </c>
      <c r="E517" s="30"/>
      <c r="F517" s="31">
        <f>F518</f>
        <v>9839363</v>
      </c>
      <c r="G517" s="31">
        <f>G518</f>
        <v>9839363</v>
      </c>
    </row>
    <row r="518" spans="1:7" ht="51">
      <c r="A518" s="9" t="s">
        <v>559</v>
      </c>
      <c r="B518" s="38">
        <v>10</v>
      </c>
      <c r="C518" s="38" t="s">
        <v>29</v>
      </c>
      <c r="D518" s="38" t="s">
        <v>126</v>
      </c>
      <c r="E518" s="45"/>
      <c r="F518" s="41">
        <f>F519</f>
        <v>9839363</v>
      </c>
      <c r="G518" s="41">
        <f>G519</f>
        <v>9839363</v>
      </c>
    </row>
    <row r="519" spans="1:7" ht="25.5">
      <c r="A519" s="9" t="s">
        <v>560</v>
      </c>
      <c r="B519" s="29">
        <v>10</v>
      </c>
      <c r="C519" s="29" t="s">
        <v>29</v>
      </c>
      <c r="D519" s="29" t="s">
        <v>561</v>
      </c>
      <c r="E519" s="30"/>
      <c r="F519" s="31">
        <f>F520+F523+F526+F529</f>
        <v>9839363</v>
      </c>
      <c r="G519" s="31">
        <f>G520+G523+G526+G529</f>
        <v>9839363</v>
      </c>
    </row>
    <row r="520" spans="1:7" ht="26.25">
      <c r="A520" s="8" t="s">
        <v>562</v>
      </c>
      <c r="B520" s="29">
        <v>10</v>
      </c>
      <c r="C520" s="29" t="s">
        <v>29</v>
      </c>
      <c r="D520" s="29" t="s">
        <v>563</v>
      </c>
      <c r="E520" s="30"/>
      <c r="F520" s="31">
        <f>F522+F521</f>
        <v>45722</v>
      </c>
      <c r="G520" s="31">
        <f>G522+G521</f>
        <v>45722</v>
      </c>
    </row>
    <row r="521" spans="1:7" ht="26.25">
      <c r="A521" s="35" t="s">
        <v>38</v>
      </c>
      <c r="B521" s="29">
        <v>10</v>
      </c>
      <c r="C521" s="29" t="s">
        <v>29</v>
      </c>
      <c r="D521" s="29" t="s">
        <v>563</v>
      </c>
      <c r="E521" s="30" t="s">
        <v>39</v>
      </c>
      <c r="F521" s="31">
        <f>450+120</f>
        <v>570</v>
      </c>
      <c r="G521" s="31">
        <f>450+120</f>
        <v>570</v>
      </c>
    </row>
    <row r="522" spans="1:7" ht="15">
      <c r="A522" s="88" t="s">
        <v>211</v>
      </c>
      <c r="B522" s="29">
        <v>10</v>
      </c>
      <c r="C522" s="29" t="s">
        <v>29</v>
      </c>
      <c r="D522" s="29" t="s">
        <v>563</v>
      </c>
      <c r="E522" s="30" t="s">
        <v>212</v>
      </c>
      <c r="F522" s="31">
        <v>45152</v>
      </c>
      <c r="G522" s="31">
        <v>45152</v>
      </c>
    </row>
    <row r="523" spans="1:7" ht="26.25">
      <c r="A523" s="8" t="s">
        <v>564</v>
      </c>
      <c r="B523" s="29">
        <v>10</v>
      </c>
      <c r="C523" s="29" t="s">
        <v>29</v>
      </c>
      <c r="D523" s="29" t="s">
        <v>565</v>
      </c>
      <c r="E523" s="30"/>
      <c r="F523" s="31">
        <f>F525+F524</f>
        <v>204221</v>
      </c>
      <c r="G523" s="31">
        <f>G525+G524</f>
        <v>204221</v>
      </c>
    </row>
    <row r="524" spans="1:7" ht="26.25">
      <c r="A524" s="35" t="s">
        <v>38</v>
      </c>
      <c r="B524" s="29">
        <v>10</v>
      </c>
      <c r="C524" s="29" t="s">
        <v>29</v>
      </c>
      <c r="D524" s="29" t="s">
        <v>565</v>
      </c>
      <c r="E524" s="30" t="s">
        <v>39</v>
      </c>
      <c r="F524" s="31">
        <f>2500+500</f>
        <v>3000</v>
      </c>
      <c r="G524" s="31">
        <f>2500+500</f>
        <v>3000</v>
      </c>
    </row>
    <row r="525" spans="1:7" ht="15">
      <c r="A525" s="88" t="s">
        <v>211</v>
      </c>
      <c r="B525" s="29">
        <v>10</v>
      </c>
      <c r="C525" s="29" t="s">
        <v>29</v>
      </c>
      <c r="D525" s="29" t="s">
        <v>565</v>
      </c>
      <c r="E525" s="30" t="s">
        <v>212</v>
      </c>
      <c r="F525" s="31">
        <v>201221</v>
      </c>
      <c r="G525" s="31">
        <v>201221</v>
      </c>
    </row>
    <row r="526" spans="1:9" ht="15">
      <c r="A526" s="16" t="s">
        <v>566</v>
      </c>
      <c r="B526" s="29">
        <v>10</v>
      </c>
      <c r="C526" s="29" t="s">
        <v>29</v>
      </c>
      <c r="D526" s="29" t="s">
        <v>567</v>
      </c>
      <c r="E526" s="30"/>
      <c r="F526" s="31">
        <f>F528+F527</f>
        <v>8869420</v>
      </c>
      <c r="G526" s="31">
        <f>G528+G527</f>
        <v>8869420</v>
      </c>
      <c r="H526" s="21"/>
      <c r="I526" s="21"/>
    </row>
    <row r="527" spans="1:7" ht="26.25">
      <c r="A527" s="35" t="s">
        <v>38</v>
      </c>
      <c r="B527" s="29">
        <v>10</v>
      </c>
      <c r="C527" s="29" t="s">
        <v>29</v>
      </c>
      <c r="D527" s="29" t="s">
        <v>567</v>
      </c>
      <c r="E527" s="30" t="s">
        <v>39</v>
      </c>
      <c r="F527" s="31">
        <f>80000+23000</f>
        <v>103000</v>
      </c>
      <c r="G527" s="31">
        <f>80000+23000</f>
        <v>103000</v>
      </c>
    </row>
    <row r="528" spans="1:7" ht="15">
      <c r="A528" s="88" t="s">
        <v>211</v>
      </c>
      <c r="B528" s="29">
        <v>10</v>
      </c>
      <c r="C528" s="29" t="s">
        <v>29</v>
      </c>
      <c r="D528" s="29" t="s">
        <v>567</v>
      </c>
      <c r="E528" s="30" t="s">
        <v>212</v>
      </c>
      <c r="F528" s="31">
        <v>8766420</v>
      </c>
      <c r="G528" s="31">
        <v>8766420</v>
      </c>
    </row>
    <row r="529" spans="1:7" ht="15">
      <c r="A529" s="16" t="s">
        <v>568</v>
      </c>
      <c r="B529" s="29">
        <v>10</v>
      </c>
      <c r="C529" s="29" t="s">
        <v>29</v>
      </c>
      <c r="D529" s="29" t="s">
        <v>569</v>
      </c>
      <c r="E529" s="30"/>
      <c r="F529" s="31">
        <f>F531+F530</f>
        <v>720000</v>
      </c>
      <c r="G529" s="31">
        <f>G531+G530</f>
        <v>720000</v>
      </c>
    </row>
    <row r="530" spans="1:7" s="42" customFormat="1" ht="26.25">
      <c r="A530" s="35" t="s">
        <v>38</v>
      </c>
      <c r="B530" s="29">
        <v>10</v>
      </c>
      <c r="C530" s="29" t="s">
        <v>29</v>
      </c>
      <c r="D530" s="29" t="s">
        <v>569</v>
      </c>
      <c r="E530" s="30" t="s">
        <v>39</v>
      </c>
      <c r="F530" s="31">
        <f>10800+800</f>
        <v>11600</v>
      </c>
      <c r="G530" s="31">
        <f>10800+800</f>
        <v>11600</v>
      </c>
    </row>
    <row r="531" spans="1:7" ht="15">
      <c r="A531" s="88" t="s">
        <v>211</v>
      </c>
      <c r="B531" s="29">
        <v>10</v>
      </c>
      <c r="C531" s="29" t="s">
        <v>29</v>
      </c>
      <c r="D531" s="29" t="s">
        <v>569</v>
      </c>
      <c r="E531" s="30" t="s">
        <v>212</v>
      </c>
      <c r="F531" s="31">
        <v>708400</v>
      </c>
      <c r="G531" s="31">
        <v>708400</v>
      </c>
    </row>
    <row r="532" spans="1:7" ht="26.25">
      <c r="A532" s="16" t="s">
        <v>370</v>
      </c>
      <c r="B532" s="29">
        <v>10</v>
      </c>
      <c r="C532" s="29" t="s">
        <v>29</v>
      </c>
      <c r="D532" s="29" t="s">
        <v>371</v>
      </c>
      <c r="E532" s="30"/>
      <c r="F532" s="31">
        <f>F533+F537</f>
        <v>23148624</v>
      </c>
      <c r="G532" s="31">
        <f>G533+G537</f>
        <v>23148624</v>
      </c>
    </row>
    <row r="533" spans="1:7" ht="39">
      <c r="A533" s="15" t="s">
        <v>372</v>
      </c>
      <c r="B533" s="38">
        <v>10</v>
      </c>
      <c r="C533" s="38" t="s">
        <v>29</v>
      </c>
      <c r="D533" s="38" t="s">
        <v>373</v>
      </c>
      <c r="E533" s="45"/>
      <c r="F533" s="41">
        <f aca="true" t="shared" si="33" ref="F533:G535">F534</f>
        <v>22448624</v>
      </c>
      <c r="G533" s="41">
        <f t="shared" si="33"/>
        <v>22448624</v>
      </c>
    </row>
    <row r="534" spans="1:9" s="42" customFormat="1" ht="25.5">
      <c r="A534" s="10" t="s">
        <v>570</v>
      </c>
      <c r="B534" s="29">
        <v>10</v>
      </c>
      <c r="C534" s="29" t="s">
        <v>29</v>
      </c>
      <c r="D534" s="29" t="s">
        <v>571</v>
      </c>
      <c r="E534" s="30"/>
      <c r="F534" s="31">
        <f t="shared" si="33"/>
        <v>22448624</v>
      </c>
      <c r="G534" s="31">
        <f t="shared" si="33"/>
        <v>22448624</v>
      </c>
      <c r="H534" s="69"/>
      <c r="I534" s="69"/>
    </row>
    <row r="535" spans="1:7" ht="51.75">
      <c r="A535" s="44" t="s">
        <v>572</v>
      </c>
      <c r="B535" s="29">
        <v>10</v>
      </c>
      <c r="C535" s="29" t="s">
        <v>29</v>
      </c>
      <c r="D535" s="29" t="s">
        <v>573</v>
      </c>
      <c r="E535" s="30"/>
      <c r="F535" s="31">
        <f t="shared" si="33"/>
        <v>22448624</v>
      </c>
      <c r="G535" s="31">
        <f t="shared" si="33"/>
        <v>22448624</v>
      </c>
    </row>
    <row r="536" spans="1:7" ht="15">
      <c r="A536" s="88" t="s">
        <v>211</v>
      </c>
      <c r="B536" s="29">
        <v>10</v>
      </c>
      <c r="C536" s="29" t="s">
        <v>29</v>
      </c>
      <c r="D536" s="29" t="s">
        <v>573</v>
      </c>
      <c r="E536" s="30" t="s">
        <v>212</v>
      </c>
      <c r="F536" s="31">
        <v>22448624</v>
      </c>
      <c r="G536" s="31">
        <v>22448624</v>
      </c>
    </row>
    <row r="537" spans="1:7" ht="26.25" customHeight="1" hidden="1">
      <c r="A537" s="35" t="s">
        <v>454</v>
      </c>
      <c r="B537" s="38">
        <v>10</v>
      </c>
      <c r="C537" s="38" t="s">
        <v>29</v>
      </c>
      <c r="D537" s="38" t="s">
        <v>455</v>
      </c>
      <c r="E537" s="45"/>
      <c r="F537" s="41">
        <f aca="true" t="shared" si="34" ref="F537:G539">F538</f>
        <v>700000</v>
      </c>
      <c r="G537" s="41">
        <f t="shared" si="34"/>
        <v>700000</v>
      </c>
    </row>
    <row r="538" spans="1:7" ht="25.5">
      <c r="A538" s="9" t="s">
        <v>574</v>
      </c>
      <c r="B538" s="29">
        <v>10</v>
      </c>
      <c r="C538" s="29" t="s">
        <v>29</v>
      </c>
      <c r="D538" s="29" t="s">
        <v>575</v>
      </c>
      <c r="E538" s="30"/>
      <c r="F538" s="31">
        <f t="shared" si="34"/>
        <v>700000</v>
      </c>
      <c r="G538" s="31">
        <f t="shared" si="34"/>
        <v>700000</v>
      </c>
    </row>
    <row r="539" spans="1:7" ht="51.75">
      <c r="A539" s="73" t="s">
        <v>576</v>
      </c>
      <c r="B539" s="29">
        <v>10</v>
      </c>
      <c r="C539" s="29" t="s">
        <v>29</v>
      </c>
      <c r="D539" s="29" t="s">
        <v>577</v>
      </c>
      <c r="E539" s="30"/>
      <c r="F539" s="31">
        <f t="shared" si="34"/>
        <v>700000</v>
      </c>
      <c r="G539" s="31">
        <f t="shared" si="34"/>
        <v>700000</v>
      </c>
    </row>
    <row r="540" spans="1:7" ht="15.75" customHeight="1">
      <c r="A540" s="88" t="s">
        <v>211</v>
      </c>
      <c r="B540" s="29">
        <v>10</v>
      </c>
      <c r="C540" s="29" t="s">
        <v>29</v>
      </c>
      <c r="D540" s="29" t="s">
        <v>577</v>
      </c>
      <c r="E540" s="30" t="s">
        <v>212</v>
      </c>
      <c r="F540" s="65">
        <v>700000</v>
      </c>
      <c r="G540" s="65">
        <v>700000</v>
      </c>
    </row>
    <row r="541" spans="1:7" ht="15.75" customHeight="1">
      <c r="A541" s="16" t="s">
        <v>579</v>
      </c>
      <c r="B541" s="29">
        <v>10</v>
      </c>
      <c r="C541" s="29" t="s">
        <v>42</v>
      </c>
      <c r="D541" s="29"/>
      <c r="E541" s="30"/>
      <c r="F541" s="31">
        <f>F561+F542+F571</f>
        <v>86400785</v>
      </c>
      <c r="G541" s="31">
        <f>G561+G542+G571</f>
        <v>86017864</v>
      </c>
    </row>
    <row r="542" spans="1:7" ht="15.75" customHeight="1">
      <c r="A542" s="16" t="s">
        <v>124</v>
      </c>
      <c r="B542" s="29">
        <v>10</v>
      </c>
      <c r="C542" s="29" t="s">
        <v>42</v>
      </c>
      <c r="D542" s="90" t="s">
        <v>44</v>
      </c>
      <c r="E542" s="30"/>
      <c r="F542" s="31">
        <f>F554+F543</f>
        <v>84080142</v>
      </c>
      <c r="G542" s="31">
        <f>G554+G543</f>
        <v>83697221</v>
      </c>
    </row>
    <row r="543" spans="1:7" ht="28.5" customHeight="1">
      <c r="A543" s="9" t="s">
        <v>559</v>
      </c>
      <c r="B543" s="29">
        <v>10</v>
      </c>
      <c r="C543" s="29" t="s">
        <v>42</v>
      </c>
      <c r="D543" s="38" t="s">
        <v>126</v>
      </c>
      <c r="E543" s="45"/>
      <c r="F543" s="41">
        <f>F544</f>
        <v>55434522</v>
      </c>
      <c r="G543" s="41">
        <f>G544</f>
        <v>58773843</v>
      </c>
    </row>
    <row r="544" spans="1:7" ht="25.5">
      <c r="A544" s="9" t="s">
        <v>560</v>
      </c>
      <c r="B544" s="29">
        <v>10</v>
      </c>
      <c r="C544" s="29" t="s">
        <v>42</v>
      </c>
      <c r="D544" s="29" t="s">
        <v>561</v>
      </c>
      <c r="E544" s="30"/>
      <c r="F544" s="31">
        <f>F545+F548+F552+F550</f>
        <v>55434522</v>
      </c>
      <c r="G544" s="31">
        <f>G545+G548+G552+G550</f>
        <v>58773843</v>
      </c>
    </row>
    <row r="545" spans="1:7" ht="15">
      <c r="A545" s="16" t="s">
        <v>580</v>
      </c>
      <c r="B545" s="29">
        <v>10</v>
      </c>
      <c r="C545" s="29" t="s">
        <v>42</v>
      </c>
      <c r="D545" s="29" t="s">
        <v>581</v>
      </c>
      <c r="E545" s="30"/>
      <c r="F545" s="31">
        <f>F547+F546</f>
        <v>2093641</v>
      </c>
      <c r="G545" s="31">
        <f>G547+G546</f>
        <v>2093641</v>
      </c>
    </row>
    <row r="546" spans="1:7" ht="26.25">
      <c r="A546" s="35" t="s">
        <v>38</v>
      </c>
      <c r="B546" s="29">
        <v>10</v>
      </c>
      <c r="C546" s="29" t="s">
        <v>42</v>
      </c>
      <c r="D546" s="29" t="s">
        <v>581</v>
      </c>
      <c r="E546" s="30" t="s">
        <v>39</v>
      </c>
      <c r="F546" s="31">
        <v>350</v>
      </c>
      <c r="G546" s="31">
        <v>350</v>
      </c>
    </row>
    <row r="547" spans="1:7" ht="15">
      <c r="A547" s="88" t="s">
        <v>211</v>
      </c>
      <c r="B547" s="29">
        <v>10</v>
      </c>
      <c r="C547" s="29" t="s">
        <v>42</v>
      </c>
      <c r="D547" s="29" t="s">
        <v>581</v>
      </c>
      <c r="E547" s="30" t="s">
        <v>212</v>
      </c>
      <c r="F547" s="31">
        <v>2093291</v>
      </c>
      <c r="G547" s="31">
        <v>2093291</v>
      </c>
    </row>
    <row r="548" spans="1:7" ht="15">
      <c r="A548" s="88" t="s">
        <v>582</v>
      </c>
      <c r="B548" s="29" t="s">
        <v>216</v>
      </c>
      <c r="C548" s="29" t="s">
        <v>42</v>
      </c>
      <c r="D548" s="29" t="s">
        <v>583</v>
      </c>
      <c r="E548" s="30"/>
      <c r="F548" s="31">
        <f>F549</f>
        <v>52313590</v>
      </c>
      <c r="G548" s="31">
        <f>G549</f>
        <v>55606484</v>
      </c>
    </row>
    <row r="549" spans="1:7" ht="14.25" customHeight="1">
      <c r="A549" s="88" t="s">
        <v>211</v>
      </c>
      <c r="B549" s="29" t="s">
        <v>216</v>
      </c>
      <c r="C549" s="29" t="s">
        <v>42</v>
      </c>
      <c r="D549" s="29" t="s">
        <v>583</v>
      </c>
      <c r="E549" s="30" t="s">
        <v>212</v>
      </c>
      <c r="F549" s="31">
        <v>52313590</v>
      </c>
      <c r="G549" s="31">
        <v>55606484</v>
      </c>
    </row>
    <row r="550" spans="1:7" ht="38.25" hidden="1">
      <c r="A550" s="10" t="s">
        <v>584</v>
      </c>
      <c r="B550" s="29" t="s">
        <v>216</v>
      </c>
      <c r="C550" s="29" t="s">
        <v>42</v>
      </c>
      <c r="D550" s="29" t="s">
        <v>585</v>
      </c>
      <c r="E550" s="30"/>
      <c r="F550" s="31">
        <f>F551</f>
        <v>0</v>
      </c>
      <c r="G550" s="31">
        <f>G551</f>
        <v>0</v>
      </c>
    </row>
    <row r="551" spans="1:7" ht="15" hidden="1">
      <c r="A551" s="88" t="s">
        <v>211</v>
      </c>
      <c r="B551" s="29" t="s">
        <v>216</v>
      </c>
      <c r="C551" s="29" t="s">
        <v>42</v>
      </c>
      <c r="D551" s="29" t="s">
        <v>585</v>
      </c>
      <c r="E551" s="30" t="s">
        <v>212</v>
      </c>
      <c r="F551" s="31"/>
      <c r="G551" s="31"/>
    </row>
    <row r="552" spans="1:7" ht="25.5">
      <c r="A552" s="88" t="s">
        <v>586</v>
      </c>
      <c r="B552" s="29" t="s">
        <v>216</v>
      </c>
      <c r="C552" s="29" t="s">
        <v>42</v>
      </c>
      <c r="D552" s="29" t="s">
        <v>587</v>
      </c>
      <c r="E552" s="30"/>
      <c r="F552" s="31">
        <f>F553</f>
        <v>1027291</v>
      </c>
      <c r="G552" s="31">
        <f>G553</f>
        <v>1073718</v>
      </c>
    </row>
    <row r="553" spans="1:7" ht="26.25">
      <c r="A553" s="35" t="s">
        <v>38</v>
      </c>
      <c r="B553" s="29" t="s">
        <v>216</v>
      </c>
      <c r="C553" s="29" t="s">
        <v>42</v>
      </c>
      <c r="D553" s="29" t="s">
        <v>587</v>
      </c>
      <c r="E553" s="30" t="s">
        <v>39</v>
      </c>
      <c r="F553" s="31">
        <v>1027291</v>
      </c>
      <c r="G553" s="31">
        <v>1073718</v>
      </c>
    </row>
    <row r="554" spans="1:7" ht="51">
      <c r="A554" s="53" t="s">
        <v>588</v>
      </c>
      <c r="B554" s="29">
        <v>10</v>
      </c>
      <c r="C554" s="29" t="s">
        <v>42</v>
      </c>
      <c r="D554" s="29" t="s">
        <v>46</v>
      </c>
      <c r="E554" s="30"/>
      <c r="F554" s="31">
        <f>F555+F558</f>
        <v>28645620</v>
      </c>
      <c r="G554" s="31">
        <f>G555+G558</f>
        <v>24923378</v>
      </c>
    </row>
    <row r="555" spans="1:7" ht="38.25">
      <c r="A555" s="10" t="s">
        <v>589</v>
      </c>
      <c r="B555" s="29">
        <v>10</v>
      </c>
      <c r="C555" s="29" t="s">
        <v>42</v>
      </c>
      <c r="D555" s="29" t="s">
        <v>590</v>
      </c>
      <c r="E555" s="30"/>
      <c r="F555" s="31">
        <f>F556</f>
        <v>16393027</v>
      </c>
      <c r="G555" s="31">
        <f>G556</f>
        <v>16754983</v>
      </c>
    </row>
    <row r="556" spans="1:7" ht="26.25">
      <c r="A556" s="8" t="s">
        <v>591</v>
      </c>
      <c r="B556" s="29">
        <v>10</v>
      </c>
      <c r="C556" s="29" t="s">
        <v>42</v>
      </c>
      <c r="D556" s="29" t="s">
        <v>592</v>
      </c>
      <c r="E556" s="30"/>
      <c r="F556" s="31">
        <f>F557</f>
        <v>16393027</v>
      </c>
      <c r="G556" s="31">
        <f>G557</f>
        <v>16754983</v>
      </c>
    </row>
    <row r="557" spans="1:7" ht="15">
      <c r="A557" s="88" t="s">
        <v>211</v>
      </c>
      <c r="B557" s="29">
        <v>10</v>
      </c>
      <c r="C557" s="29" t="s">
        <v>42</v>
      </c>
      <c r="D557" s="29" t="s">
        <v>592</v>
      </c>
      <c r="E557" s="30" t="s">
        <v>212</v>
      </c>
      <c r="F557" s="31">
        <v>16393027</v>
      </c>
      <c r="G557" s="31">
        <v>16754983</v>
      </c>
    </row>
    <row r="558" spans="1:7" ht="25.5">
      <c r="A558" s="43" t="s">
        <v>745</v>
      </c>
      <c r="B558" s="29" t="s">
        <v>216</v>
      </c>
      <c r="C558" s="29" t="s">
        <v>42</v>
      </c>
      <c r="D558" s="36" t="s">
        <v>746</v>
      </c>
      <c r="E558" s="37"/>
      <c r="F558" s="31">
        <f>F559</f>
        <v>12252593</v>
      </c>
      <c r="G558" s="31">
        <f>G559</f>
        <v>8168395</v>
      </c>
    </row>
    <row r="559" spans="1:7" s="42" customFormat="1" ht="39">
      <c r="A559" s="44" t="s">
        <v>598</v>
      </c>
      <c r="B559" s="29">
        <v>10</v>
      </c>
      <c r="C559" s="29" t="s">
        <v>42</v>
      </c>
      <c r="D559" s="29" t="s">
        <v>747</v>
      </c>
      <c r="E559" s="30"/>
      <c r="F559" s="31">
        <f>F560</f>
        <v>12252593</v>
      </c>
      <c r="G559" s="31">
        <f>G560</f>
        <v>8168395</v>
      </c>
    </row>
    <row r="560" spans="1:7" ht="26.25">
      <c r="A560" s="16" t="s">
        <v>271</v>
      </c>
      <c r="B560" s="29">
        <v>10</v>
      </c>
      <c r="C560" s="29" t="s">
        <v>42</v>
      </c>
      <c r="D560" s="29" t="s">
        <v>747</v>
      </c>
      <c r="E560" s="30" t="s">
        <v>272</v>
      </c>
      <c r="F560" s="31">
        <v>12252593</v>
      </c>
      <c r="G560" s="11">
        <v>8168395</v>
      </c>
    </row>
    <row r="561" spans="1:7" ht="26.25">
      <c r="A561" s="16" t="s">
        <v>593</v>
      </c>
      <c r="B561" s="29">
        <v>10</v>
      </c>
      <c r="C561" s="29" t="s">
        <v>42</v>
      </c>
      <c r="D561" s="90" t="s">
        <v>371</v>
      </c>
      <c r="E561" s="30"/>
      <c r="F561" s="31">
        <f>F562+F568</f>
        <v>2320643</v>
      </c>
      <c r="G561" s="31">
        <f>G562+G568</f>
        <v>2320643</v>
      </c>
    </row>
    <row r="562" spans="1:7" ht="39">
      <c r="A562" s="15" t="s">
        <v>372</v>
      </c>
      <c r="B562" s="38">
        <v>10</v>
      </c>
      <c r="C562" s="38" t="s">
        <v>42</v>
      </c>
      <c r="D562" s="91" t="s">
        <v>373</v>
      </c>
      <c r="E562" s="45"/>
      <c r="F562" s="41">
        <f>F563</f>
        <v>2320643</v>
      </c>
      <c r="G562" s="41">
        <f>G563</f>
        <v>2320643</v>
      </c>
    </row>
    <row r="563" spans="1:7" ht="25.5">
      <c r="A563" s="10" t="s">
        <v>374</v>
      </c>
      <c r="B563" s="29">
        <v>10</v>
      </c>
      <c r="C563" s="29" t="s">
        <v>42</v>
      </c>
      <c r="D563" s="90" t="s">
        <v>375</v>
      </c>
      <c r="E563" s="30"/>
      <c r="F563" s="31">
        <f>F566+F564</f>
        <v>2320643</v>
      </c>
      <c r="G563" s="31">
        <f>G566+G564</f>
        <v>2320643</v>
      </c>
    </row>
    <row r="564" spans="1:7" ht="25.5" hidden="1">
      <c r="A564" s="10" t="s">
        <v>201</v>
      </c>
      <c r="B564" s="29">
        <v>10</v>
      </c>
      <c r="C564" s="29" t="s">
        <v>42</v>
      </c>
      <c r="D564" s="90" t="s">
        <v>594</v>
      </c>
      <c r="E564" s="30"/>
      <c r="F564" s="31">
        <f>F565</f>
        <v>0</v>
      </c>
      <c r="G564" s="31">
        <f>G565</f>
        <v>0</v>
      </c>
    </row>
    <row r="565" spans="1:7" ht="39" hidden="1">
      <c r="A565" s="35" t="s">
        <v>26</v>
      </c>
      <c r="B565" s="29">
        <v>10</v>
      </c>
      <c r="C565" s="29" t="s">
        <v>42</v>
      </c>
      <c r="D565" s="90" t="s">
        <v>594</v>
      </c>
      <c r="E565" s="30" t="s">
        <v>27</v>
      </c>
      <c r="F565" s="31"/>
      <c r="G565" s="31"/>
    </row>
    <row r="566" spans="1:7" ht="15">
      <c r="A566" s="8" t="s">
        <v>595</v>
      </c>
      <c r="B566" s="29">
        <v>10</v>
      </c>
      <c r="C566" s="29" t="s">
        <v>42</v>
      </c>
      <c r="D566" s="90" t="s">
        <v>596</v>
      </c>
      <c r="E566" s="30"/>
      <c r="F566" s="31">
        <f>F567</f>
        <v>2320643</v>
      </c>
      <c r="G566" s="31">
        <f>G567</f>
        <v>2320643</v>
      </c>
    </row>
    <row r="567" spans="1:7" ht="13.5" customHeight="1">
      <c r="A567" s="88" t="s">
        <v>211</v>
      </c>
      <c r="B567" s="29">
        <v>10</v>
      </c>
      <c r="C567" s="29" t="s">
        <v>42</v>
      </c>
      <c r="D567" s="90" t="s">
        <v>596</v>
      </c>
      <c r="E567" s="30" t="s">
        <v>212</v>
      </c>
      <c r="F567" s="31">
        <v>2320643</v>
      </c>
      <c r="G567" s="31">
        <v>2320643</v>
      </c>
    </row>
    <row r="568" spans="1:7" ht="25.5" hidden="1">
      <c r="A568" s="10" t="s">
        <v>396</v>
      </c>
      <c r="B568" s="29" t="s">
        <v>216</v>
      </c>
      <c r="C568" s="29" t="s">
        <v>42</v>
      </c>
      <c r="D568" s="29" t="s">
        <v>397</v>
      </c>
      <c r="E568" s="30"/>
      <c r="F568" s="31">
        <f>F569</f>
        <v>0</v>
      </c>
      <c r="G568" s="31">
        <f>G569</f>
        <v>0</v>
      </c>
    </row>
    <row r="569" spans="1:7" s="42" customFormat="1" ht="77.25" hidden="1">
      <c r="A569" s="44" t="s">
        <v>406</v>
      </c>
      <c r="B569" s="29">
        <v>10</v>
      </c>
      <c r="C569" s="29" t="s">
        <v>42</v>
      </c>
      <c r="D569" s="90" t="s">
        <v>597</v>
      </c>
      <c r="E569" s="30"/>
      <c r="F569" s="31">
        <f>F570</f>
        <v>0</v>
      </c>
      <c r="G569" s="31">
        <f>G570</f>
        <v>0</v>
      </c>
    </row>
    <row r="570" spans="1:7" ht="39" hidden="1">
      <c r="A570" s="35" t="s">
        <v>26</v>
      </c>
      <c r="B570" s="29">
        <v>10</v>
      </c>
      <c r="C570" s="29" t="s">
        <v>42</v>
      </c>
      <c r="D570" s="90" t="s">
        <v>597</v>
      </c>
      <c r="E570" s="30" t="s">
        <v>27</v>
      </c>
      <c r="F570" s="31"/>
      <c r="G570" s="31"/>
    </row>
    <row r="571" spans="1:7" ht="15" hidden="1">
      <c r="A571" s="16" t="s">
        <v>86</v>
      </c>
      <c r="B571" s="29">
        <v>10</v>
      </c>
      <c r="C571" s="29" t="s">
        <v>42</v>
      </c>
      <c r="D571" s="47" t="s">
        <v>87</v>
      </c>
      <c r="E571" s="37"/>
      <c r="F571" s="31">
        <f aca="true" t="shared" si="35" ref="F571:G573">F572</f>
        <v>0</v>
      </c>
      <c r="G571" s="31">
        <f t="shared" si="35"/>
        <v>0</v>
      </c>
    </row>
    <row r="572" spans="1:7" s="42" customFormat="1" ht="15" hidden="1">
      <c r="A572" s="16" t="s">
        <v>93</v>
      </c>
      <c r="B572" s="29">
        <v>10</v>
      </c>
      <c r="C572" s="29" t="s">
        <v>42</v>
      </c>
      <c r="D572" s="39" t="s">
        <v>94</v>
      </c>
      <c r="E572" s="40"/>
      <c r="F572" s="41">
        <f t="shared" si="35"/>
        <v>0</v>
      </c>
      <c r="G572" s="41">
        <f t="shared" si="35"/>
        <v>0</v>
      </c>
    </row>
    <row r="573" spans="1:7" ht="39" hidden="1">
      <c r="A573" s="44" t="s">
        <v>598</v>
      </c>
      <c r="B573" s="29">
        <v>10</v>
      </c>
      <c r="C573" s="29" t="s">
        <v>42</v>
      </c>
      <c r="D573" s="29" t="s">
        <v>599</v>
      </c>
      <c r="E573" s="30"/>
      <c r="F573" s="31">
        <f t="shared" si="35"/>
        <v>0</v>
      </c>
      <c r="G573" s="31">
        <f t="shared" si="35"/>
        <v>0</v>
      </c>
    </row>
    <row r="574" spans="1:8" ht="26.25" hidden="1">
      <c r="A574" s="16" t="s">
        <v>271</v>
      </c>
      <c r="B574" s="29">
        <v>10</v>
      </c>
      <c r="C574" s="29" t="s">
        <v>42</v>
      </c>
      <c r="D574" s="29" t="s">
        <v>599</v>
      </c>
      <c r="E574" s="37" t="s">
        <v>272</v>
      </c>
      <c r="F574" s="31"/>
      <c r="G574" s="11"/>
      <c r="H574" s="21"/>
    </row>
    <row r="575" spans="1:7" s="42" customFormat="1" ht="15">
      <c r="A575" s="16" t="s">
        <v>600</v>
      </c>
      <c r="B575" s="29" t="s">
        <v>115</v>
      </c>
      <c r="C575" s="29"/>
      <c r="D575" s="29"/>
      <c r="E575" s="30"/>
      <c r="F575" s="31">
        <f aca="true" t="shared" si="36" ref="F575:G580">F576</f>
        <v>6324468</v>
      </c>
      <c r="G575" s="31">
        <f t="shared" si="36"/>
        <v>6112342</v>
      </c>
    </row>
    <row r="576" spans="1:7" ht="15">
      <c r="A576" s="16" t="s">
        <v>601</v>
      </c>
      <c r="B576" s="29" t="s">
        <v>115</v>
      </c>
      <c r="C576" s="29" t="s">
        <v>17</v>
      </c>
      <c r="D576" s="29"/>
      <c r="E576" s="30"/>
      <c r="F576" s="31">
        <f t="shared" si="36"/>
        <v>6324468</v>
      </c>
      <c r="G576" s="31">
        <f t="shared" si="36"/>
        <v>6112342</v>
      </c>
    </row>
    <row r="577" spans="1:7" ht="51">
      <c r="A577" s="10" t="s">
        <v>463</v>
      </c>
      <c r="B577" s="29" t="s">
        <v>115</v>
      </c>
      <c r="C577" s="29" t="s">
        <v>17</v>
      </c>
      <c r="D577" s="50" t="s">
        <v>464</v>
      </c>
      <c r="E577" s="30"/>
      <c r="F577" s="31">
        <f t="shared" si="36"/>
        <v>6324468</v>
      </c>
      <c r="G577" s="31">
        <f t="shared" si="36"/>
        <v>6112342</v>
      </c>
    </row>
    <row r="578" spans="1:7" ht="63.75">
      <c r="A578" s="53" t="s">
        <v>602</v>
      </c>
      <c r="B578" s="38" t="s">
        <v>115</v>
      </c>
      <c r="C578" s="38" t="s">
        <v>17</v>
      </c>
      <c r="D578" s="58" t="s">
        <v>603</v>
      </c>
      <c r="E578" s="45"/>
      <c r="F578" s="41">
        <f>F579+F582+F589</f>
        <v>6324468</v>
      </c>
      <c r="G578" s="41">
        <f>G579+G582+G589</f>
        <v>6112342</v>
      </c>
    </row>
    <row r="579" spans="1:7" ht="38.25">
      <c r="A579" s="53" t="s">
        <v>604</v>
      </c>
      <c r="B579" s="29" t="s">
        <v>115</v>
      </c>
      <c r="C579" s="29" t="s">
        <v>17</v>
      </c>
      <c r="D579" s="50" t="s">
        <v>605</v>
      </c>
      <c r="E579" s="30"/>
      <c r="F579" s="31">
        <f t="shared" si="36"/>
        <v>100000</v>
      </c>
      <c r="G579" s="31">
        <f t="shared" si="36"/>
        <v>100000</v>
      </c>
    </row>
    <row r="580" spans="1:7" ht="39">
      <c r="A580" s="16" t="s">
        <v>606</v>
      </c>
      <c r="B580" s="29" t="s">
        <v>115</v>
      </c>
      <c r="C580" s="29" t="s">
        <v>17</v>
      </c>
      <c r="D580" s="50" t="s">
        <v>607</v>
      </c>
      <c r="E580" s="30"/>
      <c r="F580" s="31">
        <f t="shared" si="36"/>
        <v>100000</v>
      </c>
      <c r="G580" s="31">
        <f t="shared" si="36"/>
        <v>100000</v>
      </c>
    </row>
    <row r="581" spans="1:7" ht="26.25">
      <c r="A581" s="35" t="s">
        <v>38</v>
      </c>
      <c r="B581" s="29" t="s">
        <v>115</v>
      </c>
      <c r="C581" s="29" t="s">
        <v>17</v>
      </c>
      <c r="D581" s="50" t="s">
        <v>607</v>
      </c>
      <c r="E581" s="30" t="s">
        <v>39</v>
      </c>
      <c r="F581" s="31">
        <v>100000</v>
      </c>
      <c r="G581" s="31">
        <v>100000</v>
      </c>
    </row>
    <row r="582" spans="1:7" ht="25.5">
      <c r="A582" s="53" t="s">
        <v>608</v>
      </c>
      <c r="B582" s="29" t="s">
        <v>115</v>
      </c>
      <c r="C582" s="29" t="s">
        <v>17</v>
      </c>
      <c r="D582" s="50" t="s">
        <v>609</v>
      </c>
      <c r="E582" s="30"/>
      <c r="F582" s="31">
        <f>F583+F587</f>
        <v>6224468</v>
      </c>
      <c r="G582" s="31">
        <f>G583+G587</f>
        <v>6012342</v>
      </c>
    </row>
    <row r="583" spans="1:7" ht="26.25">
      <c r="A583" s="16" t="s">
        <v>201</v>
      </c>
      <c r="B583" s="29" t="s">
        <v>115</v>
      </c>
      <c r="C583" s="29" t="s">
        <v>17</v>
      </c>
      <c r="D583" s="50" t="s">
        <v>610</v>
      </c>
      <c r="E583" s="30"/>
      <c r="F583" s="31">
        <f>F585+F584+F586</f>
        <v>6224468</v>
      </c>
      <c r="G583" s="31">
        <f>G585+G584+G586</f>
        <v>6012342</v>
      </c>
    </row>
    <row r="584" spans="1:7" ht="39">
      <c r="A584" s="35" t="s">
        <v>26</v>
      </c>
      <c r="B584" s="29" t="s">
        <v>115</v>
      </c>
      <c r="C584" s="29" t="s">
        <v>17</v>
      </c>
      <c r="D584" s="50" t="s">
        <v>610</v>
      </c>
      <c r="E584" s="30" t="s">
        <v>27</v>
      </c>
      <c r="F584" s="31">
        <f>6816000-1496712</f>
        <v>5319288</v>
      </c>
      <c r="G584" s="31">
        <f>6816000-1496712-212126</f>
        <v>5107162</v>
      </c>
    </row>
    <row r="585" spans="1:7" ht="26.25">
      <c r="A585" s="35" t="s">
        <v>38</v>
      </c>
      <c r="B585" s="29" t="s">
        <v>115</v>
      </c>
      <c r="C585" s="29" t="s">
        <v>17</v>
      </c>
      <c r="D585" s="50" t="s">
        <v>610</v>
      </c>
      <c r="E585" s="30" t="s">
        <v>39</v>
      </c>
      <c r="F585" s="31">
        <v>819400</v>
      </c>
      <c r="G585" s="31">
        <f>819400</f>
        <v>819400</v>
      </c>
    </row>
    <row r="586" spans="1:7" ht="15">
      <c r="A586" s="48" t="s">
        <v>84</v>
      </c>
      <c r="B586" s="29" t="s">
        <v>115</v>
      </c>
      <c r="C586" s="29" t="s">
        <v>17</v>
      </c>
      <c r="D586" s="50" t="s">
        <v>610</v>
      </c>
      <c r="E586" s="30" t="s">
        <v>85</v>
      </c>
      <c r="F586" s="31">
        <v>85780</v>
      </c>
      <c r="G586" s="31">
        <v>85780</v>
      </c>
    </row>
    <row r="587" spans="1:7" ht="25.5" hidden="1">
      <c r="A587" s="10" t="s">
        <v>236</v>
      </c>
      <c r="B587" s="29" t="s">
        <v>115</v>
      </c>
      <c r="C587" s="29" t="s">
        <v>17</v>
      </c>
      <c r="D587" s="50" t="s">
        <v>611</v>
      </c>
      <c r="E587" s="30"/>
      <c r="F587" s="31">
        <f>F588</f>
        <v>0</v>
      </c>
      <c r="G587" s="31">
        <f>G588</f>
        <v>0</v>
      </c>
    </row>
    <row r="588" spans="1:7" ht="26.25" hidden="1">
      <c r="A588" s="35" t="s">
        <v>38</v>
      </c>
      <c r="B588" s="29" t="s">
        <v>115</v>
      </c>
      <c r="C588" s="29" t="s">
        <v>17</v>
      </c>
      <c r="D588" s="50" t="s">
        <v>611</v>
      </c>
      <c r="E588" s="30" t="s">
        <v>39</v>
      </c>
      <c r="F588" s="31"/>
      <c r="G588" s="31"/>
    </row>
    <row r="589" spans="1:7" ht="25.5" hidden="1">
      <c r="A589" s="53" t="s">
        <v>612</v>
      </c>
      <c r="B589" s="29" t="s">
        <v>115</v>
      </c>
      <c r="C589" s="29" t="s">
        <v>17</v>
      </c>
      <c r="D589" s="50" t="s">
        <v>613</v>
      </c>
      <c r="E589" s="30"/>
      <c r="F589" s="31">
        <f>F590</f>
        <v>0</v>
      </c>
      <c r="G589" s="31">
        <f>G590</f>
        <v>0</v>
      </c>
    </row>
    <row r="590" spans="1:7" ht="39" hidden="1">
      <c r="A590" s="16" t="s">
        <v>606</v>
      </c>
      <c r="B590" s="29" t="s">
        <v>115</v>
      </c>
      <c r="C590" s="29" t="s">
        <v>17</v>
      </c>
      <c r="D590" s="50" t="s">
        <v>614</v>
      </c>
      <c r="E590" s="30"/>
      <c r="F590" s="31">
        <f>F591</f>
        <v>0</v>
      </c>
      <c r="G590" s="31">
        <f>G591</f>
        <v>0</v>
      </c>
    </row>
    <row r="591" spans="1:7" ht="47.25" customHeight="1" hidden="1">
      <c r="A591" s="16" t="s">
        <v>271</v>
      </c>
      <c r="B591" s="29" t="s">
        <v>115</v>
      </c>
      <c r="C591" s="29" t="s">
        <v>17</v>
      </c>
      <c r="D591" s="50" t="s">
        <v>614</v>
      </c>
      <c r="E591" s="30" t="s">
        <v>272</v>
      </c>
      <c r="F591" s="31"/>
      <c r="G591" s="31"/>
    </row>
    <row r="592" spans="1:7" s="42" customFormat="1" ht="15">
      <c r="A592" s="16" t="s">
        <v>615</v>
      </c>
      <c r="B592" s="29" t="s">
        <v>123</v>
      </c>
      <c r="C592" s="29"/>
      <c r="D592" s="29"/>
      <c r="E592" s="30"/>
      <c r="F592" s="31">
        <f aca="true" t="shared" si="37" ref="F592:G594">F593</f>
        <v>3000</v>
      </c>
      <c r="G592" s="31">
        <f t="shared" si="37"/>
        <v>3000</v>
      </c>
    </row>
    <row r="593" spans="1:7" s="42" customFormat="1" ht="15">
      <c r="A593" s="16" t="s">
        <v>616</v>
      </c>
      <c r="B593" s="29" t="s">
        <v>123</v>
      </c>
      <c r="C593" s="29" t="s">
        <v>17</v>
      </c>
      <c r="D593" s="29"/>
      <c r="E593" s="30"/>
      <c r="F593" s="31">
        <f t="shared" si="37"/>
        <v>3000</v>
      </c>
      <c r="G593" s="31">
        <f t="shared" si="37"/>
        <v>3000</v>
      </c>
    </row>
    <row r="594" spans="1:7" ht="63.75">
      <c r="A594" s="13" t="s">
        <v>658</v>
      </c>
      <c r="B594" s="29" t="s">
        <v>123</v>
      </c>
      <c r="C594" s="29" t="s">
        <v>17</v>
      </c>
      <c r="D594" s="47" t="s">
        <v>618</v>
      </c>
      <c r="E594" s="30"/>
      <c r="F594" s="31">
        <f t="shared" si="37"/>
        <v>3000</v>
      </c>
      <c r="G594" s="31">
        <f t="shared" si="37"/>
        <v>3000</v>
      </c>
    </row>
    <row r="595" spans="1:7" ht="51.75">
      <c r="A595" s="15" t="s">
        <v>619</v>
      </c>
      <c r="B595" s="38" t="s">
        <v>123</v>
      </c>
      <c r="C595" s="38" t="s">
        <v>17</v>
      </c>
      <c r="D595" s="47" t="s">
        <v>620</v>
      </c>
      <c r="E595" s="45"/>
      <c r="F595" s="41">
        <f>F597</f>
        <v>3000</v>
      </c>
      <c r="G595" s="41">
        <f>G597</f>
        <v>3000</v>
      </c>
    </row>
    <row r="596" spans="1:7" ht="39">
      <c r="A596" s="15" t="s">
        <v>621</v>
      </c>
      <c r="B596" s="29" t="s">
        <v>123</v>
      </c>
      <c r="C596" s="29" t="s">
        <v>17</v>
      </c>
      <c r="D596" s="47" t="s">
        <v>622</v>
      </c>
      <c r="E596" s="45"/>
      <c r="F596" s="41">
        <f>F597</f>
        <v>3000</v>
      </c>
      <c r="G596" s="41">
        <f>G597</f>
        <v>3000</v>
      </c>
    </row>
    <row r="597" spans="1:7" ht="15">
      <c r="A597" s="16" t="s">
        <v>623</v>
      </c>
      <c r="B597" s="29" t="s">
        <v>123</v>
      </c>
      <c r="C597" s="29" t="s">
        <v>17</v>
      </c>
      <c r="D597" s="47" t="s">
        <v>624</v>
      </c>
      <c r="E597" s="30"/>
      <c r="F597" s="31">
        <f>F598</f>
        <v>3000</v>
      </c>
      <c r="G597" s="31">
        <f>G598</f>
        <v>3000</v>
      </c>
    </row>
    <row r="598" spans="1:7" ht="38.25" customHeight="1">
      <c r="A598" s="15" t="s">
        <v>625</v>
      </c>
      <c r="B598" s="29" t="s">
        <v>123</v>
      </c>
      <c r="C598" s="29" t="s">
        <v>17</v>
      </c>
      <c r="D598" s="47" t="s">
        <v>624</v>
      </c>
      <c r="E598" s="30" t="s">
        <v>626</v>
      </c>
      <c r="F598" s="31">
        <v>3000</v>
      </c>
      <c r="G598" s="31">
        <v>3000</v>
      </c>
    </row>
    <row r="599" spans="1:7" s="42" customFormat="1" ht="26.25">
      <c r="A599" s="16" t="s">
        <v>627</v>
      </c>
      <c r="B599" s="29" t="s">
        <v>628</v>
      </c>
      <c r="C599" s="29"/>
      <c r="D599" s="29"/>
      <c r="E599" s="30"/>
      <c r="F599" s="31">
        <f aca="true" t="shared" si="38" ref="F599:G604">F600</f>
        <v>9891675</v>
      </c>
      <c r="G599" s="31">
        <f t="shared" si="38"/>
        <v>9095793</v>
      </c>
    </row>
    <row r="600" spans="1:7" ht="26.25">
      <c r="A600" s="16" t="s">
        <v>629</v>
      </c>
      <c r="B600" s="29" t="s">
        <v>628</v>
      </c>
      <c r="C600" s="29" t="s">
        <v>17</v>
      </c>
      <c r="D600" s="29"/>
      <c r="E600" s="30"/>
      <c r="F600" s="31">
        <f t="shared" si="38"/>
        <v>9891675</v>
      </c>
      <c r="G600" s="31">
        <f t="shared" si="38"/>
        <v>9095793</v>
      </c>
    </row>
    <row r="601" spans="1:7" ht="63.75">
      <c r="A601" s="13" t="s">
        <v>617</v>
      </c>
      <c r="B601" s="29" t="s">
        <v>628</v>
      </c>
      <c r="C601" s="29" t="s">
        <v>17</v>
      </c>
      <c r="D601" s="29" t="s">
        <v>618</v>
      </c>
      <c r="E601" s="30"/>
      <c r="F601" s="31">
        <f t="shared" si="38"/>
        <v>9891675</v>
      </c>
      <c r="G601" s="31">
        <f t="shared" si="38"/>
        <v>9095793</v>
      </c>
    </row>
    <row r="602" spans="1:7" ht="51.75">
      <c r="A602" s="15" t="s">
        <v>630</v>
      </c>
      <c r="B602" s="38" t="s">
        <v>628</v>
      </c>
      <c r="C602" s="38" t="s">
        <v>17</v>
      </c>
      <c r="D602" s="38" t="s">
        <v>631</v>
      </c>
      <c r="E602" s="45"/>
      <c r="F602" s="41">
        <f t="shared" si="38"/>
        <v>9891675</v>
      </c>
      <c r="G602" s="41">
        <f t="shared" si="38"/>
        <v>9095793</v>
      </c>
    </row>
    <row r="603" spans="1:7" ht="25.5">
      <c r="A603" s="13" t="s">
        <v>632</v>
      </c>
      <c r="B603" s="29" t="s">
        <v>628</v>
      </c>
      <c r="C603" s="29" t="s">
        <v>17</v>
      </c>
      <c r="D603" s="29" t="s">
        <v>633</v>
      </c>
      <c r="E603" s="30"/>
      <c r="F603" s="31">
        <f t="shared" si="38"/>
        <v>9891675</v>
      </c>
      <c r="G603" s="31">
        <f t="shared" si="38"/>
        <v>9095793</v>
      </c>
    </row>
    <row r="604" spans="1:7" ht="25.5">
      <c r="A604" s="13" t="s">
        <v>634</v>
      </c>
      <c r="B604" s="29" t="s">
        <v>628</v>
      </c>
      <c r="C604" s="29" t="s">
        <v>17</v>
      </c>
      <c r="D604" s="29" t="s">
        <v>635</v>
      </c>
      <c r="E604" s="30"/>
      <c r="F604" s="31">
        <f t="shared" si="38"/>
        <v>9891675</v>
      </c>
      <c r="G604" s="31">
        <f t="shared" si="38"/>
        <v>9095793</v>
      </c>
    </row>
    <row r="605" spans="1:7" ht="15">
      <c r="A605" s="73" t="s">
        <v>193</v>
      </c>
      <c r="B605" s="29" t="s">
        <v>628</v>
      </c>
      <c r="C605" s="29" t="s">
        <v>17</v>
      </c>
      <c r="D605" s="29" t="s">
        <v>635</v>
      </c>
      <c r="E605" s="37" t="s">
        <v>194</v>
      </c>
      <c r="F605" s="31">
        <v>9891675</v>
      </c>
      <c r="G605" s="31">
        <v>9095793</v>
      </c>
    </row>
    <row r="606" spans="2:7" ht="15">
      <c r="B606" s="92"/>
      <c r="C606" s="92"/>
      <c r="D606" s="92"/>
      <c r="E606" s="93"/>
      <c r="F606" s="94"/>
      <c r="G606" s="94"/>
    </row>
    <row r="607" spans="2:7" ht="15">
      <c r="B607" s="92"/>
      <c r="C607" s="92"/>
      <c r="D607" s="92"/>
      <c r="E607" s="93"/>
      <c r="F607" s="94"/>
      <c r="G607" s="94"/>
    </row>
  </sheetData>
  <sheetProtection/>
  <mergeCells count="10">
    <mergeCell ref="E2:G2"/>
    <mergeCell ref="E3:G3"/>
    <mergeCell ref="A5:G5"/>
    <mergeCell ref="A8:A9"/>
    <mergeCell ref="B8:B9"/>
    <mergeCell ref="C8:C9"/>
    <mergeCell ref="D8:D9"/>
    <mergeCell ref="E8:E9"/>
    <mergeCell ref="F8:F9"/>
    <mergeCell ref="G8:G9"/>
  </mergeCells>
  <hyperlinks>
    <hyperlink ref="A284" r:id="rId1" display="consultantplus://offline/ref=C6EF3AE28B6C46D1117CBBA251A07B11C6C7C5768D606C8B0E322DA1BBA42282C9440EEF08E6CC43400230U6VFM"/>
  </hyperlinks>
  <printOptions/>
  <pageMargins left="0.56" right="0.27" top="0.42" bottom="0.38" header="0.31496062992125984" footer="0.31496062992125984"/>
  <pageSetup horizontalDpi="600" verticalDpi="600" orientation="portrait" paperSize="9" scale="71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37"/>
  <sheetViews>
    <sheetView view="pageBreakPreview" zoomScale="60" zoomScalePageLayoutView="0" workbookViewId="0" topLeftCell="A1">
      <selection activeCell="D22" sqref="D22"/>
    </sheetView>
  </sheetViews>
  <sheetFormatPr defaultColWidth="9.00390625" defaultRowHeight="12.75"/>
  <cols>
    <col min="1" max="1" width="47.75390625" style="2" customWidth="1"/>
    <col min="2" max="2" width="5.125" style="18" customWidth="1"/>
    <col min="3" max="3" width="5.25390625" style="18" customWidth="1"/>
    <col min="4" max="4" width="5.00390625" style="18" customWidth="1"/>
    <col min="5" max="5" width="17.125" style="18" customWidth="1"/>
    <col min="6" max="6" width="5.875" style="95" customWidth="1"/>
    <col min="7" max="7" width="16.75390625" style="94" hidden="1" customWidth="1"/>
    <col min="8" max="8" width="12.625" style="108" hidden="1" customWidth="1"/>
    <col min="9" max="9" width="19.00390625" style="94" customWidth="1"/>
    <col min="10" max="10" width="23.875" style="21" customWidth="1"/>
    <col min="11" max="11" width="26.375" style="21" customWidth="1"/>
    <col min="12" max="12" width="13.875" style="21" bestFit="1" customWidth="1"/>
    <col min="13" max="13" width="9.125" style="21" customWidth="1"/>
    <col min="14" max="16384" width="9.125" style="1" customWidth="1"/>
  </cols>
  <sheetData>
    <row r="1" spans="2:8" ht="15">
      <c r="B1" s="97"/>
      <c r="D1" s="97" t="s">
        <v>659</v>
      </c>
      <c r="E1" s="97"/>
      <c r="F1" s="98"/>
      <c r="H1" s="104"/>
    </row>
    <row r="2" spans="2:13" ht="66" customHeight="1">
      <c r="B2" s="233"/>
      <c r="C2" s="233"/>
      <c r="D2" s="237" t="s">
        <v>756</v>
      </c>
      <c r="E2" s="237"/>
      <c r="F2" s="237"/>
      <c r="G2" s="237"/>
      <c r="H2" s="237"/>
      <c r="I2" s="237"/>
      <c r="J2" s="1"/>
      <c r="K2" s="1"/>
      <c r="L2" s="1"/>
      <c r="M2" s="1"/>
    </row>
    <row r="3" spans="1:9" ht="38.25" customHeight="1">
      <c r="A3" s="106"/>
      <c r="B3" s="234"/>
      <c r="C3" s="234"/>
      <c r="D3" s="238" t="s">
        <v>774</v>
      </c>
      <c r="E3" s="238"/>
      <c r="F3" s="238"/>
      <c r="G3" s="238"/>
      <c r="H3" s="238"/>
      <c r="I3" s="238"/>
    </row>
    <row r="4" spans="1:9" ht="12.75">
      <c r="A4" s="106"/>
      <c r="B4" s="99"/>
      <c r="C4" s="99"/>
      <c r="D4" s="99"/>
      <c r="E4" s="99"/>
      <c r="F4" s="99"/>
      <c r="G4" s="107"/>
      <c r="H4" s="99"/>
      <c r="I4" s="99"/>
    </row>
    <row r="5" spans="1:9" ht="41.25" customHeight="1">
      <c r="A5" s="248" t="s">
        <v>660</v>
      </c>
      <c r="B5" s="248"/>
      <c r="C5" s="248"/>
      <c r="D5" s="248"/>
      <c r="E5" s="248"/>
      <c r="F5" s="248"/>
      <c r="G5" s="248"/>
      <c r="H5" s="248"/>
      <c r="I5" s="248"/>
    </row>
    <row r="6" spans="6:9" ht="18.75" customHeight="1">
      <c r="F6" s="19"/>
      <c r="G6" s="79"/>
      <c r="I6" s="20" t="s">
        <v>4</v>
      </c>
    </row>
    <row r="7" spans="1:11" ht="27.75" customHeight="1">
      <c r="A7" s="240" t="s">
        <v>5</v>
      </c>
      <c r="B7" s="241" t="s">
        <v>661</v>
      </c>
      <c r="C7" s="241" t="s">
        <v>6</v>
      </c>
      <c r="D7" s="241" t="s">
        <v>7</v>
      </c>
      <c r="E7" s="242" t="s">
        <v>8</v>
      </c>
      <c r="F7" s="242" t="s">
        <v>9</v>
      </c>
      <c r="G7" s="246" t="s">
        <v>662</v>
      </c>
      <c r="H7" s="247" t="s">
        <v>663</v>
      </c>
      <c r="I7" s="247" t="s">
        <v>10</v>
      </c>
      <c r="J7" s="111"/>
      <c r="K7" s="111"/>
    </row>
    <row r="8" spans="1:9" ht="3.75" customHeight="1">
      <c r="A8" s="240"/>
      <c r="B8" s="241"/>
      <c r="C8" s="241"/>
      <c r="D8" s="241"/>
      <c r="E8" s="242"/>
      <c r="F8" s="242"/>
      <c r="G8" s="246"/>
      <c r="H8" s="247"/>
      <c r="I8" s="247"/>
    </row>
    <row r="9" spans="1:13" s="28" customFormat="1" ht="12.75" customHeight="1">
      <c r="A9" s="6">
        <v>1</v>
      </c>
      <c r="B9" s="22">
        <v>2</v>
      </c>
      <c r="C9" s="22" t="s">
        <v>12</v>
      </c>
      <c r="D9" s="22" t="s">
        <v>13</v>
      </c>
      <c r="E9" s="23" t="s">
        <v>14</v>
      </c>
      <c r="F9" s="23" t="s">
        <v>664</v>
      </c>
      <c r="G9" s="109"/>
      <c r="H9" s="110"/>
      <c r="I9" s="113" t="s">
        <v>665</v>
      </c>
      <c r="J9" s="114"/>
      <c r="K9" s="115"/>
      <c r="L9" s="115"/>
      <c r="M9" s="115"/>
    </row>
    <row r="10" spans="1:13" s="34" customFormat="1" ht="20.25">
      <c r="A10" s="15" t="s">
        <v>15</v>
      </c>
      <c r="B10" s="29"/>
      <c r="C10" s="29"/>
      <c r="D10" s="29"/>
      <c r="E10" s="29"/>
      <c r="F10" s="30"/>
      <c r="G10" s="31">
        <f>G11+G423+G657</f>
        <v>741893054.57</v>
      </c>
      <c r="H10" s="31">
        <f>H11+H423+H657</f>
        <v>10185058.980000002</v>
      </c>
      <c r="I10" s="31">
        <f>G10+H10</f>
        <v>752078113.5500001</v>
      </c>
      <c r="J10" s="112"/>
      <c r="K10" s="112"/>
      <c r="L10" s="33"/>
      <c r="M10" s="33"/>
    </row>
    <row r="11" spans="1:11" ht="23.25" customHeight="1">
      <c r="A11" s="15" t="s">
        <v>666</v>
      </c>
      <c r="B11" s="29" t="s">
        <v>667</v>
      </c>
      <c r="C11" s="29"/>
      <c r="D11" s="29"/>
      <c r="E11" s="29"/>
      <c r="F11" s="30"/>
      <c r="G11" s="31">
        <f>G12+G182+G201+G280+G325+G341+G349+G416+G318+G393+G409</f>
        <v>177897908.34</v>
      </c>
      <c r="H11" s="31">
        <f>H12+H182+H201+H280+H325+H341+H349+H416+H318+H393+H409</f>
        <v>0</v>
      </c>
      <c r="I11" s="31">
        <f>G11+H11</f>
        <v>177897908.34</v>
      </c>
      <c r="J11" s="112"/>
      <c r="K11" s="112"/>
    </row>
    <row r="12" spans="1:11" ht="15.75">
      <c r="A12" s="16" t="s">
        <v>16</v>
      </c>
      <c r="B12" s="29" t="s">
        <v>667</v>
      </c>
      <c r="C12" s="29" t="s">
        <v>17</v>
      </c>
      <c r="D12" s="29"/>
      <c r="E12" s="29"/>
      <c r="F12" s="30"/>
      <c r="G12" s="31">
        <f>G13+G18+G27+G90+G95+G78+G73+G85</f>
        <v>56490829.339999996</v>
      </c>
      <c r="H12" s="116"/>
      <c r="I12" s="31">
        <f>G12+H12</f>
        <v>56490829.339999996</v>
      </c>
      <c r="J12" s="117"/>
      <c r="K12" s="112"/>
    </row>
    <row r="13" spans="1:10" ht="28.5" customHeight="1">
      <c r="A13" s="8" t="s">
        <v>18</v>
      </c>
      <c r="B13" s="29" t="s">
        <v>667</v>
      </c>
      <c r="C13" s="29" t="s">
        <v>17</v>
      </c>
      <c r="D13" s="29" t="s">
        <v>19</v>
      </c>
      <c r="E13" s="29"/>
      <c r="F13" s="30"/>
      <c r="G13" s="31">
        <f>G15</f>
        <v>1569900</v>
      </c>
      <c r="H13" s="116"/>
      <c r="I13" s="31">
        <f>G13+H13</f>
        <v>1569900</v>
      </c>
      <c r="J13" s="112"/>
    </row>
    <row r="14" spans="1:10" ht="27" customHeight="1">
      <c r="A14" s="35" t="s">
        <v>20</v>
      </c>
      <c r="B14" s="29" t="s">
        <v>667</v>
      </c>
      <c r="C14" s="29" t="s">
        <v>17</v>
      </c>
      <c r="D14" s="29" t="s">
        <v>19</v>
      </c>
      <c r="E14" s="36" t="s">
        <v>21</v>
      </c>
      <c r="F14" s="30"/>
      <c r="G14" s="31">
        <f>G15</f>
        <v>1569900</v>
      </c>
      <c r="H14" s="116"/>
      <c r="I14" s="31">
        <f aca="true" t="shared" si="0" ref="I14:I92">G14+H14</f>
        <v>1569900</v>
      </c>
      <c r="J14" s="112"/>
    </row>
    <row r="15" spans="1:9" ht="17.25" customHeight="1">
      <c r="A15" s="16" t="s">
        <v>22</v>
      </c>
      <c r="B15" s="29" t="s">
        <v>667</v>
      </c>
      <c r="C15" s="29" t="s">
        <v>17</v>
      </c>
      <c r="D15" s="29" t="s">
        <v>19</v>
      </c>
      <c r="E15" s="36" t="s">
        <v>23</v>
      </c>
      <c r="F15" s="30"/>
      <c r="G15" s="31">
        <f>G17</f>
        <v>1569900</v>
      </c>
      <c r="H15" s="116"/>
      <c r="I15" s="31">
        <f t="shared" si="0"/>
        <v>1569900</v>
      </c>
    </row>
    <row r="16" spans="1:10" ht="30" customHeight="1">
      <c r="A16" s="8" t="s">
        <v>24</v>
      </c>
      <c r="B16" s="29" t="s">
        <v>667</v>
      </c>
      <c r="C16" s="29" t="s">
        <v>17</v>
      </c>
      <c r="D16" s="29" t="s">
        <v>19</v>
      </c>
      <c r="E16" s="36" t="s">
        <v>25</v>
      </c>
      <c r="F16" s="30"/>
      <c r="G16" s="31">
        <f>G17</f>
        <v>1569900</v>
      </c>
      <c r="H16" s="116"/>
      <c r="I16" s="31">
        <f t="shared" si="0"/>
        <v>1569900</v>
      </c>
      <c r="J16" s="112"/>
    </row>
    <row r="17" spans="1:10" ht="74.25" customHeight="1">
      <c r="A17" s="35" t="s">
        <v>26</v>
      </c>
      <c r="B17" s="29" t="s">
        <v>667</v>
      </c>
      <c r="C17" s="29" t="s">
        <v>17</v>
      </c>
      <c r="D17" s="29" t="s">
        <v>19</v>
      </c>
      <c r="E17" s="36" t="s">
        <v>25</v>
      </c>
      <c r="F17" s="37" t="s">
        <v>27</v>
      </c>
      <c r="G17" s="31">
        <v>1569900</v>
      </c>
      <c r="H17" s="116"/>
      <c r="I17" s="31">
        <f t="shared" si="0"/>
        <v>1569900</v>
      </c>
      <c r="J17" s="112"/>
    </row>
    <row r="18" spans="1:10" ht="42" customHeight="1">
      <c r="A18" s="8" t="s">
        <v>28</v>
      </c>
      <c r="B18" s="29" t="s">
        <v>667</v>
      </c>
      <c r="C18" s="29" t="s">
        <v>17</v>
      </c>
      <c r="D18" s="29" t="s">
        <v>29</v>
      </c>
      <c r="E18" s="29"/>
      <c r="F18" s="30"/>
      <c r="G18" s="31">
        <f>G19</f>
        <v>2449000</v>
      </c>
      <c r="H18" s="116"/>
      <c r="I18" s="31">
        <f t="shared" si="0"/>
        <v>2449000</v>
      </c>
      <c r="J18" s="112"/>
    </row>
    <row r="19" spans="1:10" ht="30.75" customHeight="1">
      <c r="A19" s="35" t="s">
        <v>30</v>
      </c>
      <c r="B19" s="29" t="s">
        <v>667</v>
      </c>
      <c r="C19" s="29" t="s">
        <v>17</v>
      </c>
      <c r="D19" s="29" t="s">
        <v>29</v>
      </c>
      <c r="E19" s="36" t="s">
        <v>31</v>
      </c>
      <c r="F19" s="30"/>
      <c r="G19" s="31">
        <f>G20+G23</f>
        <v>2449000</v>
      </c>
      <c r="H19" s="116"/>
      <c r="I19" s="31">
        <f t="shared" si="0"/>
        <v>2449000</v>
      </c>
      <c r="J19" s="112"/>
    </row>
    <row r="20" spans="1:9" ht="26.25" customHeight="1">
      <c r="A20" s="16" t="s">
        <v>32</v>
      </c>
      <c r="B20" s="29" t="s">
        <v>667</v>
      </c>
      <c r="C20" s="29" t="s">
        <v>17</v>
      </c>
      <c r="D20" s="29" t="s">
        <v>29</v>
      </c>
      <c r="E20" s="36" t="s">
        <v>33</v>
      </c>
      <c r="F20" s="30"/>
      <c r="G20" s="31">
        <f>G21</f>
        <v>879500</v>
      </c>
      <c r="H20" s="116"/>
      <c r="I20" s="31">
        <f t="shared" si="0"/>
        <v>879500</v>
      </c>
    </row>
    <row r="21" spans="1:9" ht="26.25">
      <c r="A21" s="8" t="s">
        <v>24</v>
      </c>
      <c r="B21" s="29" t="s">
        <v>667</v>
      </c>
      <c r="C21" s="29" t="s">
        <v>17</v>
      </c>
      <c r="D21" s="29" t="s">
        <v>29</v>
      </c>
      <c r="E21" s="36" t="s">
        <v>34</v>
      </c>
      <c r="F21" s="37"/>
      <c r="G21" s="31">
        <f>G22</f>
        <v>879500</v>
      </c>
      <c r="H21" s="116"/>
      <c r="I21" s="31">
        <f t="shared" si="0"/>
        <v>879500</v>
      </c>
    </row>
    <row r="22" spans="1:9" ht="72.75" customHeight="1">
      <c r="A22" s="35" t="s">
        <v>26</v>
      </c>
      <c r="B22" s="29" t="s">
        <v>667</v>
      </c>
      <c r="C22" s="29" t="s">
        <v>17</v>
      </c>
      <c r="D22" s="29" t="s">
        <v>29</v>
      </c>
      <c r="E22" s="36" t="s">
        <v>34</v>
      </c>
      <c r="F22" s="37" t="s">
        <v>27</v>
      </c>
      <c r="G22" s="31">
        <v>879500</v>
      </c>
      <c r="H22" s="116"/>
      <c r="I22" s="31">
        <f t="shared" si="0"/>
        <v>879500</v>
      </c>
    </row>
    <row r="23" spans="1:9" ht="39" customHeight="1">
      <c r="A23" s="16" t="s">
        <v>35</v>
      </c>
      <c r="B23" s="29" t="s">
        <v>667</v>
      </c>
      <c r="C23" s="29" t="s">
        <v>17</v>
      </c>
      <c r="D23" s="29" t="s">
        <v>29</v>
      </c>
      <c r="E23" s="36" t="s">
        <v>36</v>
      </c>
      <c r="F23" s="37"/>
      <c r="G23" s="31">
        <f>G24</f>
        <v>1569500</v>
      </c>
      <c r="H23" s="116"/>
      <c r="I23" s="31">
        <f t="shared" si="0"/>
        <v>1569500</v>
      </c>
    </row>
    <row r="24" spans="1:9" ht="27.75" customHeight="1">
      <c r="A24" s="8" t="s">
        <v>24</v>
      </c>
      <c r="B24" s="29" t="s">
        <v>667</v>
      </c>
      <c r="C24" s="29" t="s">
        <v>17</v>
      </c>
      <c r="D24" s="29" t="s">
        <v>29</v>
      </c>
      <c r="E24" s="36" t="s">
        <v>37</v>
      </c>
      <c r="F24" s="37"/>
      <c r="G24" s="31">
        <f>G25+G26</f>
        <v>1569500</v>
      </c>
      <c r="H24" s="116"/>
      <c r="I24" s="31">
        <f t="shared" si="0"/>
        <v>1569500</v>
      </c>
    </row>
    <row r="25" spans="1:9" ht="64.5">
      <c r="A25" s="35" t="s">
        <v>26</v>
      </c>
      <c r="B25" s="29" t="s">
        <v>667</v>
      </c>
      <c r="C25" s="29" t="s">
        <v>17</v>
      </c>
      <c r="D25" s="29" t="s">
        <v>29</v>
      </c>
      <c r="E25" s="36" t="s">
        <v>37</v>
      </c>
      <c r="F25" s="37" t="s">
        <v>27</v>
      </c>
      <c r="G25" s="31">
        <v>1568500</v>
      </c>
      <c r="H25" s="116"/>
      <c r="I25" s="31">
        <f t="shared" si="0"/>
        <v>1568500</v>
      </c>
    </row>
    <row r="26" spans="1:9" ht="26.25">
      <c r="A26" s="35" t="s">
        <v>38</v>
      </c>
      <c r="B26" s="29" t="s">
        <v>667</v>
      </c>
      <c r="C26" s="29" t="s">
        <v>17</v>
      </c>
      <c r="D26" s="29" t="s">
        <v>29</v>
      </c>
      <c r="E26" s="36" t="s">
        <v>37</v>
      </c>
      <c r="F26" s="37" t="s">
        <v>39</v>
      </c>
      <c r="G26" s="31">
        <v>1000</v>
      </c>
      <c r="H26" s="116"/>
      <c r="I26" s="31">
        <f t="shared" si="0"/>
        <v>1000</v>
      </c>
    </row>
    <row r="27" spans="1:9" ht="51.75">
      <c r="A27" s="8" t="s">
        <v>40</v>
      </c>
      <c r="B27" s="29" t="s">
        <v>667</v>
      </c>
      <c r="C27" s="29" t="s">
        <v>41</v>
      </c>
      <c r="D27" s="29" t="s">
        <v>42</v>
      </c>
      <c r="E27" s="29"/>
      <c r="F27" s="30"/>
      <c r="G27" s="31">
        <f>G28+G48+G65+G57+G42</f>
        <v>23402022</v>
      </c>
      <c r="H27" s="116"/>
      <c r="I27" s="31">
        <f t="shared" si="0"/>
        <v>23402022</v>
      </c>
    </row>
    <row r="28" spans="1:9" ht="42" customHeight="1">
      <c r="A28" s="16" t="s">
        <v>43</v>
      </c>
      <c r="B28" s="29" t="s">
        <v>667</v>
      </c>
      <c r="C28" s="29" t="s">
        <v>41</v>
      </c>
      <c r="D28" s="29" t="s">
        <v>42</v>
      </c>
      <c r="E28" s="36" t="s">
        <v>44</v>
      </c>
      <c r="F28" s="37"/>
      <c r="G28" s="31">
        <f>G34+G29</f>
        <v>4441800</v>
      </c>
      <c r="H28" s="116"/>
      <c r="I28" s="31">
        <f t="shared" si="0"/>
        <v>4441800</v>
      </c>
    </row>
    <row r="29" spans="1:9" ht="69" customHeight="1">
      <c r="A29" s="35" t="s">
        <v>45</v>
      </c>
      <c r="B29" s="29" t="s">
        <v>667</v>
      </c>
      <c r="C29" s="29" t="s">
        <v>17</v>
      </c>
      <c r="D29" s="29" t="s">
        <v>42</v>
      </c>
      <c r="E29" s="36" t="s">
        <v>46</v>
      </c>
      <c r="F29" s="37"/>
      <c r="G29" s="31">
        <f>G31</f>
        <v>1004100</v>
      </c>
      <c r="H29" s="116"/>
      <c r="I29" s="31">
        <f t="shared" si="0"/>
        <v>1004100</v>
      </c>
    </row>
    <row r="30" spans="1:9" ht="56.25" customHeight="1">
      <c r="A30" s="43" t="s">
        <v>47</v>
      </c>
      <c r="B30" s="29" t="s">
        <v>667</v>
      </c>
      <c r="C30" s="29" t="s">
        <v>17</v>
      </c>
      <c r="D30" s="29" t="s">
        <v>42</v>
      </c>
      <c r="E30" s="36" t="s">
        <v>48</v>
      </c>
      <c r="F30" s="37"/>
      <c r="G30" s="31">
        <f>G31</f>
        <v>1004100</v>
      </c>
      <c r="H30" s="116"/>
      <c r="I30" s="31">
        <f t="shared" si="0"/>
        <v>1004100</v>
      </c>
    </row>
    <row r="31" spans="1:9" ht="42" customHeight="1">
      <c r="A31" s="118" t="s">
        <v>49</v>
      </c>
      <c r="B31" s="29" t="s">
        <v>667</v>
      </c>
      <c r="C31" s="29" t="s">
        <v>17</v>
      </c>
      <c r="D31" s="29" t="s">
        <v>42</v>
      </c>
      <c r="E31" s="36" t="s">
        <v>50</v>
      </c>
      <c r="F31" s="37"/>
      <c r="G31" s="31">
        <f>G32+G33</f>
        <v>1004100</v>
      </c>
      <c r="H31" s="116"/>
      <c r="I31" s="31">
        <f t="shared" si="0"/>
        <v>1004100</v>
      </c>
    </row>
    <row r="32" spans="1:9" ht="67.5" customHeight="1">
      <c r="A32" s="35" t="s">
        <v>26</v>
      </c>
      <c r="B32" s="29" t="s">
        <v>667</v>
      </c>
      <c r="C32" s="29" t="s">
        <v>17</v>
      </c>
      <c r="D32" s="29" t="s">
        <v>42</v>
      </c>
      <c r="E32" s="36" t="s">
        <v>50</v>
      </c>
      <c r="F32" s="37" t="s">
        <v>27</v>
      </c>
      <c r="G32" s="31">
        <v>938056</v>
      </c>
      <c r="H32" s="116"/>
      <c r="I32" s="31">
        <f t="shared" si="0"/>
        <v>938056</v>
      </c>
    </row>
    <row r="33" spans="1:9" ht="26.25">
      <c r="A33" s="35" t="s">
        <v>38</v>
      </c>
      <c r="B33" s="29" t="s">
        <v>667</v>
      </c>
      <c r="C33" s="29" t="s">
        <v>17</v>
      </c>
      <c r="D33" s="29" t="s">
        <v>42</v>
      </c>
      <c r="E33" s="36" t="s">
        <v>50</v>
      </c>
      <c r="F33" s="37" t="s">
        <v>39</v>
      </c>
      <c r="G33" s="31">
        <f>12000+54044</f>
        <v>66044</v>
      </c>
      <c r="H33" s="116"/>
      <c r="I33" s="31">
        <f t="shared" si="0"/>
        <v>66044</v>
      </c>
    </row>
    <row r="34" spans="1:9" ht="68.25" customHeight="1">
      <c r="A34" s="8" t="s">
        <v>51</v>
      </c>
      <c r="B34" s="29" t="s">
        <v>667</v>
      </c>
      <c r="C34" s="29" t="s">
        <v>17</v>
      </c>
      <c r="D34" s="29" t="s">
        <v>42</v>
      </c>
      <c r="E34" s="36" t="s">
        <v>52</v>
      </c>
      <c r="F34" s="30"/>
      <c r="G34" s="31">
        <f>G35</f>
        <v>3437700</v>
      </c>
      <c r="H34" s="116"/>
      <c r="I34" s="31">
        <f t="shared" si="0"/>
        <v>3437700</v>
      </c>
    </row>
    <row r="35" spans="1:9" ht="43.5" customHeight="1">
      <c r="A35" s="13" t="s">
        <v>53</v>
      </c>
      <c r="B35" s="29" t="s">
        <v>667</v>
      </c>
      <c r="C35" s="29" t="s">
        <v>17</v>
      </c>
      <c r="D35" s="29" t="s">
        <v>42</v>
      </c>
      <c r="E35" s="36" t="s">
        <v>54</v>
      </c>
      <c r="F35" s="30"/>
      <c r="G35" s="31">
        <f>G36+G39</f>
        <v>3437700</v>
      </c>
      <c r="H35" s="116"/>
      <c r="I35" s="31">
        <f t="shared" si="0"/>
        <v>3437700</v>
      </c>
    </row>
    <row r="36" spans="1:9" ht="33" customHeight="1">
      <c r="A36" s="8" t="s">
        <v>55</v>
      </c>
      <c r="B36" s="29" t="s">
        <v>667</v>
      </c>
      <c r="C36" s="29" t="s">
        <v>17</v>
      </c>
      <c r="D36" s="29" t="s">
        <v>42</v>
      </c>
      <c r="E36" s="36" t="s">
        <v>56</v>
      </c>
      <c r="F36" s="30"/>
      <c r="G36" s="31">
        <f>G37+G38</f>
        <v>2342900</v>
      </c>
      <c r="H36" s="116"/>
      <c r="I36" s="31">
        <f t="shared" si="0"/>
        <v>2342900</v>
      </c>
    </row>
    <row r="37" spans="1:9" ht="49.5" customHeight="1">
      <c r="A37" s="35" t="s">
        <v>26</v>
      </c>
      <c r="B37" s="29" t="s">
        <v>667</v>
      </c>
      <c r="C37" s="29" t="s">
        <v>17</v>
      </c>
      <c r="D37" s="29" t="s">
        <v>42</v>
      </c>
      <c r="E37" s="36" t="s">
        <v>56</v>
      </c>
      <c r="F37" s="37" t="s">
        <v>27</v>
      </c>
      <c r="G37" s="31">
        <v>2307507</v>
      </c>
      <c r="H37" s="116"/>
      <c r="I37" s="31">
        <f t="shared" si="0"/>
        <v>2307507</v>
      </c>
    </row>
    <row r="38" spans="1:9" ht="26.25">
      <c r="A38" s="35" t="s">
        <v>38</v>
      </c>
      <c r="B38" s="29" t="s">
        <v>667</v>
      </c>
      <c r="C38" s="29" t="s">
        <v>17</v>
      </c>
      <c r="D38" s="29" t="s">
        <v>42</v>
      </c>
      <c r="E38" s="36" t="s">
        <v>56</v>
      </c>
      <c r="F38" s="37" t="s">
        <v>39</v>
      </c>
      <c r="G38" s="31">
        <v>35393</v>
      </c>
      <c r="H38" s="116"/>
      <c r="I38" s="31">
        <f t="shared" si="0"/>
        <v>35393</v>
      </c>
    </row>
    <row r="39" spans="1:9" ht="60" customHeight="1">
      <c r="A39" s="9" t="s">
        <v>57</v>
      </c>
      <c r="B39" s="29" t="s">
        <v>667</v>
      </c>
      <c r="C39" s="29" t="s">
        <v>17</v>
      </c>
      <c r="D39" s="29" t="s">
        <v>42</v>
      </c>
      <c r="E39" s="36" t="s">
        <v>58</v>
      </c>
      <c r="F39" s="30"/>
      <c r="G39" s="31">
        <f>G40+G41</f>
        <v>1094800</v>
      </c>
      <c r="H39" s="116"/>
      <c r="I39" s="31">
        <f t="shared" si="0"/>
        <v>1094800</v>
      </c>
    </row>
    <row r="40" spans="1:9" ht="66.75" customHeight="1">
      <c r="A40" s="35" t="s">
        <v>26</v>
      </c>
      <c r="B40" s="29" t="s">
        <v>667</v>
      </c>
      <c r="C40" s="29" t="s">
        <v>17</v>
      </c>
      <c r="D40" s="29" t="s">
        <v>42</v>
      </c>
      <c r="E40" s="36" t="s">
        <v>58</v>
      </c>
      <c r="F40" s="37" t="s">
        <v>27</v>
      </c>
      <c r="G40" s="31">
        <v>1004100</v>
      </c>
      <c r="H40" s="116"/>
      <c r="I40" s="31">
        <f t="shared" si="0"/>
        <v>1004100</v>
      </c>
    </row>
    <row r="41" spans="1:9" ht="26.25">
      <c r="A41" s="35" t="s">
        <v>38</v>
      </c>
      <c r="B41" s="29" t="s">
        <v>667</v>
      </c>
      <c r="C41" s="29" t="s">
        <v>17</v>
      </c>
      <c r="D41" s="29" t="s">
        <v>42</v>
      </c>
      <c r="E41" s="36" t="s">
        <v>58</v>
      </c>
      <c r="F41" s="37" t="s">
        <v>39</v>
      </c>
      <c r="G41" s="31">
        <v>90700</v>
      </c>
      <c r="H41" s="116"/>
      <c r="I41" s="31">
        <f t="shared" si="0"/>
        <v>90700</v>
      </c>
    </row>
    <row r="42" spans="1:9" ht="45.75" customHeight="1">
      <c r="A42" s="15" t="s">
        <v>59</v>
      </c>
      <c r="B42" s="29" t="s">
        <v>667</v>
      </c>
      <c r="C42" s="29" t="s">
        <v>17</v>
      </c>
      <c r="D42" s="29" t="s">
        <v>42</v>
      </c>
      <c r="E42" s="36" t="s">
        <v>60</v>
      </c>
      <c r="F42" s="30"/>
      <c r="G42" s="31">
        <f>G43</f>
        <v>322552</v>
      </c>
      <c r="H42" s="116"/>
      <c r="I42" s="31">
        <f t="shared" si="0"/>
        <v>322552</v>
      </c>
    </row>
    <row r="43" spans="1:13" s="42" customFormat="1" ht="72" customHeight="1">
      <c r="A43" s="13" t="s">
        <v>61</v>
      </c>
      <c r="B43" s="29" t="s">
        <v>667</v>
      </c>
      <c r="C43" s="29" t="s">
        <v>17</v>
      </c>
      <c r="D43" s="29" t="s">
        <v>42</v>
      </c>
      <c r="E43" s="36" t="s">
        <v>62</v>
      </c>
      <c r="F43" s="30"/>
      <c r="G43" s="31">
        <f>G45</f>
        <v>322552</v>
      </c>
      <c r="H43" s="116"/>
      <c r="I43" s="31">
        <f t="shared" si="0"/>
        <v>322552</v>
      </c>
      <c r="J43" s="69"/>
      <c r="K43" s="69"/>
      <c r="L43" s="69"/>
      <c r="M43" s="69"/>
    </row>
    <row r="44" spans="1:9" ht="30.75" customHeight="1">
      <c r="A44" s="10" t="s">
        <v>63</v>
      </c>
      <c r="B44" s="29" t="s">
        <v>667</v>
      </c>
      <c r="C44" s="29" t="s">
        <v>17</v>
      </c>
      <c r="D44" s="29" t="s">
        <v>42</v>
      </c>
      <c r="E44" s="36" t="s">
        <v>64</v>
      </c>
      <c r="F44" s="30"/>
      <c r="G44" s="31">
        <f>G45</f>
        <v>322552</v>
      </c>
      <c r="H44" s="116"/>
      <c r="I44" s="31">
        <f t="shared" si="0"/>
        <v>322552</v>
      </c>
    </row>
    <row r="45" spans="1:9" ht="31.5" customHeight="1">
      <c r="A45" s="118" t="s">
        <v>65</v>
      </c>
      <c r="B45" s="29" t="s">
        <v>667</v>
      </c>
      <c r="C45" s="29" t="s">
        <v>17</v>
      </c>
      <c r="D45" s="29" t="s">
        <v>42</v>
      </c>
      <c r="E45" s="36" t="s">
        <v>66</v>
      </c>
      <c r="F45" s="30"/>
      <c r="G45" s="31">
        <f>G46+G47</f>
        <v>322552</v>
      </c>
      <c r="H45" s="116"/>
      <c r="I45" s="31">
        <f t="shared" si="0"/>
        <v>322552</v>
      </c>
    </row>
    <row r="46" spans="1:9" ht="64.5">
      <c r="A46" s="35" t="s">
        <v>26</v>
      </c>
      <c r="B46" s="29" t="s">
        <v>667</v>
      </c>
      <c r="C46" s="29" t="s">
        <v>17</v>
      </c>
      <c r="D46" s="29" t="s">
        <v>42</v>
      </c>
      <c r="E46" s="36" t="s">
        <v>66</v>
      </c>
      <c r="F46" s="37" t="s">
        <v>27</v>
      </c>
      <c r="G46" s="31">
        <f>318221-5269</f>
        <v>312952</v>
      </c>
      <c r="H46" s="116"/>
      <c r="I46" s="31">
        <f t="shared" si="0"/>
        <v>312952</v>
      </c>
    </row>
    <row r="47" spans="1:9" ht="31.5" customHeight="1">
      <c r="A47" s="35" t="s">
        <v>38</v>
      </c>
      <c r="B47" s="29" t="s">
        <v>667</v>
      </c>
      <c r="C47" s="29" t="s">
        <v>17</v>
      </c>
      <c r="D47" s="29" t="s">
        <v>42</v>
      </c>
      <c r="E47" s="36" t="s">
        <v>66</v>
      </c>
      <c r="F47" s="37" t="s">
        <v>39</v>
      </c>
      <c r="G47" s="31">
        <f>4331+5269</f>
        <v>9600</v>
      </c>
      <c r="H47" s="116"/>
      <c r="I47" s="31">
        <f t="shared" si="0"/>
        <v>9600</v>
      </c>
    </row>
    <row r="48" spans="1:9" ht="54.75" customHeight="1">
      <c r="A48" s="16" t="s">
        <v>67</v>
      </c>
      <c r="B48" s="29" t="s">
        <v>667</v>
      </c>
      <c r="C48" s="29" t="s">
        <v>17</v>
      </c>
      <c r="D48" s="29" t="s">
        <v>42</v>
      </c>
      <c r="E48" s="36" t="s">
        <v>68</v>
      </c>
      <c r="F48" s="37"/>
      <c r="G48" s="31">
        <f>G49</f>
        <v>669400</v>
      </c>
      <c r="H48" s="116"/>
      <c r="I48" s="31">
        <f t="shared" si="0"/>
        <v>669400</v>
      </c>
    </row>
    <row r="49" spans="1:13" s="42" customFormat="1" ht="83.25" customHeight="1">
      <c r="A49" s="16" t="s">
        <v>69</v>
      </c>
      <c r="B49" s="29" t="s">
        <v>667</v>
      </c>
      <c r="C49" s="29" t="s">
        <v>17</v>
      </c>
      <c r="D49" s="29" t="s">
        <v>42</v>
      </c>
      <c r="E49" s="36" t="s">
        <v>70</v>
      </c>
      <c r="F49" s="37"/>
      <c r="G49" s="31">
        <f>G51+G54</f>
        <v>669400</v>
      </c>
      <c r="H49" s="116"/>
      <c r="I49" s="31">
        <f t="shared" si="0"/>
        <v>669400</v>
      </c>
      <c r="J49" s="69"/>
      <c r="K49" s="69"/>
      <c r="L49" s="69"/>
      <c r="M49" s="69"/>
    </row>
    <row r="50" spans="1:9" ht="42" customHeight="1">
      <c r="A50" s="13" t="s">
        <v>71</v>
      </c>
      <c r="B50" s="29" t="s">
        <v>667</v>
      </c>
      <c r="C50" s="29" t="s">
        <v>17</v>
      </c>
      <c r="D50" s="29" t="s">
        <v>42</v>
      </c>
      <c r="E50" s="36" t="s">
        <v>72</v>
      </c>
      <c r="F50" s="37"/>
      <c r="G50" s="31">
        <f>G51+G54</f>
        <v>669400</v>
      </c>
      <c r="H50" s="116"/>
      <c r="I50" s="31">
        <f t="shared" si="0"/>
        <v>669400</v>
      </c>
    </row>
    <row r="51" spans="1:9" ht="44.25" customHeight="1">
      <c r="A51" s="118" t="s">
        <v>73</v>
      </c>
      <c r="B51" s="29" t="s">
        <v>667</v>
      </c>
      <c r="C51" s="29" t="s">
        <v>17</v>
      </c>
      <c r="D51" s="29" t="s">
        <v>42</v>
      </c>
      <c r="E51" s="29" t="s">
        <v>74</v>
      </c>
      <c r="F51" s="30"/>
      <c r="G51" s="31">
        <f>G52+G53</f>
        <v>334700</v>
      </c>
      <c r="H51" s="116"/>
      <c r="I51" s="31">
        <f t="shared" si="0"/>
        <v>334700</v>
      </c>
    </row>
    <row r="52" spans="1:9" ht="71.25" customHeight="1">
      <c r="A52" s="35" t="s">
        <v>26</v>
      </c>
      <c r="B52" s="29" t="s">
        <v>667</v>
      </c>
      <c r="C52" s="29" t="s">
        <v>17</v>
      </c>
      <c r="D52" s="29" t="s">
        <v>42</v>
      </c>
      <c r="E52" s="29" t="s">
        <v>74</v>
      </c>
      <c r="F52" s="37" t="s">
        <v>27</v>
      </c>
      <c r="G52" s="31">
        <v>306472</v>
      </c>
      <c r="H52" s="116"/>
      <c r="I52" s="31">
        <f t="shared" si="0"/>
        <v>306472</v>
      </c>
    </row>
    <row r="53" spans="1:9" ht="26.25">
      <c r="A53" s="35" t="s">
        <v>38</v>
      </c>
      <c r="B53" s="29" t="s">
        <v>667</v>
      </c>
      <c r="C53" s="29" t="s">
        <v>17</v>
      </c>
      <c r="D53" s="29" t="s">
        <v>42</v>
      </c>
      <c r="E53" s="29" t="s">
        <v>74</v>
      </c>
      <c r="F53" s="37" t="s">
        <v>39</v>
      </c>
      <c r="G53" s="31">
        <f>28228</f>
        <v>28228</v>
      </c>
      <c r="H53" s="116"/>
      <c r="I53" s="31">
        <f t="shared" si="0"/>
        <v>28228</v>
      </c>
    </row>
    <row r="54" spans="1:9" ht="35.25" customHeight="1">
      <c r="A54" s="118" t="s">
        <v>75</v>
      </c>
      <c r="B54" s="29" t="s">
        <v>667</v>
      </c>
      <c r="C54" s="29" t="s">
        <v>17</v>
      </c>
      <c r="D54" s="29" t="s">
        <v>42</v>
      </c>
      <c r="E54" s="29" t="s">
        <v>76</v>
      </c>
      <c r="F54" s="30"/>
      <c r="G54" s="31">
        <f>G55+G56</f>
        <v>334700</v>
      </c>
      <c r="H54" s="116"/>
      <c r="I54" s="31">
        <f t="shared" si="0"/>
        <v>334700</v>
      </c>
    </row>
    <row r="55" spans="1:9" ht="66.75" customHeight="1">
      <c r="A55" s="35" t="s">
        <v>26</v>
      </c>
      <c r="B55" s="29" t="s">
        <v>667</v>
      </c>
      <c r="C55" s="29" t="s">
        <v>17</v>
      </c>
      <c r="D55" s="29" t="s">
        <v>42</v>
      </c>
      <c r="E55" s="29" t="s">
        <v>76</v>
      </c>
      <c r="F55" s="37" t="s">
        <v>27</v>
      </c>
      <c r="G55" s="31">
        <v>306472</v>
      </c>
      <c r="H55" s="116"/>
      <c r="I55" s="31">
        <f t="shared" si="0"/>
        <v>306472</v>
      </c>
    </row>
    <row r="56" spans="1:9" ht="26.25">
      <c r="A56" s="35" t="s">
        <v>38</v>
      </c>
      <c r="B56" s="29" t="s">
        <v>667</v>
      </c>
      <c r="C56" s="29" t="s">
        <v>17</v>
      </c>
      <c r="D56" s="29" t="s">
        <v>42</v>
      </c>
      <c r="E56" s="29" t="s">
        <v>76</v>
      </c>
      <c r="F56" s="37" t="s">
        <v>39</v>
      </c>
      <c r="G56" s="31">
        <v>28228</v>
      </c>
      <c r="H56" s="116"/>
      <c r="I56" s="31">
        <f t="shared" si="0"/>
        <v>28228</v>
      </c>
    </row>
    <row r="57" spans="1:9" ht="18" customHeight="1">
      <c r="A57" s="35" t="s">
        <v>77</v>
      </c>
      <c r="B57" s="29" t="s">
        <v>667</v>
      </c>
      <c r="C57" s="29" t="s">
        <v>17</v>
      </c>
      <c r="D57" s="29" t="s">
        <v>42</v>
      </c>
      <c r="E57" s="29" t="s">
        <v>78</v>
      </c>
      <c r="F57" s="30"/>
      <c r="G57" s="31">
        <f>G58</f>
        <v>17600100</v>
      </c>
      <c r="H57" s="116"/>
      <c r="I57" s="31">
        <f t="shared" si="0"/>
        <v>17600100</v>
      </c>
    </row>
    <row r="58" spans="1:9" ht="30.75" customHeight="1">
      <c r="A58" s="8" t="s">
        <v>79</v>
      </c>
      <c r="B58" s="29" t="s">
        <v>667</v>
      </c>
      <c r="C58" s="29" t="s">
        <v>17</v>
      </c>
      <c r="D58" s="29" t="s">
        <v>42</v>
      </c>
      <c r="E58" s="29" t="s">
        <v>80</v>
      </c>
      <c r="F58" s="30"/>
      <c r="G58" s="31">
        <f>G61+G59</f>
        <v>17600100</v>
      </c>
      <c r="H58" s="116"/>
      <c r="I58" s="31">
        <f t="shared" si="0"/>
        <v>17600100</v>
      </c>
    </row>
    <row r="59" spans="1:9" ht="57.75" customHeight="1">
      <c r="A59" s="8" t="s">
        <v>81</v>
      </c>
      <c r="B59" s="29" t="s">
        <v>667</v>
      </c>
      <c r="C59" s="29" t="s">
        <v>17</v>
      </c>
      <c r="D59" s="29" t="s">
        <v>42</v>
      </c>
      <c r="E59" s="29" t="s">
        <v>82</v>
      </c>
      <c r="F59" s="30"/>
      <c r="G59" s="31">
        <f>G60</f>
        <v>12000</v>
      </c>
      <c r="H59" s="116"/>
      <c r="I59" s="31">
        <f t="shared" si="0"/>
        <v>12000</v>
      </c>
    </row>
    <row r="60" spans="1:9" ht="68.25" customHeight="1">
      <c r="A60" s="35" t="s">
        <v>26</v>
      </c>
      <c r="B60" s="29" t="s">
        <v>667</v>
      </c>
      <c r="C60" s="29" t="s">
        <v>17</v>
      </c>
      <c r="D60" s="29" t="s">
        <v>42</v>
      </c>
      <c r="E60" s="29" t="s">
        <v>82</v>
      </c>
      <c r="F60" s="30" t="s">
        <v>27</v>
      </c>
      <c r="G60" s="31">
        <f>31100-19100</f>
        <v>12000</v>
      </c>
      <c r="H60" s="116"/>
      <c r="I60" s="31">
        <f t="shared" si="0"/>
        <v>12000</v>
      </c>
    </row>
    <row r="61" spans="1:9" ht="32.25" customHeight="1">
      <c r="A61" s="8" t="s">
        <v>24</v>
      </c>
      <c r="B61" s="29" t="s">
        <v>667</v>
      </c>
      <c r="C61" s="29" t="s">
        <v>17</v>
      </c>
      <c r="D61" s="29" t="s">
        <v>42</v>
      </c>
      <c r="E61" s="29" t="s">
        <v>83</v>
      </c>
      <c r="F61" s="30"/>
      <c r="G61" s="31">
        <f>G62+G63+G64</f>
        <v>17588100</v>
      </c>
      <c r="H61" s="116"/>
      <c r="I61" s="31">
        <f t="shared" si="0"/>
        <v>17588100</v>
      </c>
    </row>
    <row r="62" spans="1:9" ht="67.5" customHeight="1">
      <c r="A62" s="35" t="s">
        <v>26</v>
      </c>
      <c r="B62" s="29" t="s">
        <v>667</v>
      </c>
      <c r="C62" s="29" t="s">
        <v>17</v>
      </c>
      <c r="D62" s="29" t="s">
        <v>42</v>
      </c>
      <c r="E62" s="29" t="s">
        <v>83</v>
      </c>
      <c r="F62" s="37" t="s">
        <v>27</v>
      </c>
      <c r="G62" s="31">
        <v>17526100</v>
      </c>
      <c r="H62" s="116"/>
      <c r="I62" s="31">
        <f t="shared" si="0"/>
        <v>17526100</v>
      </c>
    </row>
    <row r="63" spans="1:9" ht="30" customHeight="1">
      <c r="A63" s="35" t="s">
        <v>38</v>
      </c>
      <c r="B63" s="29" t="s">
        <v>667</v>
      </c>
      <c r="C63" s="29" t="s">
        <v>17</v>
      </c>
      <c r="D63" s="29" t="s">
        <v>42</v>
      </c>
      <c r="E63" s="29" t="s">
        <v>83</v>
      </c>
      <c r="F63" s="37" t="s">
        <v>39</v>
      </c>
      <c r="G63" s="46">
        <f>30000+12000+20000</f>
        <v>62000</v>
      </c>
      <c r="H63" s="116"/>
      <c r="I63" s="31">
        <f t="shared" si="0"/>
        <v>62000</v>
      </c>
    </row>
    <row r="64" spans="1:9" ht="18.75" customHeight="1">
      <c r="A64" s="10" t="s">
        <v>84</v>
      </c>
      <c r="B64" s="29" t="s">
        <v>667</v>
      </c>
      <c r="C64" s="29" t="s">
        <v>17</v>
      </c>
      <c r="D64" s="29" t="s">
        <v>42</v>
      </c>
      <c r="E64" s="29" t="s">
        <v>83</v>
      </c>
      <c r="F64" s="37" t="s">
        <v>85</v>
      </c>
      <c r="G64" s="31"/>
      <c r="H64" s="116"/>
      <c r="I64" s="31">
        <f t="shared" si="0"/>
        <v>0</v>
      </c>
    </row>
    <row r="65" spans="1:9" ht="26.25">
      <c r="A65" s="16" t="s">
        <v>86</v>
      </c>
      <c r="B65" s="29" t="s">
        <v>667</v>
      </c>
      <c r="C65" s="29" t="s">
        <v>17</v>
      </c>
      <c r="D65" s="29" t="s">
        <v>42</v>
      </c>
      <c r="E65" s="29" t="s">
        <v>87</v>
      </c>
      <c r="F65" s="30"/>
      <c r="G65" s="31">
        <f>G66+G70</f>
        <v>368170</v>
      </c>
      <c r="H65" s="116"/>
      <c r="I65" s="31">
        <f>G65+H65</f>
        <v>368170</v>
      </c>
    </row>
    <row r="66" spans="1:9" ht="38.25" customHeight="1">
      <c r="A66" s="13" t="s">
        <v>88</v>
      </c>
      <c r="B66" s="29" t="s">
        <v>667</v>
      </c>
      <c r="C66" s="29" t="s">
        <v>17</v>
      </c>
      <c r="D66" s="29" t="s">
        <v>42</v>
      </c>
      <c r="E66" s="29" t="s">
        <v>89</v>
      </c>
      <c r="F66" s="30"/>
      <c r="G66" s="31">
        <f>G67</f>
        <v>334700</v>
      </c>
      <c r="H66" s="116"/>
      <c r="I66" s="31">
        <f t="shared" si="0"/>
        <v>334700</v>
      </c>
    </row>
    <row r="67" spans="1:9" ht="27.75" customHeight="1">
      <c r="A67" s="8" t="s">
        <v>90</v>
      </c>
      <c r="B67" s="29" t="s">
        <v>667</v>
      </c>
      <c r="C67" s="29" t="s">
        <v>17</v>
      </c>
      <c r="D67" s="29" t="s">
        <v>42</v>
      </c>
      <c r="E67" s="29" t="s">
        <v>91</v>
      </c>
      <c r="F67" s="30"/>
      <c r="G67" s="31">
        <f>G68+G69</f>
        <v>334700</v>
      </c>
      <c r="H67" s="116"/>
      <c r="I67" s="31">
        <f t="shared" si="0"/>
        <v>334700</v>
      </c>
    </row>
    <row r="68" spans="1:9" ht="64.5">
      <c r="A68" s="35" t="s">
        <v>26</v>
      </c>
      <c r="B68" s="29" t="s">
        <v>667</v>
      </c>
      <c r="C68" s="29" t="s">
        <v>17</v>
      </c>
      <c r="D68" s="29" t="s">
        <v>42</v>
      </c>
      <c r="E68" s="29" t="s">
        <v>91</v>
      </c>
      <c r="F68" s="37" t="s">
        <v>27</v>
      </c>
      <c r="G68" s="31">
        <v>334700</v>
      </c>
      <c r="H68" s="116"/>
      <c r="I68" s="31">
        <f t="shared" si="0"/>
        <v>334700</v>
      </c>
    </row>
    <row r="69" spans="1:9" ht="26.25" hidden="1">
      <c r="A69" s="35" t="s">
        <v>92</v>
      </c>
      <c r="B69" s="29" t="s">
        <v>667</v>
      </c>
      <c r="C69" s="29" t="s">
        <v>17</v>
      </c>
      <c r="D69" s="29" t="s">
        <v>42</v>
      </c>
      <c r="E69" s="29" t="s">
        <v>91</v>
      </c>
      <c r="F69" s="37" t="s">
        <v>39</v>
      </c>
      <c r="G69" s="31">
        <f>20967-20967</f>
        <v>0</v>
      </c>
      <c r="H69" s="116"/>
      <c r="I69" s="31">
        <f t="shared" si="0"/>
        <v>0</v>
      </c>
    </row>
    <row r="70" spans="1:9" ht="26.25">
      <c r="A70" s="16" t="s">
        <v>93</v>
      </c>
      <c r="B70" s="29" t="s">
        <v>667</v>
      </c>
      <c r="C70" s="29" t="s">
        <v>17</v>
      </c>
      <c r="D70" s="29" t="s">
        <v>42</v>
      </c>
      <c r="E70" s="29" t="s">
        <v>94</v>
      </c>
      <c r="F70" s="30"/>
      <c r="G70" s="31">
        <f>G71</f>
        <v>33470</v>
      </c>
      <c r="H70" s="116"/>
      <c r="I70" s="31">
        <f t="shared" si="0"/>
        <v>33470</v>
      </c>
    </row>
    <row r="71" spans="1:9" ht="51">
      <c r="A71" s="12" t="s">
        <v>95</v>
      </c>
      <c r="B71" s="29" t="s">
        <v>667</v>
      </c>
      <c r="C71" s="29" t="s">
        <v>17</v>
      </c>
      <c r="D71" s="29" t="s">
        <v>42</v>
      </c>
      <c r="E71" s="29" t="s">
        <v>96</v>
      </c>
      <c r="F71" s="30"/>
      <c r="G71" s="31">
        <f>G72</f>
        <v>33470</v>
      </c>
      <c r="H71" s="116"/>
      <c r="I71" s="31">
        <f t="shared" si="0"/>
        <v>33470</v>
      </c>
    </row>
    <row r="72" spans="1:9" ht="64.5">
      <c r="A72" s="35" t="s">
        <v>26</v>
      </c>
      <c r="B72" s="29" t="s">
        <v>667</v>
      </c>
      <c r="C72" s="29" t="s">
        <v>17</v>
      </c>
      <c r="D72" s="29" t="s">
        <v>42</v>
      </c>
      <c r="E72" s="29" t="s">
        <v>96</v>
      </c>
      <c r="F72" s="37" t="s">
        <v>27</v>
      </c>
      <c r="G72" s="31">
        <v>33470</v>
      </c>
      <c r="H72" s="116"/>
      <c r="I72" s="31">
        <f t="shared" si="0"/>
        <v>33470</v>
      </c>
    </row>
    <row r="73" spans="1:9" ht="15">
      <c r="A73" s="119" t="s">
        <v>97</v>
      </c>
      <c r="B73" s="29" t="s">
        <v>667</v>
      </c>
      <c r="C73" s="29" t="s">
        <v>17</v>
      </c>
      <c r="D73" s="29" t="s">
        <v>98</v>
      </c>
      <c r="E73" s="29"/>
      <c r="F73" s="37"/>
      <c r="G73" s="31">
        <f>G74</f>
        <v>64617</v>
      </c>
      <c r="H73" s="116"/>
      <c r="I73" s="31">
        <f t="shared" si="0"/>
        <v>64617</v>
      </c>
    </row>
    <row r="74" spans="1:9" ht="26.25">
      <c r="A74" s="16" t="s">
        <v>86</v>
      </c>
      <c r="B74" s="29" t="s">
        <v>667</v>
      </c>
      <c r="C74" s="29" t="s">
        <v>17</v>
      </c>
      <c r="D74" s="29" t="s">
        <v>98</v>
      </c>
      <c r="E74" s="29" t="s">
        <v>87</v>
      </c>
      <c r="F74" s="37"/>
      <c r="G74" s="31">
        <f>G75</f>
        <v>64617</v>
      </c>
      <c r="H74" s="116"/>
      <c r="I74" s="31">
        <f t="shared" si="0"/>
        <v>64617</v>
      </c>
    </row>
    <row r="75" spans="1:9" ht="26.25">
      <c r="A75" s="16" t="s">
        <v>93</v>
      </c>
      <c r="B75" s="29" t="s">
        <v>667</v>
      </c>
      <c r="C75" s="29" t="s">
        <v>17</v>
      </c>
      <c r="D75" s="29" t="s">
        <v>98</v>
      </c>
      <c r="E75" s="29" t="s">
        <v>94</v>
      </c>
      <c r="F75" s="37"/>
      <c r="G75" s="31">
        <f>G76</f>
        <v>64617</v>
      </c>
      <c r="H75" s="116"/>
      <c r="I75" s="31">
        <f t="shared" si="0"/>
        <v>64617</v>
      </c>
    </row>
    <row r="76" spans="1:9" ht="51.75">
      <c r="A76" s="118" t="s">
        <v>99</v>
      </c>
      <c r="B76" s="29" t="s">
        <v>667</v>
      </c>
      <c r="C76" s="29" t="s">
        <v>17</v>
      </c>
      <c r="D76" s="29" t="s">
        <v>98</v>
      </c>
      <c r="E76" s="29" t="s">
        <v>100</v>
      </c>
      <c r="F76" s="37"/>
      <c r="G76" s="31">
        <f>G77</f>
        <v>64617</v>
      </c>
      <c r="H76" s="116"/>
      <c r="I76" s="31">
        <f t="shared" si="0"/>
        <v>64617</v>
      </c>
    </row>
    <row r="77" spans="1:9" ht="26.25">
      <c r="A77" s="35" t="s">
        <v>92</v>
      </c>
      <c r="B77" s="29" t="s">
        <v>667</v>
      </c>
      <c r="C77" s="29" t="s">
        <v>17</v>
      </c>
      <c r="D77" s="29" t="s">
        <v>98</v>
      </c>
      <c r="E77" s="29" t="s">
        <v>100</v>
      </c>
      <c r="F77" s="37" t="s">
        <v>39</v>
      </c>
      <c r="G77" s="31">
        <v>64617</v>
      </c>
      <c r="H77" s="116"/>
      <c r="I77" s="31">
        <f t="shared" si="0"/>
        <v>64617</v>
      </c>
    </row>
    <row r="78" spans="1:9" ht="39">
      <c r="A78" s="16" t="s">
        <v>101</v>
      </c>
      <c r="B78" s="29" t="s">
        <v>667</v>
      </c>
      <c r="C78" s="29" t="s">
        <v>17</v>
      </c>
      <c r="D78" s="29" t="s">
        <v>102</v>
      </c>
      <c r="E78" s="29"/>
      <c r="F78" s="30"/>
      <c r="G78" s="31">
        <f>G79</f>
        <v>521000</v>
      </c>
      <c r="H78" s="116"/>
      <c r="I78" s="31">
        <f t="shared" si="0"/>
        <v>521000</v>
      </c>
    </row>
    <row r="79" spans="1:9" ht="33.75" customHeight="1">
      <c r="A79" s="35" t="s">
        <v>103</v>
      </c>
      <c r="B79" s="29" t="s">
        <v>667</v>
      </c>
      <c r="C79" s="29" t="s">
        <v>17</v>
      </c>
      <c r="D79" s="29" t="s">
        <v>102</v>
      </c>
      <c r="E79" s="47" t="s">
        <v>104</v>
      </c>
      <c r="F79" s="37"/>
      <c r="G79" s="31">
        <f>G80</f>
        <v>521000</v>
      </c>
      <c r="H79" s="116"/>
      <c r="I79" s="31">
        <f t="shared" si="0"/>
        <v>521000</v>
      </c>
    </row>
    <row r="80" spans="1:9" ht="26.25">
      <c r="A80" s="35" t="s">
        <v>105</v>
      </c>
      <c r="B80" s="29" t="s">
        <v>667</v>
      </c>
      <c r="C80" s="29" t="s">
        <v>17</v>
      </c>
      <c r="D80" s="29" t="s">
        <v>102</v>
      </c>
      <c r="E80" s="47" t="s">
        <v>106</v>
      </c>
      <c r="F80" s="37"/>
      <c r="G80" s="31">
        <f>G81</f>
        <v>521000</v>
      </c>
      <c r="H80" s="116"/>
      <c r="I80" s="31">
        <f t="shared" si="0"/>
        <v>521000</v>
      </c>
    </row>
    <row r="81" spans="1:9" ht="26.25">
      <c r="A81" s="8" t="s">
        <v>24</v>
      </c>
      <c r="B81" s="29" t="s">
        <v>667</v>
      </c>
      <c r="C81" s="29" t="s">
        <v>17</v>
      </c>
      <c r="D81" s="29" t="s">
        <v>102</v>
      </c>
      <c r="E81" s="47" t="s">
        <v>107</v>
      </c>
      <c r="F81" s="30"/>
      <c r="G81" s="31">
        <f>G82+G83+G84</f>
        <v>521000</v>
      </c>
      <c r="H81" s="116"/>
      <c r="I81" s="31">
        <f t="shared" si="0"/>
        <v>521000</v>
      </c>
    </row>
    <row r="82" spans="1:9" ht="63" customHeight="1">
      <c r="A82" s="35" t="s">
        <v>26</v>
      </c>
      <c r="B82" s="29" t="s">
        <v>667</v>
      </c>
      <c r="C82" s="29" t="s">
        <v>17</v>
      </c>
      <c r="D82" s="29" t="s">
        <v>102</v>
      </c>
      <c r="E82" s="47" t="s">
        <v>107</v>
      </c>
      <c r="F82" s="37" t="s">
        <v>27</v>
      </c>
      <c r="G82" s="31">
        <v>521000</v>
      </c>
      <c r="H82" s="116"/>
      <c r="I82" s="31">
        <f>544200-23200</f>
        <v>521000</v>
      </c>
    </row>
    <row r="83" spans="1:9" ht="26.25" hidden="1">
      <c r="A83" s="35" t="s">
        <v>92</v>
      </c>
      <c r="B83" s="29" t="s">
        <v>667</v>
      </c>
      <c r="C83" s="29" t="s">
        <v>17</v>
      </c>
      <c r="D83" s="29" t="s">
        <v>102</v>
      </c>
      <c r="E83" s="47" t="s">
        <v>107</v>
      </c>
      <c r="F83" s="37" t="s">
        <v>39</v>
      </c>
      <c r="G83" s="31"/>
      <c r="H83" s="116"/>
      <c r="I83" s="31">
        <f t="shared" si="0"/>
        <v>0</v>
      </c>
    </row>
    <row r="84" spans="1:9" ht="15" hidden="1">
      <c r="A84" s="10" t="s">
        <v>84</v>
      </c>
      <c r="B84" s="29" t="s">
        <v>667</v>
      </c>
      <c r="C84" s="29" t="s">
        <v>17</v>
      </c>
      <c r="D84" s="29" t="s">
        <v>102</v>
      </c>
      <c r="E84" s="47" t="s">
        <v>107</v>
      </c>
      <c r="F84" s="37" t="s">
        <v>85</v>
      </c>
      <c r="G84" s="31"/>
      <c r="H84" s="116"/>
      <c r="I84" s="31">
        <f t="shared" si="0"/>
        <v>0</v>
      </c>
    </row>
    <row r="85" spans="1:9" ht="15" hidden="1">
      <c r="A85" s="48" t="s">
        <v>108</v>
      </c>
      <c r="B85" s="29" t="s">
        <v>667</v>
      </c>
      <c r="C85" s="29" t="s">
        <v>17</v>
      </c>
      <c r="D85" s="29" t="s">
        <v>109</v>
      </c>
      <c r="E85" s="47"/>
      <c r="F85" s="37"/>
      <c r="G85" s="31">
        <f>G86</f>
        <v>0</v>
      </c>
      <c r="H85" s="116"/>
      <c r="I85" s="31">
        <f t="shared" si="0"/>
        <v>0</v>
      </c>
    </row>
    <row r="86" spans="1:9" ht="26.25" hidden="1">
      <c r="A86" s="16" t="s">
        <v>86</v>
      </c>
      <c r="B86" s="29" t="s">
        <v>667</v>
      </c>
      <c r="C86" s="29" t="s">
        <v>17</v>
      </c>
      <c r="D86" s="29" t="s">
        <v>109</v>
      </c>
      <c r="E86" s="47" t="s">
        <v>87</v>
      </c>
      <c r="F86" s="37"/>
      <c r="G86" s="31">
        <f>G87</f>
        <v>0</v>
      </c>
      <c r="H86" s="116"/>
      <c r="I86" s="31">
        <f t="shared" si="0"/>
        <v>0</v>
      </c>
    </row>
    <row r="87" spans="1:9" ht="15" hidden="1">
      <c r="A87" s="10" t="s">
        <v>110</v>
      </c>
      <c r="B87" s="29" t="s">
        <v>667</v>
      </c>
      <c r="C87" s="29" t="s">
        <v>17</v>
      </c>
      <c r="D87" s="29" t="s">
        <v>109</v>
      </c>
      <c r="E87" s="47" t="s">
        <v>111</v>
      </c>
      <c r="F87" s="37"/>
      <c r="G87" s="31">
        <f>G88</f>
        <v>0</v>
      </c>
      <c r="H87" s="116"/>
      <c r="I87" s="31">
        <f t="shared" si="0"/>
        <v>0</v>
      </c>
    </row>
    <row r="88" spans="1:9" ht="15" hidden="1">
      <c r="A88" s="10" t="s">
        <v>112</v>
      </c>
      <c r="B88" s="29" t="s">
        <v>667</v>
      </c>
      <c r="C88" s="29" t="s">
        <v>17</v>
      </c>
      <c r="D88" s="29" t="s">
        <v>109</v>
      </c>
      <c r="E88" s="47" t="s">
        <v>113</v>
      </c>
      <c r="F88" s="37"/>
      <c r="G88" s="31">
        <f>G89</f>
        <v>0</v>
      </c>
      <c r="H88" s="116"/>
      <c r="I88" s="31">
        <f t="shared" si="0"/>
        <v>0</v>
      </c>
    </row>
    <row r="89" spans="1:9" ht="15" hidden="1">
      <c r="A89" s="10" t="s">
        <v>84</v>
      </c>
      <c r="B89" s="29" t="s">
        <v>667</v>
      </c>
      <c r="C89" s="29" t="s">
        <v>17</v>
      </c>
      <c r="D89" s="29" t="s">
        <v>109</v>
      </c>
      <c r="E89" s="47" t="s">
        <v>113</v>
      </c>
      <c r="F89" s="37" t="s">
        <v>85</v>
      </c>
      <c r="G89" s="31"/>
      <c r="H89" s="116"/>
      <c r="I89" s="31">
        <f t="shared" si="0"/>
        <v>0</v>
      </c>
    </row>
    <row r="90" spans="1:9" ht="15">
      <c r="A90" s="16" t="s">
        <v>114</v>
      </c>
      <c r="B90" s="29" t="s">
        <v>667</v>
      </c>
      <c r="C90" s="29" t="s">
        <v>17</v>
      </c>
      <c r="D90" s="29" t="s">
        <v>115</v>
      </c>
      <c r="E90" s="29"/>
      <c r="F90" s="30"/>
      <c r="G90" s="31">
        <f>G92</f>
        <v>9100000</v>
      </c>
      <c r="H90" s="116"/>
      <c r="I90" s="31">
        <f t="shared" si="0"/>
        <v>9100000</v>
      </c>
    </row>
    <row r="91" spans="1:9" ht="15">
      <c r="A91" s="35" t="s">
        <v>116</v>
      </c>
      <c r="B91" s="29" t="s">
        <v>667</v>
      </c>
      <c r="C91" s="29" t="s">
        <v>17</v>
      </c>
      <c r="D91" s="29" t="s">
        <v>115</v>
      </c>
      <c r="E91" s="36" t="s">
        <v>117</v>
      </c>
      <c r="F91" s="49" t="s">
        <v>118</v>
      </c>
      <c r="G91" s="31">
        <f>G92</f>
        <v>9100000</v>
      </c>
      <c r="H91" s="116"/>
      <c r="I91" s="31">
        <f t="shared" si="0"/>
        <v>9100000</v>
      </c>
    </row>
    <row r="92" spans="1:9" ht="15">
      <c r="A92" s="35" t="s">
        <v>114</v>
      </c>
      <c r="B92" s="29" t="s">
        <v>667</v>
      </c>
      <c r="C92" s="29" t="s">
        <v>17</v>
      </c>
      <c r="D92" s="29" t="s">
        <v>115</v>
      </c>
      <c r="E92" s="36" t="s">
        <v>119</v>
      </c>
      <c r="F92" s="49" t="s">
        <v>118</v>
      </c>
      <c r="G92" s="31">
        <f>G93</f>
        <v>9100000</v>
      </c>
      <c r="H92" s="116"/>
      <c r="I92" s="31">
        <f t="shared" si="0"/>
        <v>9100000</v>
      </c>
    </row>
    <row r="93" spans="1:9" ht="15">
      <c r="A93" s="8" t="s">
        <v>120</v>
      </c>
      <c r="B93" s="29" t="s">
        <v>667</v>
      </c>
      <c r="C93" s="29" t="s">
        <v>17</v>
      </c>
      <c r="D93" s="29" t="s">
        <v>115</v>
      </c>
      <c r="E93" s="36" t="s">
        <v>121</v>
      </c>
      <c r="F93" s="49" t="s">
        <v>118</v>
      </c>
      <c r="G93" s="31">
        <f>G94</f>
        <v>9100000</v>
      </c>
      <c r="H93" s="116"/>
      <c r="I93" s="31">
        <f aca="true" t="shared" si="1" ref="I93:I263">G93+H93</f>
        <v>9100000</v>
      </c>
    </row>
    <row r="94" spans="1:9" ht="15">
      <c r="A94" s="35" t="s">
        <v>84</v>
      </c>
      <c r="B94" s="29" t="s">
        <v>667</v>
      </c>
      <c r="C94" s="29" t="s">
        <v>17</v>
      </c>
      <c r="D94" s="29" t="s">
        <v>115</v>
      </c>
      <c r="E94" s="36" t="s">
        <v>121</v>
      </c>
      <c r="F94" s="49" t="s">
        <v>85</v>
      </c>
      <c r="G94" s="31">
        <f>100000+9000000</f>
        <v>9100000</v>
      </c>
      <c r="H94" s="116"/>
      <c r="I94" s="31">
        <f t="shared" si="1"/>
        <v>9100000</v>
      </c>
    </row>
    <row r="95" spans="1:9" ht="15">
      <c r="A95" s="16" t="s">
        <v>122</v>
      </c>
      <c r="B95" s="29" t="s">
        <v>667</v>
      </c>
      <c r="C95" s="29" t="s">
        <v>17</v>
      </c>
      <c r="D95" s="29" t="s">
        <v>123</v>
      </c>
      <c r="E95" s="29"/>
      <c r="F95" s="30"/>
      <c r="G95" s="31">
        <f>G96+G117+G154+G160+G178+G128+G140+G133+G123+G149</f>
        <v>19384290.339999996</v>
      </c>
      <c r="H95" s="116"/>
      <c r="I95" s="31">
        <f t="shared" si="1"/>
        <v>19384290.339999996</v>
      </c>
    </row>
    <row r="96" spans="1:9" ht="59.25" customHeight="1">
      <c r="A96" s="16" t="s">
        <v>124</v>
      </c>
      <c r="B96" s="29" t="s">
        <v>667</v>
      </c>
      <c r="C96" s="29" t="s">
        <v>17</v>
      </c>
      <c r="D96" s="29" t="s">
        <v>123</v>
      </c>
      <c r="E96" s="29" t="s">
        <v>44</v>
      </c>
      <c r="F96" s="30"/>
      <c r="G96" s="31">
        <f>G108+G101+G97</f>
        <v>51000</v>
      </c>
      <c r="H96" s="116"/>
      <c r="I96" s="31">
        <f t="shared" si="1"/>
        <v>51000</v>
      </c>
    </row>
    <row r="97" spans="1:9" ht="74.25" customHeight="1">
      <c r="A97" s="9" t="s">
        <v>125</v>
      </c>
      <c r="B97" s="29" t="s">
        <v>667</v>
      </c>
      <c r="C97" s="29" t="s">
        <v>17</v>
      </c>
      <c r="D97" s="29" t="s">
        <v>123</v>
      </c>
      <c r="E97" s="29" t="s">
        <v>126</v>
      </c>
      <c r="F97" s="30"/>
      <c r="G97" s="31">
        <f>G98</f>
        <v>14000</v>
      </c>
      <c r="H97" s="116"/>
      <c r="I97" s="31">
        <f t="shared" si="1"/>
        <v>14000</v>
      </c>
    </row>
    <row r="98" spans="1:9" ht="45.75" customHeight="1">
      <c r="A98" s="9" t="s">
        <v>127</v>
      </c>
      <c r="B98" s="29" t="s">
        <v>667</v>
      </c>
      <c r="C98" s="29" t="s">
        <v>17</v>
      </c>
      <c r="D98" s="29" t="s">
        <v>123</v>
      </c>
      <c r="E98" s="29" t="s">
        <v>128</v>
      </c>
      <c r="F98" s="30"/>
      <c r="G98" s="31">
        <f>G99</f>
        <v>14000</v>
      </c>
      <c r="H98" s="116"/>
      <c r="I98" s="31">
        <f t="shared" si="1"/>
        <v>14000</v>
      </c>
    </row>
    <row r="99" spans="1:9" ht="15.75" customHeight="1">
      <c r="A99" s="35" t="s">
        <v>129</v>
      </c>
      <c r="B99" s="29" t="s">
        <v>667</v>
      </c>
      <c r="C99" s="29" t="s">
        <v>17</v>
      </c>
      <c r="D99" s="29" t="s">
        <v>123</v>
      </c>
      <c r="E99" s="50" t="s">
        <v>130</v>
      </c>
      <c r="F99" s="30"/>
      <c r="G99" s="31">
        <f>G100</f>
        <v>14000</v>
      </c>
      <c r="H99" s="116"/>
      <c r="I99" s="31">
        <f t="shared" si="1"/>
        <v>14000</v>
      </c>
    </row>
    <row r="100" spans="1:9" ht="28.5" customHeight="1">
      <c r="A100" s="35" t="s">
        <v>38</v>
      </c>
      <c r="B100" s="29" t="s">
        <v>667</v>
      </c>
      <c r="C100" s="29" t="s">
        <v>17</v>
      </c>
      <c r="D100" s="29" t="s">
        <v>123</v>
      </c>
      <c r="E100" s="50" t="s">
        <v>130</v>
      </c>
      <c r="F100" s="30" t="s">
        <v>39</v>
      </c>
      <c r="G100" s="31">
        <v>14000</v>
      </c>
      <c r="H100" s="116"/>
      <c r="I100" s="31">
        <f t="shared" si="1"/>
        <v>14000</v>
      </c>
    </row>
    <row r="101" spans="1:9" ht="65.25" customHeight="1">
      <c r="A101" s="35" t="s">
        <v>45</v>
      </c>
      <c r="B101" s="29" t="s">
        <v>667</v>
      </c>
      <c r="C101" s="29" t="s">
        <v>17</v>
      </c>
      <c r="D101" s="29" t="s">
        <v>123</v>
      </c>
      <c r="E101" s="29" t="s">
        <v>46</v>
      </c>
      <c r="F101" s="30"/>
      <c r="G101" s="31">
        <f>G102+G105</f>
        <v>27000</v>
      </c>
      <c r="H101" s="116"/>
      <c r="I101" s="31">
        <f t="shared" si="1"/>
        <v>27000</v>
      </c>
    </row>
    <row r="102" spans="1:9" ht="51" hidden="1">
      <c r="A102" s="43" t="s">
        <v>47</v>
      </c>
      <c r="B102" s="29" t="s">
        <v>667</v>
      </c>
      <c r="C102" s="29" t="s">
        <v>17</v>
      </c>
      <c r="D102" s="29" t="s">
        <v>123</v>
      </c>
      <c r="E102" s="29" t="s">
        <v>48</v>
      </c>
      <c r="F102" s="30"/>
      <c r="G102" s="31">
        <f>G104</f>
        <v>0</v>
      </c>
      <c r="H102" s="116"/>
      <c r="I102" s="31">
        <f t="shared" si="1"/>
        <v>0</v>
      </c>
    </row>
    <row r="103" spans="1:9" ht="102" hidden="1">
      <c r="A103" s="59" t="s">
        <v>668</v>
      </c>
      <c r="B103" s="29" t="s">
        <v>667</v>
      </c>
      <c r="C103" s="29" t="s">
        <v>17</v>
      </c>
      <c r="D103" s="29" t="s">
        <v>123</v>
      </c>
      <c r="E103" s="120" t="s">
        <v>669</v>
      </c>
      <c r="F103" s="30"/>
      <c r="G103" s="31">
        <f>G104</f>
        <v>0</v>
      </c>
      <c r="H103" s="116"/>
      <c r="I103" s="31">
        <f t="shared" si="1"/>
        <v>0</v>
      </c>
    </row>
    <row r="104" spans="1:9" ht="26.25" hidden="1">
      <c r="A104" s="35" t="s">
        <v>38</v>
      </c>
      <c r="B104" s="29" t="s">
        <v>667</v>
      </c>
      <c r="C104" s="29" t="s">
        <v>17</v>
      </c>
      <c r="D104" s="29" t="s">
        <v>123</v>
      </c>
      <c r="E104" s="120" t="s">
        <v>669</v>
      </c>
      <c r="F104" s="30" t="s">
        <v>39</v>
      </c>
      <c r="G104" s="31"/>
      <c r="H104" s="116"/>
      <c r="I104" s="31">
        <f t="shared" si="1"/>
        <v>0</v>
      </c>
    </row>
    <row r="105" spans="1:9" ht="28.5" customHeight="1">
      <c r="A105" s="59" t="s">
        <v>131</v>
      </c>
      <c r="B105" s="29" t="s">
        <v>667</v>
      </c>
      <c r="C105" s="29" t="s">
        <v>17</v>
      </c>
      <c r="D105" s="29" t="s">
        <v>123</v>
      </c>
      <c r="E105" s="29" t="s">
        <v>132</v>
      </c>
      <c r="F105" s="30"/>
      <c r="G105" s="31">
        <f>G106</f>
        <v>27000</v>
      </c>
      <c r="H105" s="116"/>
      <c r="I105" s="31">
        <f t="shared" si="1"/>
        <v>27000</v>
      </c>
    </row>
    <row r="106" spans="1:9" ht="44.25" customHeight="1">
      <c r="A106" s="9" t="s">
        <v>133</v>
      </c>
      <c r="B106" s="29" t="s">
        <v>667</v>
      </c>
      <c r="C106" s="29" t="s">
        <v>17</v>
      </c>
      <c r="D106" s="29" t="s">
        <v>123</v>
      </c>
      <c r="E106" s="50" t="s">
        <v>134</v>
      </c>
      <c r="F106" s="30"/>
      <c r="G106" s="31">
        <f>G107</f>
        <v>27000</v>
      </c>
      <c r="H106" s="116"/>
      <c r="I106" s="31">
        <f t="shared" si="1"/>
        <v>27000</v>
      </c>
    </row>
    <row r="107" spans="1:9" ht="27" customHeight="1">
      <c r="A107" s="35" t="s">
        <v>38</v>
      </c>
      <c r="B107" s="29" t="s">
        <v>667</v>
      </c>
      <c r="C107" s="29" t="s">
        <v>17</v>
      </c>
      <c r="D107" s="29" t="s">
        <v>123</v>
      </c>
      <c r="E107" s="50" t="s">
        <v>134</v>
      </c>
      <c r="F107" s="30" t="s">
        <v>39</v>
      </c>
      <c r="G107" s="31">
        <f>27000</f>
        <v>27000</v>
      </c>
      <c r="H107" s="116"/>
      <c r="I107" s="31">
        <f t="shared" si="1"/>
        <v>27000</v>
      </c>
    </row>
    <row r="108" spans="1:9" ht="70.5" customHeight="1">
      <c r="A108" s="8" t="s">
        <v>135</v>
      </c>
      <c r="B108" s="29" t="s">
        <v>667</v>
      </c>
      <c r="C108" s="29" t="s">
        <v>17</v>
      </c>
      <c r="D108" s="29" t="s">
        <v>123</v>
      </c>
      <c r="E108" s="29" t="s">
        <v>52</v>
      </c>
      <c r="F108" s="30"/>
      <c r="G108" s="31">
        <f>G109+G114</f>
        <v>10000</v>
      </c>
      <c r="H108" s="116"/>
      <c r="I108" s="31">
        <f t="shared" si="1"/>
        <v>10000</v>
      </c>
    </row>
    <row r="109" spans="1:9" ht="38.25" customHeight="1" hidden="1">
      <c r="A109" s="8" t="s">
        <v>136</v>
      </c>
      <c r="B109" s="29" t="s">
        <v>667</v>
      </c>
      <c r="C109" s="29" t="s">
        <v>17</v>
      </c>
      <c r="D109" s="29" t="s">
        <v>123</v>
      </c>
      <c r="E109" s="29" t="s">
        <v>137</v>
      </c>
      <c r="F109" s="30"/>
      <c r="G109" s="31">
        <f>G110+G112</f>
        <v>0</v>
      </c>
      <c r="H109" s="116"/>
      <c r="I109" s="31">
        <f t="shared" si="1"/>
        <v>0</v>
      </c>
    </row>
    <row r="110" spans="1:9" ht="47.25" customHeight="1" hidden="1">
      <c r="A110" s="8" t="s">
        <v>138</v>
      </c>
      <c r="B110" s="29" t="s">
        <v>667</v>
      </c>
      <c r="C110" s="29" t="s">
        <v>17</v>
      </c>
      <c r="D110" s="29" t="s">
        <v>123</v>
      </c>
      <c r="E110" s="29" t="s">
        <v>139</v>
      </c>
      <c r="F110" s="30"/>
      <c r="G110" s="31">
        <f>G111</f>
        <v>0</v>
      </c>
      <c r="H110" s="116"/>
      <c r="I110" s="31">
        <f t="shared" si="1"/>
        <v>0</v>
      </c>
    </row>
    <row r="111" spans="1:9" ht="26.25" hidden="1">
      <c r="A111" s="35" t="s">
        <v>140</v>
      </c>
      <c r="B111" s="29" t="s">
        <v>667</v>
      </c>
      <c r="C111" s="29" t="s">
        <v>17</v>
      </c>
      <c r="D111" s="29" t="s">
        <v>123</v>
      </c>
      <c r="E111" s="29" t="s">
        <v>139</v>
      </c>
      <c r="F111" s="37" t="s">
        <v>141</v>
      </c>
      <c r="G111" s="31"/>
      <c r="H111" s="116"/>
      <c r="I111" s="31">
        <f t="shared" si="1"/>
        <v>0</v>
      </c>
    </row>
    <row r="112" spans="1:9" ht="25.5" customHeight="1" hidden="1">
      <c r="A112" s="8" t="s">
        <v>142</v>
      </c>
      <c r="B112" s="29" t="s">
        <v>667</v>
      </c>
      <c r="C112" s="29" t="s">
        <v>17</v>
      </c>
      <c r="D112" s="29" t="s">
        <v>123</v>
      </c>
      <c r="E112" s="29" t="s">
        <v>143</v>
      </c>
      <c r="F112" s="37"/>
      <c r="G112" s="31">
        <f>G113</f>
        <v>0</v>
      </c>
      <c r="H112" s="116"/>
      <c r="I112" s="31">
        <f t="shared" si="1"/>
        <v>0</v>
      </c>
    </row>
    <row r="113" spans="1:9" ht="41.25" customHeight="1" hidden="1">
      <c r="A113" s="35" t="s">
        <v>140</v>
      </c>
      <c r="B113" s="29" t="s">
        <v>667</v>
      </c>
      <c r="C113" s="29" t="s">
        <v>17</v>
      </c>
      <c r="D113" s="29" t="s">
        <v>123</v>
      </c>
      <c r="E113" s="29" t="s">
        <v>143</v>
      </c>
      <c r="F113" s="37" t="s">
        <v>141</v>
      </c>
      <c r="G113" s="31"/>
      <c r="H113" s="116"/>
      <c r="I113" s="31">
        <f t="shared" si="1"/>
        <v>0</v>
      </c>
    </row>
    <row r="114" spans="1:9" ht="38.25">
      <c r="A114" s="13" t="s">
        <v>53</v>
      </c>
      <c r="B114" s="29" t="s">
        <v>667</v>
      </c>
      <c r="C114" s="29" t="s">
        <v>17</v>
      </c>
      <c r="D114" s="29" t="s">
        <v>123</v>
      </c>
      <c r="E114" s="29" t="s">
        <v>54</v>
      </c>
      <c r="F114" s="37"/>
      <c r="G114" s="31">
        <f>G115</f>
        <v>10000</v>
      </c>
      <c r="H114" s="116"/>
      <c r="I114" s="31">
        <f t="shared" si="1"/>
        <v>10000</v>
      </c>
    </row>
    <row r="115" spans="1:9" ht="30" customHeight="1">
      <c r="A115" s="59" t="s">
        <v>144</v>
      </c>
      <c r="B115" s="29" t="s">
        <v>667</v>
      </c>
      <c r="C115" s="29" t="s">
        <v>17</v>
      </c>
      <c r="D115" s="29" t="s">
        <v>123</v>
      </c>
      <c r="E115" s="29" t="s">
        <v>145</v>
      </c>
      <c r="F115" s="37"/>
      <c r="G115" s="31">
        <f>G116</f>
        <v>10000</v>
      </c>
      <c r="H115" s="116"/>
      <c r="I115" s="31">
        <f t="shared" si="1"/>
        <v>10000</v>
      </c>
    </row>
    <row r="116" spans="1:9" ht="26.25">
      <c r="A116" s="35" t="s">
        <v>38</v>
      </c>
      <c r="B116" s="29" t="s">
        <v>667</v>
      </c>
      <c r="C116" s="29" t="s">
        <v>17</v>
      </c>
      <c r="D116" s="29" t="s">
        <v>123</v>
      </c>
      <c r="E116" s="29" t="s">
        <v>145</v>
      </c>
      <c r="F116" s="37" t="s">
        <v>39</v>
      </c>
      <c r="G116" s="31">
        <f>10000</f>
        <v>10000</v>
      </c>
      <c r="H116" s="116"/>
      <c r="I116" s="31">
        <f t="shared" si="1"/>
        <v>10000</v>
      </c>
    </row>
    <row r="117" spans="1:9" ht="45" customHeight="1">
      <c r="A117" s="121" t="s">
        <v>146</v>
      </c>
      <c r="B117" s="29" t="s">
        <v>667</v>
      </c>
      <c r="C117" s="29" t="s">
        <v>17</v>
      </c>
      <c r="D117" s="29" t="s">
        <v>123</v>
      </c>
      <c r="E117" s="29" t="s">
        <v>147</v>
      </c>
      <c r="F117" s="37"/>
      <c r="G117" s="31">
        <f>G118</f>
        <v>515747.39</v>
      </c>
      <c r="H117" s="116"/>
      <c r="I117" s="31">
        <f t="shared" si="1"/>
        <v>515747.39</v>
      </c>
    </row>
    <row r="118" spans="1:9" ht="65.25" customHeight="1">
      <c r="A118" s="63" t="s">
        <v>148</v>
      </c>
      <c r="B118" s="29" t="s">
        <v>667</v>
      </c>
      <c r="C118" s="29" t="s">
        <v>17</v>
      </c>
      <c r="D118" s="29" t="s">
        <v>123</v>
      </c>
      <c r="E118" s="29" t="s">
        <v>149</v>
      </c>
      <c r="F118" s="37"/>
      <c r="G118" s="31">
        <f>G119</f>
        <v>515747.39</v>
      </c>
      <c r="H118" s="116"/>
      <c r="I118" s="31">
        <f t="shared" si="1"/>
        <v>515747.39</v>
      </c>
    </row>
    <row r="119" spans="1:9" ht="28.5" customHeight="1">
      <c r="A119" s="63" t="s">
        <v>150</v>
      </c>
      <c r="B119" s="29" t="s">
        <v>667</v>
      </c>
      <c r="C119" s="29" t="s">
        <v>17</v>
      </c>
      <c r="D119" s="29" t="s">
        <v>123</v>
      </c>
      <c r="E119" s="29" t="s">
        <v>151</v>
      </c>
      <c r="F119" s="37"/>
      <c r="G119" s="31">
        <f>G120</f>
        <v>515747.39</v>
      </c>
      <c r="H119" s="116"/>
      <c r="I119" s="31">
        <f t="shared" si="1"/>
        <v>515747.39</v>
      </c>
    </row>
    <row r="120" spans="1:9" ht="33" customHeight="1">
      <c r="A120" s="63" t="s">
        <v>152</v>
      </c>
      <c r="B120" s="29" t="s">
        <v>667</v>
      </c>
      <c r="C120" s="29" t="s">
        <v>17</v>
      </c>
      <c r="D120" s="29" t="s">
        <v>123</v>
      </c>
      <c r="E120" s="29" t="s">
        <v>153</v>
      </c>
      <c r="F120" s="37"/>
      <c r="G120" s="31">
        <f>G122+G121</f>
        <v>515747.39</v>
      </c>
      <c r="H120" s="116"/>
      <c r="I120" s="31">
        <f t="shared" si="1"/>
        <v>515747.39</v>
      </c>
    </row>
    <row r="121" spans="1:9" ht="64.5" hidden="1">
      <c r="A121" s="35" t="s">
        <v>26</v>
      </c>
      <c r="B121" s="29" t="s">
        <v>667</v>
      </c>
      <c r="C121" s="29" t="s">
        <v>17</v>
      </c>
      <c r="D121" s="29" t="s">
        <v>123</v>
      </c>
      <c r="E121" s="29" t="s">
        <v>153</v>
      </c>
      <c r="F121" s="37" t="s">
        <v>27</v>
      </c>
      <c r="G121" s="31"/>
      <c r="H121" s="116"/>
      <c r="I121" s="31">
        <f t="shared" si="1"/>
        <v>0</v>
      </c>
    </row>
    <row r="122" spans="1:9" ht="37.5" customHeight="1">
      <c r="A122" s="35" t="s">
        <v>38</v>
      </c>
      <c r="B122" s="29" t="s">
        <v>667</v>
      </c>
      <c r="C122" s="29" t="s">
        <v>17</v>
      </c>
      <c r="D122" s="29" t="s">
        <v>123</v>
      </c>
      <c r="E122" s="29" t="s">
        <v>153</v>
      </c>
      <c r="F122" s="30" t="s">
        <v>39</v>
      </c>
      <c r="G122" s="31">
        <f>80000+200000+146196.99+34887.5+54662.9</f>
        <v>515747.39</v>
      </c>
      <c r="H122" s="116"/>
      <c r="I122" s="31">
        <f t="shared" si="1"/>
        <v>515747.39</v>
      </c>
    </row>
    <row r="123" spans="1:9" ht="0.75" customHeight="1" hidden="1">
      <c r="A123" s="15" t="s">
        <v>59</v>
      </c>
      <c r="B123" s="29" t="s">
        <v>667</v>
      </c>
      <c r="C123" s="29" t="s">
        <v>17</v>
      </c>
      <c r="D123" s="29" t="s">
        <v>123</v>
      </c>
      <c r="E123" s="36" t="s">
        <v>60</v>
      </c>
      <c r="F123" s="30"/>
      <c r="G123" s="31">
        <f>G124</f>
        <v>155631.15</v>
      </c>
      <c r="H123" s="116"/>
      <c r="I123" s="31">
        <f t="shared" si="1"/>
        <v>155631.15</v>
      </c>
    </row>
    <row r="124" spans="1:9" ht="66.75" customHeight="1" hidden="1">
      <c r="A124" s="13" t="s">
        <v>61</v>
      </c>
      <c r="B124" s="29" t="s">
        <v>667</v>
      </c>
      <c r="C124" s="29" t="s">
        <v>17</v>
      </c>
      <c r="D124" s="29" t="s">
        <v>123</v>
      </c>
      <c r="E124" s="36" t="s">
        <v>62</v>
      </c>
      <c r="F124" s="30"/>
      <c r="G124" s="31">
        <f>G125</f>
        <v>155631.15</v>
      </c>
      <c r="H124" s="116"/>
      <c r="I124" s="31">
        <f t="shared" si="1"/>
        <v>155631.15</v>
      </c>
    </row>
    <row r="125" spans="1:9" ht="25.5" hidden="1">
      <c r="A125" s="10" t="s">
        <v>63</v>
      </c>
      <c r="B125" s="29" t="s">
        <v>667</v>
      </c>
      <c r="C125" s="29" t="s">
        <v>17</v>
      </c>
      <c r="D125" s="29" t="s">
        <v>123</v>
      </c>
      <c r="E125" s="36" t="s">
        <v>64</v>
      </c>
      <c r="F125" s="30"/>
      <c r="G125" s="31">
        <f>G126</f>
        <v>155631.15</v>
      </c>
      <c r="H125" s="116"/>
      <c r="I125" s="31">
        <f t="shared" si="1"/>
        <v>155631.15</v>
      </c>
    </row>
    <row r="126" spans="1:9" ht="26.25">
      <c r="A126" s="35" t="s">
        <v>155</v>
      </c>
      <c r="B126" s="29" t="s">
        <v>667</v>
      </c>
      <c r="C126" s="29" t="s">
        <v>17</v>
      </c>
      <c r="D126" s="29" t="s">
        <v>123</v>
      </c>
      <c r="E126" s="36" t="s">
        <v>156</v>
      </c>
      <c r="F126" s="30"/>
      <c r="G126" s="31">
        <f>G127</f>
        <v>155631.15</v>
      </c>
      <c r="H126" s="116"/>
      <c r="I126" s="31">
        <f t="shared" si="1"/>
        <v>155631.15</v>
      </c>
    </row>
    <row r="127" spans="1:9" ht="25.5" customHeight="1">
      <c r="A127" s="35" t="s">
        <v>38</v>
      </c>
      <c r="B127" s="29" t="s">
        <v>667</v>
      </c>
      <c r="C127" s="29" t="s">
        <v>17</v>
      </c>
      <c r="D127" s="29" t="s">
        <v>123</v>
      </c>
      <c r="E127" s="36" t="s">
        <v>156</v>
      </c>
      <c r="F127" s="37" t="s">
        <v>39</v>
      </c>
      <c r="G127" s="31">
        <v>155631.15</v>
      </c>
      <c r="H127" s="116"/>
      <c r="I127" s="31">
        <f t="shared" si="1"/>
        <v>155631.15</v>
      </c>
    </row>
    <row r="128" spans="1:9" ht="63.75" hidden="1">
      <c r="A128" s="121" t="s">
        <v>157</v>
      </c>
      <c r="B128" s="29" t="s">
        <v>667</v>
      </c>
      <c r="C128" s="29" t="s">
        <v>17</v>
      </c>
      <c r="D128" s="29" t="s">
        <v>123</v>
      </c>
      <c r="E128" s="29" t="s">
        <v>158</v>
      </c>
      <c r="F128" s="30"/>
      <c r="G128" s="31">
        <f>G129</f>
        <v>0</v>
      </c>
      <c r="H128" s="116"/>
      <c r="I128" s="31">
        <f t="shared" si="1"/>
        <v>0</v>
      </c>
    </row>
    <row r="129" spans="1:9" ht="89.25" hidden="1">
      <c r="A129" s="63" t="s">
        <v>159</v>
      </c>
      <c r="B129" s="29" t="s">
        <v>667</v>
      </c>
      <c r="C129" s="29" t="s">
        <v>17</v>
      </c>
      <c r="D129" s="29" t="s">
        <v>123</v>
      </c>
      <c r="E129" s="29" t="s">
        <v>160</v>
      </c>
      <c r="F129" s="30"/>
      <c r="G129" s="31">
        <f>G130</f>
        <v>0</v>
      </c>
      <c r="H129" s="116"/>
      <c r="I129" s="31">
        <f t="shared" si="1"/>
        <v>0</v>
      </c>
    </row>
    <row r="130" spans="1:9" ht="38.25" hidden="1">
      <c r="A130" s="122" t="s">
        <v>161</v>
      </c>
      <c r="B130" s="29" t="s">
        <v>667</v>
      </c>
      <c r="C130" s="29" t="s">
        <v>17</v>
      </c>
      <c r="D130" s="29" t="s">
        <v>123</v>
      </c>
      <c r="E130" s="29" t="s">
        <v>162</v>
      </c>
      <c r="F130" s="30"/>
      <c r="G130" s="31">
        <f>G131</f>
        <v>0</v>
      </c>
      <c r="H130" s="116"/>
      <c r="I130" s="31">
        <f t="shared" si="1"/>
        <v>0</v>
      </c>
    </row>
    <row r="131" spans="1:9" ht="25.5" hidden="1">
      <c r="A131" s="10" t="s">
        <v>163</v>
      </c>
      <c r="B131" s="29" t="s">
        <v>667</v>
      </c>
      <c r="C131" s="29" t="s">
        <v>17</v>
      </c>
      <c r="D131" s="29" t="s">
        <v>123</v>
      </c>
      <c r="E131" s="29" t="s">
        <v>164</v>
      </c>
      <c r="F131" s="30"/>
      <c r="G131" s="31">
        <f>G132</f>
        <v>0</v>
      </c>
      <c r="H131" s="116"/>
      <c r="I131" s="31">
        <f t="shared" si="1"/>
        <v>0</v>
      </c>
    </row>
    <row r="132" spans="1:9" ht="26.25" hidden="1">
      <c r="A132" s="35" t="s">
        <v>38</v>
      </c>
      <c r="B132" s="29" t="s">
        <v>667</v>
      </c>
      <c r="C132" s="29" t="s">
        <v>17</v>
      </c>
      <c r="D132" s="29" t="s">
        <v>123</v>
      </c>
      <c r="E132" s="29" t="s">
        <v>164</v>
      </c>
      <c r="F132" s="30" t="s">
        <v>39</v>
      </c>
      <c r="G132" s="31"/>
      <c r="H132" s="116"/>
      <c r="I132" s="31">
        <f t="shared" si="1"/>
        <v>0</v>
      </c>
    </row>
    <row r="133" spans="1:9" ht="66" customHeight="1">
      <c r="A133" s="16" t="s">
        <v>67</v>
      </c>
      <c r="B133" s="29" t="s">
        <v>667</v>
      </c>
      <c r="C133" s="29" t="s">
        <v>17</v>
      </c>
      <c r="D133" s="29" t="s">
        <v>123</v>
      </c>
      <c r="E133" s="36" t="s">
        <v>68</v>
      </c>
      <c r="F133" s="30"/>
      <c r="G133" s="31">
        <f>G134</f>
        <v>902000</v>
      </c>
      <c r="H133" s="116"/>
      <c r="I133" s="31">
        <f t="shared" si="1"/>
        <v>902000</v>
      </c>
    </row>
    <row r="134" spans="1:9" ht="103.5" customHeight="1">
      <c r="A134" s="55" t="s">
        <v>165</v>
      </c>
      <c r="B134" s="29" t="s">
        <v>667</v>
      </c>
      <c r="C134" s="29" t="s">
        <v>17</v>
      </c>
      <c r="D134" s="29" t="s">
        <v>123</v>
      </c>
      <c r="E134" s="36" t="s">
        <v>166</v>
      </c>
      <c r="F134" s="30"/>
      <c r="G134" s="31">
        <f>G135</f>
        <v>902000</v>
      </c>
      <c r="H134" s="116"/>
      <c r="I134" s="31">
        <f t="shared" si="1"/>
        <v>902000</v>
      </c>
    </row>
    <row r="135" spans="1:9" ht="38.25">
      <c r="A135" s="13" t="s">
        <v>167</v>
      </c>
      <c r="B135" s="29" t="s">
        <v>667</v>
      </c>
      <c r="C135" s="29" t="s">
        <v>17</v>
      </c>
      <c r="D135" s="29" t="s">
        <v>123</v>
      </c>
      <c r="E135" s="47" t="s">
        <v>168</v>
      </c>
      <c r="F135" s="30"/>
      <c r="G135" s="31">
        <f>G136+G138</f>
        <v>902000</v>
      </c>
      <c r="H135" s="116"/>
      <c r="I135" s="31">
        <f t="shared" si="1"/>
        <v>902000</v>
      </c>
    </row>
    <row r="136" spans="1:9" ht="42.75" customHeight="1">
      <c r="A136" s="35" t="s">
        <v>169</v>
      </c>
      <c r="B136" s="29" t="s">
        <v>667</v>
      </c>
      <c r="C136" s="29" t="s">
        <v>17</v>
      </c>
      <c r="D136" s="29" t="s">
        <v>123</v>
      </c>
      <c r="E136" s="47" t="s">
        <v>170</v>
      </c>
      <c r="F136" s="30"/>
      <c r="G136" s="31">
        <f>G137</f>
        <v>837000</v>
      </c>
      <c r="H136" s="116"/>
      <c r="I136" s="31">
        <f t="shared" si="1"/>
        <v>837000</v>
      </c>
    </row>
    <row r="137" spans="1:9" ht="26.25">
      <c r="A137" s="35" t="s">
        <v>38</v>
      </c>
      <c r="B137" s="29" t="s">
        <v>667</v>
      </c>
      <c r="C137" s="29" t="s">
        <v>17</v>
      </c>
      <c r="D137" s="29" t="s">
        <v>123</v>
      </c>
      <c r="E137" s="47" t="s">
        <v>170</v>
      </c>
      <c r="F137" s="30" t="s">
        <v>39</v>
      </c>
      <c r="G137" s="31">
        <f>547000+290000</f>
        <v>837000</v>
      </c>
      <c r="H137" s="116"/>
      <c r="I137" s="31">
        <f t="shared" si="1"/>
        <v>837000</v>
      </c>
    </row>
    <row r="138" spans="1:9" ht="39">
      <c r="A138" s="35" t="s">
        <v>171</v>
      </c>
      <c r="B138" s="29" t="s">
        <v>667</v>
      </c>
      <c r="C138" s="29" t="s">
        <v>17</v>
      </c>
      <c r="D138" s="29" t="s">
        <v>123</v>
      </c>
      <c r="E138" s="47" t="s">
        <v>172</v>
      </c>
      <c r="F138" s="30"/>
      <c r="G138" s="31">
        <f>G139</f>
        <v>65000</v>
      </c>
      <c r="H138" s="116"/>
      <c r="I138" s="31">
        <f t="shared" si="1"/>
        <v>65000</v>
      </c>
    </row>
    <row r="139" spans="1:9" ht="26.25">
      <c r="A139" s="35" t="s">
        <v>38</v>
      </c>
      <c r="B139" s="29" t="s">
        <v>667</v>
      </c>
      <c r="C139" s="29" t="s">
        <v>17</v>
      </c>
      <c r="D139" s="29" t="s">
        <v>123</v>
      </c>
      <c r="E139" s="47" t="s">
        <v>172</v>
      </c>
      <c r="F139" s="30" t="s">
        <v>39</v>
      </c>
      <c r="G139" s="31">
        <v>65000</v>
      </c>
      <c r="H139" s="116"/>
      <c r="I139" s="31">
        <f t="shared" si="1"/>
        <v>65000</v>
      </c>
    </row>
    <row r="140" spans="1:9" ht="42.75" customHeight="1">
      <c r="A140" s="14" t="s">
        <v>173</v>
      </c>
      <c r="B140" s="29" t="s">
        <v>667</v>
      </c>
      <c r="C140" s="29" t="s">
        <v>17</v>
      </c>
      <c r="D140" s="29" t="s">
        <v>123</v>
      </c>
      <c r="E140" s="50" t="s">
        <v>174</v>
      </c>
      <c r="F140" s="30"/>
      <c r="G140" s="31">
        <f>G141+G145</f>
        <v>0</v>
      </c>
      <c r="H140" s="116"/>
      <c r="I140" s="31">
        <f t="shared" si="1"/>
        <v>0</v>
      </c>
    </row>
    <row r="141" spans="1:9" ht="51" customHeight="1" hidden="1">
      <c r="A141" s="59" t="s">
        <v>175</v>
      </c>
      <c r="B141" s="29" t="s">
        <v>667</v>
      </c>
      <c r="C141" s="29" t="s">
        <v>17</v>
      </c>
      <c r="D141" s="29" t="s">
        <v>123</v>
      </c>
      <c r="E141" s="50" t="s">
        <v>176</v>
      </c>
      <c r="F141" s="30"/>
      <c r="G141" s="31">
        <f>G142</f>
        <v>0</v>
      </c>
      <c r="H141" s="116"/>
      <c r="I141" s="31">
        <f t="shared" si="1"/>
        <v>0</v>
      </c>
    </row>
    <row r="142" spans="1:9" ht="25.5" hidden="1">
      <c r="A142" s="59" t="s">
        <v>177</v>
      </c>
      <c r="B142" s="29" t="s">
        <v>667</v>
      </c>
      <c r="C142" s="29" t="s">
        <v>17</v>
      </c>
      <c r="D142" s="29" t="s">
        <v>123</v>
      </c>
      <c r="E142" s="50" t="s">
        <v>178</v>
      </c>
      <c r="F142" s="30"/>
      <c r="G142" s="31">
        <f>G143</f>
        <v>0</v>
      </c>
      <c r="H142" s="116"/>
      <c r="I142" s="31">
        <f t="shared" si="1"/>
        <v>0</v>
      </c>
    </row>
    <row r="143" spans="1:9" ht="39" hidden="1">
      <c r="A143" s="35" t="s">
        <v>179</v>
      </c>
      <c r="B143" s="29" t="s">
        <v>667</v>
      </c>
      <c r="C143" s="29" t="s">
        <v>17</v>
      </c>
      <c r="D143" s="29" t="s">
        <v>123</v>
      </c>
      <c r="E143" s="50" t="s">
        <v>180</v>
      </c>
      <c r="F143" s="30"/>
      <c r="G143" s="31">
        <f>G144</f>
        <v>0</v>
      </c>
      <c r="H143" s="116"/>
      <c r="I143" s="31">
        <f t="shared" si="1"/>
        <v>0</v>
      </c>
    </row>
    <row r="144" spans="1:9" ht="26.25" hidden="1">
      <c r="A144" s="35" t="s">
        <v>38</v>
      </c>
      <c r="B144" s="29" t="s">
        <v>667</v>
      </c>
      <c r="C144" s="29" t="s">
        <v>17</v>
      </c>
      <c r="D144" s="29" t="s">
        <v>123</v>
      </c>
      <c r="E144" s="50" t="s">
        <v>180</v>
      </c>
      <c r="F144" s="30" t="s">
        <v>39</v>
      </c>
      <c r="G144" s="31">
        <f>15000-15000</f>
        <v>0</v>
      </c>
      <c r="H144" s="116"/>
      <c r="I144" s="31">
        <f t="shared" si="1"/>
        <v>0</v>
      </c>
    </row>
    <row r="145" spans="1:9" ht="69" customHeight="1">
      <c r="A145" s="59" t="s">
        <v>181</v>
      </c>
      <c r="B145" s="29" t="s">
        <v>667</v>
      </c>
      <c r="C145" s="29" t="s">
        <v>17</v>
      </c>
      <c r="D145" s="29" t="s">
        <v>123</v>
      </c>
      <c r="E145" s="50" t="s">
        <v>182</v>
      </c>
      <c r="F145" s="30"/>
      <c r="G145" s="31">
        <f>G146</f>
        <v>0</v>
      </c>
      <c r="H145" s="116"/>
      <c r="I145" s="31">
        <f t="shared" si="1"/>
        <v>0</v>
      </c>
    </row>
    <row r="146" spans="1:9" ht="25.5">
      <c r="A146" s="59" t="s">
        <v>183</v>
      </c>
      <c r="B146" s="29" t="s">
        <v>667</v>
      </c>
      <c r="C146" s="29" t="s">
        <v>17</v>
      </c>
      <c r="D146" s="29" t="s">
        <v>123</v>
      </c>
      <c r="E146" s="50" t="s">
        <v>184</v>
      </c>
      <c r="F146" s="30"/>
      <c r="G146" s="31">
        <f>G147</f>
        <v>0</v>
      </c>
      <c r="H146" s="116"/>
      <c r="I146" s="31">
        <f t="shared" si="1"/>
        <v>0</v>
      </c>
    </row>
    <row r="147" spans="1:9" ht="27.75" customHeight="1">
      <c r="A147" s="59" t="s">
        <v>144</v>
      </c>
      <c r="B147" s="29" t="s">
        <v>667</v>
      </c>
      <c r="C147" s="29" t="s">
        <v>17</v>
      </c>
      <c r="D147" s="29" t="s">
        <v>123</v>
      </c>
      <c r="E147" s="50" t="s">
        <v>185</v>
      </c>
      <c r="F147" s="30"/>
      <c r="G147" s="31">
        <f>G148</f>
        <v>0</v>
      </c>
      <c r="H147" s="116"/>
      <c r="I147" s="31">
        <f t="shared" si="1"/>
        <v>0</v>
      </c>
    </row>
    <row r="148" spans="1:9" ht="30" customHeight="1">
      <c r="A148" s="35" t="s">
        <v>38</v>
      </c>
      <c r="B148" s="29" t="s">
        <v>667</v>
      </c>
      <c r="C148" s="29" t="s">
        <v>17</v>
      </c>
      <c r="D148" s="29" t="s">
        <v>123</v>
      </c>
      <c r="E148" s="50" t="s">
        <v>185</v>
      </c>
      <c r="F148" s="30" t="s">
        <v>39</v>
      </c>
      <c r="G148" s="31">
        <f>100000-100000</f>
        <v>0</v>
      </c>
      <c r="H148" s="116"/>
      <c r="I148" s="31">
        <f t="shared" si="1"/>
        <v>0</v>
      </c>
    </row>
    <row r="149" spans="1:9" ht="30.75" customHeight="1">
      <c r="A149" s="35" t="s">
        <v>77</v>
      </c>
      <c r="B149" s="29" t="s">
        <v>667</v>
      </c>
      <c r="C149" s="29" t="s">
        <v>17</v>
      </c>
      <c r="D149" s="29" t="s">
        <v>123</v>
      </c>
      <c r="E149" s="29" t="s">
        <v>78</v>
      </c>
      <c r="F149" s="56"/>
      <c r="G149" s="31">
        <f>G150</f>
        <v>366000</v>
      </c>
      <c r="H149" s="116"/>
      <c r="I149" s="31">
        <f t="shared" si="1"/>
        <v>366000</v>
      </c>
    </row>
    <row r="150" spans="1:9" ht="30.75" customHeight="1">
      <c r="A150" s="8" t="s">
        <v>79</v>
      </c>
      <c r="B150" s="29" t="s">
        <v>667</v>
      </c>
      <c r="C150" s="29" t="s">
        <v>17</v>
      </c>
      <c r="D150" s="29" t="s">
        <v>123</v>
      </c>
      <c r="E150" s="29" t="s">
        <v>80</v>
      </c>
      <c r="F150" s="56"/>
      <c r="G150" s="31">
        <f>G151</f>
        <v>366000</v>
      </c>
      <c r="H150" s="116"/>
      <c r="I150" s="31">
        <f t="shared" si="1"/>
        <v>366000</v>
      </c>
    </row>
    <row r="151" spans="1:9" ht="42.75" customHeight="1">
      <c r="A151" s="9" t="s">
        <v>186</v>
      </c>
      <c r="B151" s="29" t="s">
        <v>667</v>
      </c>
      <c r="C151" s="29" t="s">
        <v>17</v>
      </c>
      <c r="D151" s="29" t="s">
        <v>123</v>
      </c>
      <c r="E151" s="29" t="s">
        <v>187</v>
      </c>
      <c r="F151" s="56"/>
      <c r="G151" s="31">
        <f>G152+G153</f>
        <v>366000</v>
      </c>
      <c r="H151" s="116"/>
      <c r="I151" s="31">
        <f t="shared" si="1"/>
        <v>366000</v>
      </c>
    </row>
    <row r="152" spans="1:9" ht="72.75" customHeight="1">
      <c r="A152" s="35" t="s">
        <v>26</v>
      </c>
      <c r="B152" s="29" t="s">
        <v>667</v>
      </c>
      <c r="C152" s="29" t="s">
        <v>17</v>
      </c>
      <c r="D152" s="29" t="s">
        <v>123</v>
      </c>
      <c r="E152" s="29" t="s">
        <v>187</v>
      </c>
      <c r="F152" s="56" t="s">
        <v>27</v>
      </c>
      <c r="G152" s="31">
        <f>332701+33299</f>
        <v>366000</v>
      </c>
      <c r="H152" s="116"/>
      <c r="I152" s="31">
        <f t="shared" si="1"/>
        <v>366000</v>
      </c>
    </row>
    <row r="153" spans="1:9" ht="30.75" customHeight="1" hidden="1">
      <c r="A153" s="35" t="s">
        <v>38</v>
      </c>
      <c r="B153" s="29" t="s">
        <v>667</v>
      </c>
      <c r="C153" s="29" t="s">
        <v>17</v>
      </c>
      <c r="D153" s="29" t="s">
        <v>123</v>
      </c>
      <c r="E153" s="29" t="s">
        <v>187</v>
      </c>
      <c r="F153" s="56" t="s">
        <v>39</v>
      </c>
      <c r="G153" s="31"/>
      <c r="H153" s="116"/>
      <c r="I153" s="31">
        <f t="shared" si="1"/>
        <v>0</v>
      </c>
    </row>
    <row r="154" spans="1:9" ht="26.25">
      <c r="A154" s="35" t="s">
        <v>188</v>
      </c>
      <c r="B154" s="29" t="s">
        <v>667</v>
      </c>
      <c r="C154" s="29" t="s">
        <v>17</v>
      </c>
      <c r="D154" s="29" t="s">
        <v>123</v>
      </c>
      <c r="E154" s="36" t="s">
        <v>189</v>
      </c>
      <c r="F154" s="56"/>
      <c r="G154" s="31">
        <f>G155</f>
        <v>3950140.1999999997</v>
      </c>
      <c r="H154" s="116"/>
      <c r="I154" s="31">
        <f t="shared" si="1"/>
        <v>3950140.1999999997</v>
      </c>
    </row>
    <row r="155" spans="1:9" ht="31.5" customHeight="1">
      <c r="A155" s="35" t="s">
        <v>190</v>
      </c>
      <c r="B155" s="29" t="s">
        <v>667</v>
      </c>
      <c r="C155" s="29" t="s">
        <v>17</v>
      </c>
      <c r="D155" s="29" t="s">
        <v>123</v>
      </c>
      <c r="E155" s="36" t="s">
        <v>191</v>
      </c>
      <c r="F155" s="56"/>
      <c r="G155" s="31">
        <f>G156</f>
        <v>3950140.1999999997</v>
      </c>
      <c r="H155" s="116"/>
      <c r="I155" s="31">
        <f t="shared" si="1"/>
        <v>3950140.1999999997</v>
      </c>
    </row>
    <row r="156" spans="1:9" ht="31.5" customHeight="1">
      <c r="A156" s="16" t="s">
        <v>144</v>
      </c>
      <c r="B156" s="29" t="s">
        <v>667</v>
      </c>
      <c r="C156" s="29" t="s">
        <v>17</v>
      </c>
      <c r="D156" s="29" t="s">
        <v>123</v>
      </c>
      <c r="E156" s="36" t="s">
        <v>192</v>
      </c>
      <c r="F156" s="56"/>
      <c r="G156" s="31">
        <f>G157+G159+G158</f>
        <v>3950140.1999999997</v>
      </c>
      <c r="H156" s="116"/>
      <c r="I156" s="31">
        <f t="shared" si="1"/>
        <v>3950140.1999999997</v>
      </c>
    </row>
    <row r="157" spans="1:9" ht="30" customHeight="1">
      <c r="A157" s="35" t="s">
        <v>38</v>
      </c>
      <c r="B157" s="29" t="s">
        <v>667</v>
      </c>
      <c r="C157" s="29" t="s">
        <v>17</v>
      </c>
      <c r="D157" s="29" t="s">
        <v>123</v>
      </c>
      <c r="E157" s="36" t="s">
        <v>192</v>
      </c>
      <c r="F157" s="56" t="s">
        <v>39</v>
      </c>
      <c r="G157" s="31">
        <f>9788.52-2590+316990+28010+80000</f>
        <v>432198.52</v>
      </c>
      <c r="H157" s="116"/>
      <c r="I157" s="31">
        <f t="shared" si="1"/>
        <v>432198.52</v>
      </c>
    </row>
    <row r="158" spans="1:9" ht="21" customHeight="1" hidden="1">
      <c r="A158" s="73" t="s">
        <v>193</v>
      </c>
      <c r="B158" s="29" t="s">
        <v>667</v>
      </c>
      <c r="C158" s="29" t="s">
        <v>17</v>
      </c>
      <c r="D158" s="29" t="s">
        <v>123</v>
      </c>
      <c r="E158" s="36" t="s">
        <v>192</v>
      </c>
      <c r="F158" s="56" t="s">
        <v>194</v>
      </c>
      <c r="G158" s="31"/>
      <c r="H158" s="116"/>
      <c r="I158" s="31">
        <f t="shared" si="1"/>
        <v>0</v>
      </c>
    </row>
    <row r="159" spans="1:9" ht="17.25" customHeight="1">
      <c r="A159" s="10" t="s">
        <v>84</v>
      </c>
      <c r="B159" s="29" t="s">
        <v>667</v>
      </c>
      <c r="C159" s="29" t="s">
        <v>17</v>
      </c>
      <c r="D159" s="29" t="s">
        <v>123</v>
      </c>
      <c r="E159" s="36" t="s">
        <v>192</v>
      </c>
      <c r="F159" s="56" t="s">
        <v>85</v>
      </c>
      <c r="G159" s="31">
        <f>6042+2590+50000+50000-978+2465102.05-232000+146651+12926.5-1374103.87+147269+1350000+10000000-100000-344990-28010-80000-9000000+447443</f>
        <v>3517941.6799999997</v>
      </c>
      <c r="H159" s="116"/>
      <c r="I159" s="31">
        <f t="shared" si="1"/>
        <v>3517941.6799999997</v>
      </c>
    </row>
    <row r="160" spans="1:9" ht="36" customHeight="1">
      <c r="A160" s="16" t="s">
        <v>86</v>
      </c>
      <c r="B160" s="29" t="s">
        <v>667</v>
      </c>
      <c r="C160" s="57" t="s">
        <v>17</v>
      </c>
      <c r="D160" s="29" t="s">
        <v>123</v>
      </c>
      <c r="E160" s="47" t="s">
        <v>87</v>
      </c>
      <c r="F160" s="37"/>
      <c r="G160" s="31">
        <f>G167+G161</f>
        <v>13443771.6</v>
      </c>
      <c r="H160" s="116"/>
      <c r="I160" s="31">
        <f t="shared" si="1"/>
        <v>13443771.6</v>
      </c>
    </row>
    <row r="161" spans="1:9" ht="38.25" customHeight="1">
      <c r="A161" s="13" t="s">
        <v>88</v>
      </c>
      <c r="B161" s="29" t="s">
        <v>667</v>
      </c>
      <c r="C161" s="29" t="s">
        <v>17</v>
      </c>
      <c r="D161" s="29" t="s">
        <v>123</v>
      </c>
      <c r="E161" s="29" t="s">
        <v>89</v>
      </c>
      <c r="F161" s="30"/>
      <c r="G161" s="31">
        <f>G162+G165</f>
        <v>998000</v>
      </c>
      <c r="H161" s="116"/>
      <c r="I161" s="31">
        <f t="shared" si="1"/>
        <v>998000</v>
      </c>
    </row>
    <row r="162" spans="1:9" ht="44.25" customHeight="1">
      <c r="A162" s="8" t="s">
        <v>195</v>
      </c>
      <c r="B162" s="29" t="s">
        <v>667</v>
      </c>
      <c r="C162" s="29" t="s">
        <v>17</v>
      </c>
      <c r="D162" s="29" t="s">
        <v>123</v>
      </c>
      <c r="E162" s="50" t="s">
        <v>196</v>
      </c>
      <c r="F162" s="56"/>
      <c r="G162" s="31">
        <f>G163+G164</f>
        <v>998000</v>
      </c>
      <c r="H162" s="116"/>
      <c r="I162" s="31">
        <f>G162+H162</f>
        <v>998000</v>
      </c>
    </row>
    <row r="163" spans="1:9" ht="67.5" customHeight="1">
      <c r="A163" s="35" t="s">
        <v>26</v>
      </c>
      <c r="B163" s="29" t="s">
        <v>667</v>
      </c>
      <c r="C163" s="29" t="s">
        <v>17</v>
      </c>
      <c r="D163" s="29" t="s">
        <v>123</v>
      </c>
      <c r="E163" s="50" t="s">
        <v>196</v>
      </c>
      <c r="F163" s="56" t="s">
        <v>27</v>
      </c>
      <c r="G163" s="31">
        <v>855178</v>
      </c>
      <c r="H163" s="116"/>
      <c r="I163" s="31">
        <f>G163+H163</f>
        <v>855178</v>
      </c>
    </row>
    <row r="164" spans="1:9" ht="29.25" customHeight="1">
      <c r="A164" s="35" t="s">
        <v>38</v>
      </c>
      <c r="B164" s="29" t="s">
        <v>667</v>
      </c>
      <c r="C164" s="29" t="s">
        <v>17</v>
      </c>
      <c r="D164" s="29" t="s">
        <v>123</v>
      </c>
      <c r="E164" s="50" t="s">
        <v>196</v>
      </c>
      <c r="F164" s="56" t="s">
        <v>39</v>
      </c>
      <c r="G164" s="31">
        <f>38100+34800+69922</f>
        <v>142822</v>
      </c>
      <c r="H164" s="116"/>
      <c r="I164" s="31">
        <f>G164+H164</f>
        <v>142822</v>
      </c>
    </row>
    <row r="165" spans="1:9" ht="43.5" customHeight="1" hidden="1">
      <c r="A165" s="9" t="s">
        <v>197</v>
      </c>
      <c r="B165" s="29" t="s">
        <v>667</v>
      </c>
      <c r="C165" s="29" t="s">
        <v>17</v>
      </c>
      <c r="D165" s="29" t="s">
        <v>123</v>
      </c>
      <c r="E165" s="50" t="s">
        <v>198</v>
      </c>
      <c r="F165" s="56"/>
      <c r="G165" s="31">
        <f>G166</f>
        <v>0</v>
      </c>
      <c r="H165" s="116"/>
      <c r="I165" s="31">
        <f>G165+H165</f>
        <v>0</v>
      </c>
    </row>
    <row r="166" spans="1:9" ht="30.75" customHeight="1" hidden="1">
      <c r="A166" s="35" t="s">
        <v>38</v>
      </c>
      <c r="B166" s="29" t="s">
        <v>667</v>
      </c>
      <c r="C166" s="29" t="s">
        <v>17</v>
      </c>
      <c r="D166" s="29" t="s">
        <v>123</v>
      </c>
      <c r="E166" s="50" t="s">
        <v>198</v>
      </c>
      <c r="F166" s="56" t="s">
        <v>39</v>
      </c>
      <c r="G166" s="31"/>
      <c r="H166" s="116"/>
      <c r="I166" s="31">
        <f>G166+H166</f>
        <v>0</v>
      </c>
    </row>
    <row r="167" spans="1:9" ht="27.75" customHeight="1">
      <c r="A167" s="16" t="s">
        <v>93</v>
      </c>
      <c r="B167" s="29" t="s">
        <v>667</v>
      </c>
      <c r="C167" s="29" t="s">
        <v>17</v>
      </c>
      <c r="D167" s="29" t="s">
        <v>123</v>
      </c>
      <c r="E167" s="29" t="s">
        <v>94</v>
      </c>
      <c r="F167" s="30"/>
      <c r="G167" s="31">
        <f>G170+G176+G174+G168</f>
        <v>12445771.6</v>
      </c>
      <c r="H167" s="116"/>
      <c r="I167" s="31">
        <f t="shared" si="1"/>
        <v>12445771.6</v>
      </c>
    </row>
    <row r="168" spans="1:9" ht="27.75" customHeight="1" hidden="1">
      <c r="A168" s="16" t="s">
        <v>199</v>
      </c>
      <c r="B168" s="29" t="s">
        <v>667</v>
      </c>
      <c r="C168" s="29" t="s">
        <v>17</v>
      </c>
      <c r="D168" s="29" t="s">
        <v>123</v>
      </c>
      <c r="E168" s="29" t="s">
        <v>200</v>
      </c>
      <c r="F168" s="30"/>
      <c r="G168" s="31">
        <f>G169</f>
        <v>0</v>
      </c>
      <c r="H168" s="116"/>
      <c r="I168" s="31">
        <f t="shared" si="1"/>
        <v>0</v>
      </c>
    </row>
    <row r="169" spans="1:9" ht="27.75" customHeight="1" hidden="1">
      <c r="A169" s="35" t="s">
        <v>38</v>
      </c>
      <c r="B169" s="29" t="s">
        <v>667</v>
      </c>
      <c r="C169" s="29" t="s">
        <v>17</v>
      </c>
      <c r="D169" s="29" t="s">
        <v>123</v>
      </c>
      <c r="E169" s="29" t="s">
        <v>200</v>
      </c>
      <c r="F169" s="30" t="s">
        <v>39</v>
      </c>
      <c r="G169" s="31"/>
      <c r="H169" s="116"/>
      <c r="I169" s="31">
        <f t="shared" si="1"/>
        <v>0</v>
      </c>
    </row>
    <row r="170" spans="1:9" ht="27.75" customHeight="1">
      <c r="A170" s="10" t="s">
        <v>201</v>
      </c>
      <c r="B170" s="29" t="s">
        <v>667</v>
      </c>
      <c r="C170" s="29" t="s">
        <v>17</v>
      </c>
      <c r="D170" s="29" t="s">
        <v>123</v>
      </c>
      <c r="E170" s="29" t="s">
        <v>202</v>
      </c>
      <c r="F170" s="30"/>
      <c r="G170" s="31">
        <f>G171+G172+G173</f>
        <v>12295771.6</v>
      </c>
      <c r="H170" s="116"/>
      <c r="I170" s="31">
        <f t="shared" si="1"/>
        <v>12295771.6</v>
      </c>
    </row>
    <row r="171" spans="1:9" ht="68.25" customHeight="1">
      <c r="A171" s="35" t="s">
        <v>26</v>
      </c>
      <c r="B171" s="29" t="s">
        <v>667</v>
      </c>
      <c r="C171" s="29" t="s">
        <v>17</v>
      </c>
      <c r="D171" s="29" t="s">
        <v>123</v>
      </c>
      <c r="E171" s="29" t="s">
        <v>202</v>
      </c>
      <c r="F171" s="37" t="s">
        <v>27</v>
      </c>
      <c r="G171" s="31">
        <f>8024000+320000+457771</f>
        <v>8801771</v>
      </c>
      <c r="H171" s="116"/>
      <c r="I171" s="31">
        <f t="shared" si="1"/>
        <v>8801771</v>
      </c>
    </row>
    <row r="172" spans="1:9" ht="30" customHeight="1">
      <c r="A172" s="35" t="s">
        <v>38</v>
      </c>
      <c r="B172" s="29" t="s">
        <v>667</v>
      </c>
      <c r="C172" s="29" t="s">
        <v>17</v>
      </c>
      <c r="D172" s="29" t="s">
        <v>123</v>
      </c>
      <c r="E172" s="29" t="s">
        <v>202</v>
      </c>
      <c r="F172" s="37" t="s">
        <v>39</v>
      </c>
      <c r="G172" s="31">
        <f>2162000+100000+115112.5+925337.1+100000-2850+28000</f>
        <v>3427599.6</v>
      </c>
      <c r="H172" s="116"/>
      <c r="I172" s="31">
        <f t="shared" si="1"/>
        <v>3427599.6</v>
      </c>
    </row>
    <row r="173" spans="1:9" ht="20.25" customHeight="1">
      <c r="A173" s="10" t="s">
        <v>84</v>
      </c>
      <c r="B173" s="29" t="s">
        <v>667</v>
      </c>
      <c r="C173" s="29" t="s">
        <v>17</v>
      </c>
      <c r="D173" s="29" t="s">
        <v>123</v>
      </c>
      <c r="E173" s="29" t="s">
        <v>202</v>
      </c>
      <c r="F173" s="37" t="s">
        <v>85</v>
      </c>
      <c r="G173" s="31">
        <f>63551+2850</f>
        <v>66401</v>
      </c>
      <c r="H173" s="116"/>
      <c r="I173" s="31">
        <f t="shared" si="1"/>
        <v>66401</v>
      </c>
    </row>
    <row r="174" spans="1:9" ht="24.75" customHeight="1" hidden="1">
      <c r="A174" s="16" t="s">
        <v>144</v>
      </c>
      <c r="B174" s="29" t="s">
        <v>667</v>
      </c>
      <c r="C174" s="29" t="s">
        <v>17</v>
      </c>
      <c r="D174" s="29" t="s">
        <v>123</v>
      </c>
      <c r="E174" s="29" t="s">
        <v>203</v>
      </c>
      <c r="F174" s="37"/>
      <c r="G174" s="31">
        <f>G175</f>
        <v>0</v>
      </c>
      <c r="H174" s="116"/>
      <c r="I174" s="31">
        <f t="shared" si="1"/>
        <v>0</v>
      </c>
    </row>
    <row r="175" spans="1:9" ht="35.25" customHeight="1" hidden="1">
      <c r="A175" s="35" t="s">
        <v>38</v>
      </c>
      <c r="B175" s="29" t="s">
        <v>667</v>
      </c>
      <c r="C175" s="29" t="s">
        <v>17</v>
      </c>
      <c r="D175" s="29" t="s">
        <v>123</v>
      </c>
      <c r="E175" s="29" t="s">
        <v>203</v>
      </c>
      <c r="F175" s="37" t="s">
        <v>39</v>
      </c>
      <c r="G175" s="31"/>
      <c r="H175" s="116"/>
      <c r="I175" s="31">
        <f t="shared" si="1"/>
        <v>0</v>
      </c>
    </row>
    <row r="176" spans="1:9" ht="39.75" customHeight="1">
      <c r="A176" s="63" t="s">
        <v>204</v>
      </c>
      <c r="B176" s="29" t="s">
        <v>667</v>
      </c>
      <c r="C176" s="29" t="s">
        <v>17</v>
      </c>
      <c r="D176" s="29" t="s">
        <v>123</v>
      </c>
      <c r="E176" s="29" t="s">
        <v>205</v>
      </c>
      <c r="F176" s="37"/>
      <c r="G176" s="31">
        <f>G177</f>
        <v>150000</v>
      </c>
      <c r="H176" s="116"/>
      <c r="I176" s="31">
        <f t="shared" si="1"/>
        <v>150000</v>
      </c>
    </row>
    <row r="177" spans="1:9" ht="30" customHeight="1">
      <c r="A177" s="35" t="s">
        <v>38</v>
      </c>
      <c r="B177" s="29" t="s">
        <v>667</v>
      </c>
      <c r="C177" s="29" t="s">
        <v>17</v>
      </c>
      <c r="D177" s="29" t="s">
        <v>123</v>
      </c>
      <c r="E177" s="29" t="s">
        <v>205</v>
      </c>
      <c r="F177" s="37" t="s">
        <v>39</v>
      </c>
      <c r="G177" s="31">
        <f>50000+100000</f>
        <v>150000</v>
      </c>
      <c r="H177" s="116"/>
      <c r="I177" s="31">
        <f t="shared" si="1"/>
        <v>150000</v>
      </c>
    </row>
    <row r="178" spans="1:9" ht="26.25" hidden="1">
      <c r="A178" s="16" t="s">
        <v>206</v>
      </c>
      <c r="B178" s="29" t="s">
        <v>667</v>
      </c>
      <c r="C178" s="57" t="s">
        <v>17</v>
      </c>
      <c r="D178" s="29" t="s">
        <v>123</v>
      </c>
      <c r="E178" s="47" t="s">
        <v>207</v>
      </c>
      <c r="F178" s="37"/>
      <c r="G178" s="31">
        <f>G179</f>
        <v>0</v>
      </c>
      <c r="H178" s="116"/>
      <c r="I178" s="31">
        <f t="shared" si="1"/>
        <v>0</v>
      </c>
    </row>
    <row r="179" spans="1:9" ht="15" hidden="1">
      <c r="A179" s="35" t="s">
        <v>114</v>
      </c>
      <c r="B179" s="29" t="s">
        <v>667</v>
      </c>
      <c r="C179" s="57" t="s">
        <v>17</v>
      </c>
      <c r="D179" s="29" t="s">
        <v>123</v>
      </c>
      <c r="E179" s="47" t="s">
        <v>208</v>
      </c>
      <c r="F179" s="37"/>
      <c r="G179" s="31">
        <f>G180</f>
        <v>0</v>
      </c>
      <c r="H179" s="116"/>
      <c r="I179" s="31">
        <f t="shared" si="1"/>
        <v>0</v>
      </c>
    </row>
    <row r="180" spans="1:9" ht="15" hidden="1">
      <c r="A180" s="35" t="s">
        <v>209</v>
      </c>
      <c r="B180" s="29" t="s">
        <v>667</v>
      </c>
      <c r="C180" s="57" t="s">
        <v>17</v>
      </c>
      <c r="D180" s="29" t="s">
        <v>123</v>
      </c>
      <c r="E180" s="47" t="s">
        <v>210</v>
      </c>
      <c r="F180" s="37"/>
      <c r="G180" s="31">
        <f>G181</f>
        <v>0</v>
      </c>
      <c r="H180" s="116"/>
      <c r="I180" s="31">
        <f t="shared" si="1"/>
        <v>0</v>
      </c>
    </row>
    <row r="181" spans="1:9" ht="15" hidden="1">
      <c r="A181" s="48" t="s">
        <v>211</v>
      </c>
      <c r="B181" s="29" t="s">
        <v>667</v>
      </c>
      <c r="C181" s="57" t="s">
        <v>17</v>
      </c>
      <c r="D181" s="29" t="s">
        <v>123</v>
      </c>
      <c r="E181" s="47" t="s">
        <v>210</v>
      </c>
      <c r="F181" s="37" t="s">
        <v>212</v>
      </c>
      <c r="G181" s="31"/>
      <c r="H181" s="116"/>
      <c r="I181" s="31">
        <f t="shared" si="1"/>
        <v>0</v>
      </c>
    </row>
    <row r="182" spans="1:9" ht="32.25" customHeight="1">
      <c r="A182" s="16" t="s">
        <v>213</v>
      </c>
      <c r="B182" s="29" t="s">
        <v>667</v>
      </c>
      <c r="C182" s="29" t="s">
        <v>29</v>
      </c>
      <c r="D182" s="29" t="s">
        <v>214</v>
      </c>
      <c r="E182" s="47"/>
      <c r="F182" s="37"/>
      <c r="G182" s="31">
        <f>G183</f>
        <v>443000</v>
      </c>
      <c r="H182" s="116"/>
      <c r="I182" s="31">
        <f t="shared" si="1"/>
        <v>443000</v>
      </c>
    </row>
    <row r="183" spans="1:9" ht="37.5" customHeight="1">
      <c r="A183" s="10" t="s">
        <v>215</v>
      </c>
      <c r="B183" s="29" t="s">
        <v>667</v>
      </c>
      <c r="C183" s="29" t="s">
        <v>29</v>
      </c>
      <c r="D183" s="29" t="s">
        <v>216</v>
      </c>
      <c r="E183" s="47"/>
      <c r="F183" s="37"/>
      <c r="G183" s="31">
        <f>G184</f>
        <v>443000</v>
      </c>
      <c r="H183" s="116"/>
      <c r="I183" s="31">
        <f t="shared" si="1"/>
        <v>443000</v>
      </c>
    </row>
    <row r="184" spans="1:9" ht="54.75" customHeight="1">
      <c r="A184" s="13" t="s">
        <v>217</v>
      </c>
      <c r="B184" s="29" t="s">
        <v>667</v>
      </c>
      <c r="C184" s="29" t="s">
        <v>29</v>
      </c>
      <c r="D184" s="29" t="s">
        <v>216</v>
      </c>
      <c r="E184" s="50" t="s">
        <v>218</v>
      </c>
      <c r="F184" s="37"/>
      <c r="G184" s="31">
        <f>G185</f>
        <v>443000</v>
      </c>
      <c r="H184" s="116"/>
      <c r="I184" s="31">
        <f t="shared" si="1"/>
        <v>443000</v>
      </c>
    </row>
    <row r="185" spans="1:9" ht="107.25" customHeight="1">
      <c r="A185" s="59" t="s">
        <v>219</v>
      </c>
      <c r="B185" s="29" t="s">
        <v>667</v>
      </c>
      <c r="C185" s="29" t="s">
        <v>29</v>
      </c>
      <c r="D185" s="29" t="s">
        <v>216</v>
      </c>
      <c r="E185" s="50" t="s">
        <v>220</v>
      </c>
      <c r="F185" s="37"/>
      <c r="G185" s="31">
        <f>G186+G189+G192+G195+G198</f>
        <v>443000</v>
      </c>
      <c r="H185" s="116"/>
      <c r="I185" s="31">
        <f t="shared" si="1"/>
        <v>443000</v>
      </c>
    </row>
    <row r="186" spans="1:9" ht="0.75" customHeight="1" hidden="1">
      <c r="A186" s="59" t="s">
        <v>221</v>
      </c>
      <c r="B186" s="29" t="s">
        <v>667</v>
      </c>
      <c r="C186" s="29" t="s">
        <v>29</v>
      </c>
      <c r="D186" s="29" t="s">
        <v>216</v>
      </c>
      <c r="E186" s="50" t="s">
        <v>222</v>
      </c>
      <c r="F186" s="37"/>
      <c r="G186" s="31">
        <f>G187</f>
        <v>0</v>
      </c>
      <c r="H186" s="116"/>
      <c r="I186" s="31">
        <f t="shared" si="1"/>
        <v>0</v>
      </c>
    </row>
    <row r="187" spans="1:9" ht="39" customHeight="1" hidden="1">
      <c r="A187" s="35" t="s">
        <v>223</v>
      </c>
      <c r="B187" s="29" t="s">
        <v>667</v>
      </c>
      <c r="C187" s="29" t="s">
        <v>29</v>
      </c>
      <c r="D187" s="29" t="s">
        <v>216</v>
      </c>
      <c r="E187" s="50" t="s">
        <v>224</v>
      </c>
      <c r="F187" s="37"/>
      <c r="G187" s="31">
        <f>G188</f>
        <v>0</v>
      </c>
      <c r="H187" s="116"/>
      <c r="I187" s="31">
        <f t="shared" si="1"/>
        <v>0</v>
      </c>
    </row>
    <row r="188" spans="1:9" ht="26.25" customHeight="1" hidden="1">
      <c r="A188" s="35" t="s">
        <v>38</v>
      </c>
      <c r="B188" s="29" t="s">
        <v>667</v>
      </c>
      <c r="C188" s="29" t="s">
        <v>29</v>
      </c>
      <c r="D188" s="29" t="s">
        <v>216</v>
      </c>
      <c r="E188" s="50" t="s">
        <v>224</v>
      </c>
      <c r="F188" s="37" t="s">
        <v>39</v>
      </c>
      <c r="G188" s="31"/>
      <c r="H188" s="116"/>
      <c r="I188" s="31">
        <f t="shared" si="1"/>
        <v>0</v>
      </c>
    </row>
    <row r="189" spans="1:9" ht="84" customHeight="1">
      <c r="A189" s="59" t="s">
        <v>225</v>
      </c>
      <c r="B189" s="29" t="s">
        <v>667</v>
      </c>
      <c r="C189" s="29" t="s">
        <v>29</v>
      </c>
      <c r="D189" s="29" t="s">
        <v>216</v>
      </c>
      <c r="E189" s="50" t="s">
        <v>226</v>
      </c>
      <c r="F189" s="37"/>
      <c r="G189" s="31">
        <f>G190</f>
        <v>443000</v>
      </c>
      <c r="H189" s="116"/>
      <c r="I189" s="31">
        <f t="shared" si="1"/>
        <v>443000</v>
      </c>
    </row>
    <row r="190" spans="1:9" ht="48" customHeight="1">
      <c r="A190" s="35" t="s">
        <v>223</v>
      </c>
      <c r="B190" s="29" t="s">
        <v>667</v>
      </c>
      <c r="C190" s="29" t="s">
        <v>29</v>
      </c>
      <c r="D190" s="29" t="s">
        <v>216</v>
      </c>
      <c r="E190" s="50" t="s">
        <v>227</v>
      </c>
      <c r="F190" s="37"/>
      <c r="G190" s="31">
        <f>G191</f>
        <v>443000</v>
      </c>
      <c r="H190" s="116"/>
      <c r="I190" s="31">
        <f t="shared" si="1"/>
        <v>443000</v>
      </c>
    </row>
    <row r="191" spans="1:9" ht="29.25" customHeight="1">
      <c r="A191" s="35" t="s">
        <v>38</v>
      </c>
      <c r="B191" s="29" t="s">
        <v>667</v>
      </c>
      <c r="C191" s="29" t="s">
        <v>29</v>
      </c>
      <c r="D191" s="29" t="s">
        <v>216</v>
      </c>
      <c r="E191" s="50" t="s">
        <v>227</v>
      </c>
      <c r="F191" s="37" t="s">
        <v>39</v>
      </c>
      <c r="G191" s="31">
        <f>51000+322000+70000</f>
        <v>443000</v>
      </c>
      <c r="H191" s="116"/>
      <c r="I191" s="31">
        <f t="shared" si="1"/>
        <v>443000</v>
      </c>
    </row>
    <row r="192" spans="1:9" ht="43.5" customHeight="1" hidden="1">
      <c r="A192" s="59" t="s">
        <v>228</v>
      </c>
      <c r="B192" s="29" t="s">
        <v>667</v>
      </c>
      <c r="C192" s="29" t="s">
        <v>29</v>
      </c>
      <c r="D192" s="29" t="s">
        <v>248</v>
      </c>
      <c r="E192" s="50" t="s">
        <v>229</v>
      </c>
      <c r="F192" s="37"/>
      <c r="G192" s="31">
        <f>G193</f>
        <v>0</v>
      </c>
      <c r="H192" s="116"/>
      <c r="I192" s="31">
        <f t="shared" si="1"/>
        <v>0</v>
      </c>
    </row>
    <row r="193" spans="1:9" ht="51.75" hidden="1">
      <c r="A193" s="35" t="s">
        <v>223</v>
      </c>
      <c r="B193" s="29" t="s">
        <v>667</v>
      </c>
      <c r="C193" s="29" t="s">
        <v>29</v>
      </c>
      <c r="D193" s="29" t="s">
        <v>248</v>
      </c>
      <c r="E193" s="50" t="s">
        <v>230</v>
      </c>
      <c r="F193" s="37"/>
      <c r="G193" s="31">
        <f>G194</f>
        <v>0</v>
      </c>
      <c r="H193" s="116"/>
      <c r="I193" s="31">
        <f t="shared" si="1"/>
        <v>0</v>
      </c>
    </row>
    <row r="194" spans="1:9" ht="26.25" hidden="1">
      <c r="A194" s="35" t="s">
        <v>38</v>
      </c>
      <c r="B194" s="29" t="s">
        <v>667</v>
      </c>
      <c r="C194" s="29" t="s">
        <v>29</v>
      </c>
      <c r="D194" s="29" t="s">
        <v>248</v>
      </c>
      <c r="E194" s="50" t="s">
        <v>230</v>
      </c>
      <c r="F194" s="37" t="s">
        <v>39</v>
      </c>
      <c r="G194" s="31"/>
      <c r="H194" s="116"/>
      <c r="I194" s="31">
        <f t="shared" si="1"/>
        <v>0</v>
      </c>
    </row>
    <row r="195" spans="1:9" ht="25.5" hidden="1">
      <c r="A195" s="59" t="s">
        <v>231</v>
      </c>
      <c r="B195" s="29" t="s">
        <v>667</v>
      </c>
      <c r="C195" s="29" t="s">
        <v>29</v>
      </c>
      <c r="D195" s="29" t="s">
        <v>248</v>
      </c>
      <c r="E195" s="50" t="s">
        <v>232</v>
      </c>
      <c r="F195" s="37"/>
      <c r="G195" s="31">
        <f>G196</f>
        <v>0</v>
      </c>
      <c r="H195" s="116"/>
      <c r="I195" s="31">
        <f t="shared" si="1"/>
        <v>0</v>
      </c>
    </row>
    <row r="196" spans="1:9" ht="34.5" customHeight="1" hidden="1">
      <c r="A196" s="35" t="s">
        <v>223</v>
      </c>
      <c r="B196" s="29" t="s">
        <v>667</v>
      </c>
      <c r="C196" s="29" t="s">
        <v>29</v>
      </c>
      <c r="D196" s="29" t="s">
        <v>248</v>
      </c>
      <c r="E196" s="50" t="s">
        <v>670</v>
      </c>
      <c r="F196" s="37"/>
      <c r="G196" s="31">
        <f>G197</f>
        <v>0</v>
      </c>
      <c r="H196" s="116"/>
      <c r="I196" s="31">
        <f t="shared" si="1"/>
        <v>0</v>
      </c>
    </row>
    <row r="197" spans="1:9" ht="26.25" hidden="1">
      <c r="A197" s="35" t="s">
        <v>38</v>
      </c>
      <c r="B197" s="29" t="s">
        <v>667</v>
      </c>
      <c r="C197" s="29" t="s">
        <v>29</v>
      </c>
      <c r="D197" s="29" t="s">
        <v>248</v>
      </c>
      <c r="E197" s="50" t="s">
        <v>670</v>
      </c>
      <c r="F197" s="37" t="s">
        <v>39</v>
      </c>
      <c r="G197" s="31"/>
      <c r="H197" s="116"/>
      <c r="I197" s="31">
        <f t="shared" si="1"/>
        <v>0</v>
      </c>
    </row>
    <row r="198" spans="1:9" ht="38.25" hidden="1">
      <c r="A198" s="59" t="s">
        <v>234</v>
      </c>
      <c r="B198" s="29" t="s">
        <v>667</v>
      </c>
      <c r="C198" s="29" t="s">
        <v>29</v>
      </c>
      <c r="D198" s="29" t="s">
        <v>248</v>
      </c>
      <c r="E198" s="50" t="s">
        <v>235</v>
      </c>
      <c r="F198" s="37"/>
      <c r="G198" s="31">
        <f>G199</f>
        <v>0</v>
      </c>
      <c r="H198" s="116"/>
      <c r="I198" s="31">
        <f t="shared" si="1"/>
        <v>0</v>
      </c>
    </row>
    <row r="199" spans="1:9" ht="39" hidden="1">
      <c r="A199" s="35" t="s">
        <v>236</v>
      </c>
      <c r="B199" s="29" t="s">
        <v>667</v>
      </c>
      <c r="C199" s="29" t="s">
        <v>29</v>
      </c>
      <c r="D199" s="29" t="s">
        <v>248</v>
      </c>
      <c r="E199" s="50" t="s">
        <v>237</v>
      </c>
      <c r="F199" s="37"/>
      <c r="G199" s="31">
        <f>G200</f>
        <v>0</v>
      </c>
      <c r="H199" s="116"/>
      <c r="I199" s="31">
        <f t="shared" si="1"/>
        <v>0</v>
      </c>
    </row>
    <row r="200" spans="1:9" ht="26.25" hidden="1">
      <c r="A200" s="35" t="s">
        <v>38</v>
      </c>
      <c r="B200" s="29" t="s">
        <v>667</v>
      </c>
      <c r="C200" s="29" t="s">
        <v>29</v>
      </c>
      <c r="D200" s="29" t="s">
        <v>248</v>
      </c>
      <c r="E200" s="50" t="s">
        <v>237</v>
      </c>
      <c r="F200" s="37" t="s">
        <v>39</v>
      </c>
      <c r="G200" s="31"/>
      <c r="H200" s="116"/>
      <c r="I200" s="31">
        <f t="shared" si="1"/>
        <v>0</v>
      </c>
    </row>
    <row r="201" spans="1:9" ht="24.75" customHeight="1">
      <c r="A201" s="16" t="s">
        <v>238</v>
      </c>
      <c r="B201" s="29" t="s">
        <v>667</v>
      </c>
      <c r="C201" s="29" t="s">
        <v>42</v>
      </c>
      <c r="D201" s="29"/>
      <c r="E201" s="29"/>
      <c r="F201" s="30"/>
      <c r="G201" s="31">
        <f>G202+G209+G247</f>
        <v>21085217</v>
      </c>
      <c r="H201" s="31">
        <f>H202+H209+H247</f>
        <v>0</v>
      </c>
      <c r="I201" s="31">
        <f t="shared" si="1"/>
        <v>21085217</v>
      </c>
    </row>
    <row r="202" spans="1:9" ht="15">
      <c r="A202" s="16" t="s">
        <v>239</v>
      </c>
      <c r="B202" s="29" t="s">
        <v>667</v>
      </c>
      <c r="C202" s="29" t="s">
        <v>42</v>
      </c>
      <c r="D202" s="29" t="s">
        <v>240</v>
      </c>
      <c r="E202" s="29"/>
      <c r="F202" s="30"/>
      <c r="G202" s="31">
        <f>G203</f>
        <v>2882000</v>
      </c>
      <c r="H202" s="116"/>
      <c r="I202" s="31">
        <f t="shared" si="1"/>
        <v>2882000</v>
      </c>
    </row>
    <row r="203" spans="1:9" ht="69.75" customHeight="1">
      <c r="A203" s="62" t="s">
        <v>157</v>
      </c>
      <c r="B203" s="29" t="s">
        <v>667</v>
      </c>
      <c r="C203" s="29" t="s">
        <v>42</v>
      </c>
      <c r="D203" s="29" t="s">
        <v>240</v>
      </c>
      <c r="E203" s="50" t="s">
        <v>158</v>
      </c>
      <c r="F203" s="30"/>
      <c r="G203" s="31">
        <f>G204</f>
        <v>2882000</v>
      </c>
      <c r="H203" s="116"/>
      <c r="I203" s="31">
        <f t="shared" si="1"/>
        <v>2882000</v>
      </c>
    </row>
    <row r="204" spans="1:9" ht="78" customHeight="1">
      <c r="A204" s="67" t="s">
        <v>241</v>
      </c>
      <c r="B204" s="29" t="s">
        <v>667</v>
      </c>
      <c r="C204" s="29" t="s">
        <v>42</v>
      </c>
      <c r="D204" s="29" t="s">
        <v>240</v>
      </c>
      <c r="E204" s="50" t="s">
        <v>242</v>
      </c>
      <c r="F204" s="30"/>
      <c r="G204" s="31">
        <f>G205</f>
        <v>2882000</v>
      </c>
      <c r="H204" s="116"/>
      <c r="I204" s="31">
        <f t="shared" si="1"/>
        <v>2882000</v>
      </c>
    </row>
    <row r="205" spans="1:9" ht="44.25" customHeight="1">
      <c r="A205" s="10" t="s">
        <v>243</v>
      </c>
      <c r="B205" s="29" t="s">
        <v>667</v>
      </c>
      <c r="C205" s="29" t="s">
        <v>42</v>
      </c>
      <c r="D205" s="29" t="s">
        <v>240</v>
      </c>
      <c r="E205" s="50" t="s">
        <v>244</v>
      </c>
      <c r="F205" s="30"/>
      <c r="G205" s="31">
        <f>G206</f>
        <v>2882000</v>
      </c>
      <c r="H205" s="116"/>
      <c r="I205" s="31">
        <f t="shared" si="1"/>
        <v>2882000</v>
      </c>
    </row>
    <row r="206" spans="1:9" ht="15" customHeight="1">
      <c r="A206" s="16" t="s">
        <v>245</v>
      </c>
      <c r="B206" s="29" t="s">
        <v>667</v>
      </c>
      <c r="C206" s="29" t="s">
        <v>42</v>
      </c>
      <c r="D206" s="29" t="s">
        <v>240</v>
      </c>
      <c r="E206" s="50" t="s">
        <v>246</v>
      </c>
      <c r="F206" s="30"/>
      <c r="G206" s="31">
        <f>G208+G207</f>
        <v>2882000</v>
      </c>
      <c r="H206" s="116"/>
      <c r="I206" s="31">
        <f t="shared" si="1"/>
        <v>2882000</v>
      </c>
    </row>
    <row r="207" spans="1:9" ht="26.25" hidden="1">
      <c r="A207" s="35" t="s">
        <v>38</v>
      </c>
      <c r="B207" s="29" t="s">
        <v>667</v>
      </c>
      <c r="C207" s="29" t="s">
        <v>42</v>
      </c>
      <c r="D207" s="29" t="s">
        <v>240</v>
      </c>
      <c r="E207" s="50" t="s">
        <v>246</v>
      </c>
      <c r="F207" s="30" t="s">
        <v>39</v>
      </c>
      <c r="G207" s="31"/>
      <c r="H207" s="116"/>
      <c r="I207" s="31">
        <f t="shared" si="1"/>
        <v>0</v>
      </c>
    </row>
    <row r="208" spans="1:9" ht="15">
      <c r="A208" s="35" t="s">
        <v>84</v>
      </c>
      <c r="B208" s="29" t="s">
        <v>667</v>
      </c>
      <c r="C208" s="29" t="s">
        <v>42</v>
      </c>
      <c r="D208" s="29" t="s">
        <v>240</v>
      </c>
      <c r="E208" s="50" t="s">
        <v>246</v>
      </c>
      <c r="F208" s="30" t="s">
        <v>85</v>
      </c>
      <c r="G208" s="31">
        <f>1589000+1293000</f>
        <v>2882000</v>
      </c>
      <c r="H208" s="116"/>
      <c r="I208" s="31">
        <f t="shared" si="1"/>
        <v>2882000</v>
      </c>
    </row>
    <row r="209" spans="1:9" ht="15">
      <c r="A209" s="16" t="s">
        <v>247</v>
      </c>
      <c r="B209" s="29" t="s">
        <v>667</v>
      </c>
      <c r="C209" s="29" t="s">
        <v>42</v>
      </c>
      <c r="D209" s="29" t="s">
        <v>248</v>
      </c>
      <c r="E209" s="29"/>
      <c r="F209" s="30"/>
      <c r="G209" s="31">
        <f>G210</f>
        <v>16956717</v>
      </c>
      <c r="H209" s="31">
        <f>H210</f>
        <v>0</v>
      </c>
      <c r="I209" s="31">
        <f>G209+H209</f>
        <v>16956717</v>
      </c>
    </row>
    <row r="210" spans="1:9" ht="55.5" customHeight="1">
      <c r="A210" s="62" t="s">
        <v>157</v>
      </c>
      <c r="B210" s="29" t="s">
        <v>667</v>
      </c>
      <c r="C210" s="29" t="s">
        <v>42</v>
      </c>
      <c r="D210" s="29" t="s">
        <v>248</v>
      </c>
      <c r="E210" s="50" t="s">
        <v>158</v>
      </c>
      <c r="F210" s="30"/>
      <c r="G210" s="31">
        <f>G211+G241</f>
        <v>16956717</v>
      </c>
      <c r="H210" s="31">
        <f>H211</f>
        <v>0</v>
      </c>
      <c r="I210" s="31">
        <f>I211+I241</f>
        <v>16956717</v>
      </c>
    </row>
    <row r="211" spans="1:9" ht="89.25">
      <c r="A211" s="63" t="s">
        <v>249</v>
      </c>
      <c r="B211" s="29" t="s">
        <v>667</v>
      </c>
      <c r="C211" s="29" t="s">
        <v>42</v>
      </c>
      <c r="D211" s="29" t="s">
        <v>248</v>
      </c>
      <c r="E211" s="50" t="s">
        <v>250</v>
      </c>
      <c r="F211" s="30"/>
      <c r="G211" s="31">
        <f>G212+G234</f>
        <v>16956717</v>
      </c>
      <c r="H211" s="31">
        <f>H212+H234</f>
        <v>0</v>
      </c>
      <c r="I211" s="31">
        <f>G211+H211</f>
        <v>16956717</v>
      </c>
    </row>
    <row r="212" spans="1:9" ht="38.25">
      <c r="A212" s="10" t="s">
        <v>251</v>
      </c>
      <c r="B212" s="29" t="s">
        <v>667</v>
      </c>
      <c r="C212" s="29" t="s">
        <v>42</v>
      </c>
      <c r="D212" s="29" t="s">
        <v>248</v>
      </c>
      <c r="E212" s="50" t="s">
        <v>252</v>
      </c>
      <c r="F212" s="30"/>
      <c r="G212" s="31">
        <f>G215+G222+G231+G213+G229</f>
        <v>16646696.000000002</v>
      </c>
      <c r="H212" s="31">
        <f>H215+H222+H231+H213+H229</f>
        <v>0</v>
      </c>
      <c r="I212" s="31">
        <f>G212+H212</f>
        <v>16646696.000000002</v>
      </c>
    </row>
    <row r="213" spans="1:9" ht="38.25">
      <c r="A213" s="10" t="s">
        <v>273</v>
      </c>
      <c r="B213" s="29" t="s">
        <v>667</v>
      </c>
      <c r="C213" s="29" t="s">
        <v>42</v>
      </c>
      <c r="D213" s="29" t="s">
        <v>248</v>
      </c>
      <c r="E213" s="50" t="s">
        <v>744</v>
      </c>
      <c r="F213" s="30"/>
      <c r="G213" s="31">
        <f>G214</f>
        <v>6761132</v>
      </c>
      <c r="H213" s="116"/>
      <c r="I213" s="31">
        <f>G213+H213</f>
        <v>6761132</v>
      </c>
    </row>
    <row r="214" spans="1:9" ht="26.25">
      <c r="A214" s="35" t="s">
        <v>92</v>
      </c>
      <c r="B214" s="29" t="s">
        <v>667</v>
      </c>
      <c r="C214" s="29" t="s">
        <v>42</v>
      </c>
      <c r="D214" s="29" t="s">
        <v>248</v>
      </c>
      <c r="E214" s="50" t="s">
        <v>744</v>
      </c>
      <c r="F214" s="30" t="s">
        <v>39</v>
      </c>
      <c r="G214" s="31">
        <f>557166+6203966</f>
        <v>6761132</v>
      </c>
      <c r="H214" s="116"/>
      <c r="I214" s="31">
        <f>G214+H214</f>
        <v>6761132</v>
      </c>
    </row>
    <row r="215" spans="1:12" ht="15">
      <c r="A215" s="35" t="s">
        <v>253</v>
      </c>
      <c r="B215" s="29" t="s">
        <v>667</v>
      </c>
      <c r="C215" s="29" t="s">
        <v>42</v>
      </c>
      <c r="D215" s="29" t="s">
        <v>248</v>
      </c>
      <c r="E215" s="50" t="s">
        <v>254</v>
      </c>
      <c r="F215" s="30"/>
      <c r="G215" s="31">
        <f>G216+G218+G220</f>
        <v>1800000</v>
      </c>
      <c r="H215" s="116"/>
      <c r="I215" s="31">
        <f t="shared" si="1"/>
        <v>1800000</v>
      </c>
      <c r="L215" s="123"/>
    </row>
    <row r="216" spans="1:12" ht="38.25">
      <c r="A216" s="64" t="s">
        <v>255</v>
      </c>
      <c r="B216" s="29" t="s">
        <v>667</v>
      </c>
      <c r="C216" s="29" t="s">
        <v>42</v>
      </c>
      <c r="D216" s="29" t="s">
        <v>248</v>
      </c>
      <c r="E216" s="50" t="s">
        <v>256</v>
      </c>
      <c r="F216" s="30"/>
      <c r="G216" s="31">
        <f>G217</f>
        <v>1800000</v>
      </c>
      <c r="H216" s="116"/>
      <c r="I216" s="31">
        <f t="shared" si="1"/>
        <v>1800000</v>
      </c>
      <c r="L216" s="123"/>
    </row>
    <row r="217" spans="1:9" ht="24.75" customHeight="1">
      <c r="A217" s="35" t="s">
        <v>92</v>
      </c>
      <c r="B217" s="29" t="s">
        <v>667</v>
      </c>
      <c r="C217" s="29" t="s">
        <v>42</v>
      </c>
      <c r="D217" s="29" t="s">
        <v>248</v>
      </c>
      <c r="E217" s="50" t="s">
        <v>256</v>
      </c>
      <c r="F217" s="30" t="s">
        <v>39</v>
      </c>
      <c r="G217" s="31">
        <v>1800000</v>
      </c>
      <c r="H217" s="116"/>
      <c r="I217" s="31">
        <f t="shared" si="1"/>
        <v>1800000</v>
      </c>
    </row>
    <row r="218" spans="1:12" ht="15" hidden="1">
      <c r="A218" s="64"/>
      <c r="B218" s="29" t="s">
        <v>667</v>
      </c>
      <c r="C218" s="29" t="s">
        <v>42</v>
      </c>
      <c r="D218" s="29" t="s">
        <v>248</v>
      </c>
      <c r="E218" s="50" t="s">
        <v>257</v>
      </c>
      <c r="F218" s="30"/>
      <c r="G218" s="31">
        <f>G219</f>
        <v>0</v>
      </c>
      <c r="H218" s="116"/>
      <c r="I218" s="31">
        <f>G218+H218</f>
        <v>0</v>
      </c>
      <c r="L218" s="123"/>
    </row>
    <row r="219" spans="1:9" ht="26.25" hidden="1">
      <c r="A219" s="35" t="s">
        <v>92</v>
      </c>
      <c r="B219" s="29" t="s">
        <v>667</v>
      </c>
      <c r="C219" s="29" t="s">
        <v>42</v>
      </c>
      <c r="D219" s="29" t="s">
        <v>248</v>
      </c>
      <c r="E219" s="50" t="s">
        <v>257</v>
      </c>
      <c r="F219" s="30" t="s">
        <v>39</v>
      </c>
      <c r="G219" s="31"/>
      <c r="H219" s="116"/>
      <c r="I219" s="31">
        <f>G219+H219</f>
        <v>0</v>
      </c>
    </row>
    <row r="220" spans="1:12" ht="15" hidden="1">
      <c r="A220" s="64"/>
      <c r="B220" s="29" t="s">
        <v>667</v>
      </c>
      <c r="C220" s="29" t="s">
        <v>42</v>
      </c>
      <c r="D220" s="29" t="s">
        <v>248</v>
      </c>
      <c r="E220" s="50" t="s">
        <v>258</v>
      </c>
      <c r="F220" s="30"/>
      <c r="G220" s="31">
        <f>G221</f>
        <v>0</v>
      </c>
      <c r="H220" s="116"/>
      <c r="I220" s="31">
        <f>G220+H220</f>
        <v>0</v>
      </c>
      <c r="L220" s="123"/>
    </row>
    <row r="221" spans="1:9" ht="26.25" hidden="1">
      <c r="A221" s="35" t="s">
        <v>92</v>
      </c>
      <c r="B221" s="29" t="s">
        <v>667</v>
      </c>
      <c r="C221" s="29" t="s">
        <v>42</v>
      </c>
      <c r="D221" s="29" t="s">
        <v>248</v>
      </c>
      <c r="E221" s="50" t="s">
        <v>258</v>
      </c>
      <c r="F221" s="30" t="s">
        <v>39</v>
      </c>
      <c r="G221" s="31"/>
      <c r="H221" s="116"/>
      <c r="I221" s="31">
        <f>G221+H221</f>
        <v>0</v>
      </c>
    </row>
    <row r="222" spans="1:9" ht="26.25">
      <c r="A222" s="35" t="s">
        <v>259</v>
      </c>
      <c r="B222" s="29" t="s">
        <v>667</v>
      </c>
      <c r="C222" s="29" t="s">
        <v>42</v>
      </c>
      <c r="D222" s="29" t="s">
        <v>248</v>
      </c>
      <c r="E222" s="50" t="s">
        <v>260</v>
      </c>
      <c r="F222" s="30"/>
      <c r="G222" s="31">
        <f>G223+G225+G227</f>
        <v>5854698.98</v>
      </c>
      <c r="H222" s="31"/>
      <c r="I222" s="31">
        <f t="shared" si="1"/>
        <v>5854698.98</v>
      </c>
    </row>
    <row r="223" spans="1:13" ht="38.25">
      <c r="A223" s="64" t="s">
        <v>255</v>
      </c>
      <c r="B223" s="29" t="s">
        <v>667</v>
      </c>
      <c r="C223" s="29" t="s">
        <v>42</v>
      </c>
      <c r="D223" s="29" t="s">
        <v>248</v>
      </c>
      <c r="E223" s="50" t="s">
        <v>261</v>
      </c>
      <c r="F223" s="30"/>
      <c r="G223" s="31">
        <f>G224</f>
        <v>5854698.98</v>
      </c>
      <c r="H223" s="31"/>
      <c r="I223" s="31">
        <f t="shared" si="1"/>
        <v>5854698.98</v>
      </c>
      <c r="L223" s="124"/>
      <c r="M223" s="124"/>
    </row>
    <row r="224" spans="1:9" ht="26.25">
      <c r="A224" s="35" t="s">
        <v>92</v>
      </c>
      <c r="B224" s="29" t="s">
        <v>667</v>
      </c>
      <c r="C224" s="29" t="s">
        <v>42</v>
      </c>
      <c r="D224" s="29" t="s">
        <v>248</v>
      </c>
      <c r="E224" s="50" t="s">
        <v>261</v>
      </c>
      <c r="F224" s="30" t="s">
        <v>39</v>
      </c>
      <c r="G224" s="31">
        <f>6079136.48-224437.5</f>
        <v>5854698.98</v>
      </c>
      <c r="H224" s="31"/>
      <c r="I224" s="31">
        <f t="shared" si="1"/>
        <v>5854698.98</v>
      </c>
    </row>
    <row r="225" spans="1:9" ht="15" hidden="1">
      <c r="A225" s="64"/>
      <c r="B225" s="29" t="s">
        <v>667</v>
      </c>
      <c r="C225" s="29" t="s">
        <v>42</v>
      </c>
      <c r="D225" s="29" t="s">
        <v>248</v>
      </c>
      <c r="E225" s="50" t="s">
        <v>262</v>
      </c>
      <c r="F225" s="30"/>
      <c r="G225" s="31">
        <f>G226</f>
        <v>0</v>
      </c>
      <c r="H225" s="31"/>
      <c r="I225" s="31">
        <f t="shared" si="1"/>
        <v>0</v>
      </c>
    </row>
    <row r="226" spans="1:9" ht="26.25" hidden="1">
      <c r="A226" s="35" t="s">
        <v>92</v>
      </c>
      <c r="B226" s="29" t="s">
        <v>667</v>
      </c>
      <c r="C226" s="29" t="s">
        <v>42</v>
      </c>
      <c r="D226" s="29" t="s">
        <v>248</v>
      </c>
      <c r="E226" s="50" t="s">
        <v>262</v>
      </c>
      <c r="F226" s="30" t="s">
        <v>39</v>
      </c>
      <c r="G226" s="65"/>
      <c r="H226" s="31"/>
      <c r="I226" s="31">
        <f t="shared" si="1"/>
        <v>0</v>
      </c>
    </row>
    <row r="227" spans="1:9" ht="15" hidden="1">
      <c r="A227" s="64"/>
      <c r="B227" s="29" t="s">
        <v>667</v>
      </c>
      <c r="C227" s="29" t="s">
        <v>42</v>
      </c>
      <c r="D227" s="29" t="s">
        <v>248</v>
      </c>
      <c r="E227" s="50" t="s">
        <v>263</v>
      </c>
      <c r="F227" s="30"/>
      <c r="G227" s="31">
        <f>G228</f>
        <v>0</v>
      </c>
      <c r="H227" s="31"/>
      <c r="I227" s="31">
        <f t="shared" si="1"/>
        <v>0</v>
      </c>
    </row>
    <row r="228" spans="1:9" ht="26.25">
      <c r="A228" s="35" t="s">
        <v>92</v>
      </c>
      <c r="B228" s="29" t="s">
        <v>667</v>
      </c>
      <c r="C228" s="29" t="s">
        <v>42</v>
      </c>
      <c r="D228" s="29" t="s">
        <v>248</v>
      </c>
      <c r="E228" s="50" t="s">
        <v>263</v>
      </c>
      <c r="F228" s="30" t="s">
        <v>39</v>
      </c>
      <c r="G228" s="31"/>
      <c r="H228" s="31"/>
      <c r="I228" s="31">
        <f t="shared" si="1"/>
        <v>0</v>
      </c>
    </row>
    <row r="229" spans="1:9" ht="51">
      <c r="A229" s="10" t="s">
        <v>275</v>
      </c>
      <c r="B229" s="29" t="s">
        <v>667</v>
      </c>
      <c r="C229" s="29" t="s">
        <v>42</v>
      </c>
      <c r="D229" s="29" t="s">
        <v>248</v>
      </c>
      <c r="E229" s="50" t="s">
        <v>266</v>
      </c>
      <c r="F229" s="30"/>
      <c r="G229" s="31">
        <f>G230</f>
        <v>137983.4</v>
      </c>
      <c r="H229" s="116"/>
      <c r="I229" s="31">
        <f aca="true" t="shared" si="2" ref="I229:I234">G229+H229</f>
        <v>137983.4</v>
      </c>
    </row>
    <row r="230" spans="1:9" ht="33.75" customHeight="1">
      <c r="A230" s="35" t="s">
        <v>92</v>
      </c>
      <c r="B230" s="29" t="s">
        <v>667</v>
      </c>
      <c r="C230" s="29" t="s">
        <v>42</v>
      </c>
      <c r="D230" s="29" t="s">
        <v>248</v>
      </c>
      <c r="E230" s="50" t="s">
        <v>266</v>
      </c>
      <c r="F230" s="30" t="s">
        <v>39</v>
      </c>
      <c r="G230" s="31">
        <f>11371+126612.4</f>
        <v>137983.4</v>
      </c>
      <c r="H230" s="116"/>
      <c r="I230" s="31">
        <f t="shared" si="2"/>
        <v>137983.4</v>
      </c>
    </row>
    <row r="231" spans="1:9" ht="39">
      <c r="A231" s="35" t="s">
        <v>264</v>
      </c>
      <c r="B231" s="29" t="s">
        <v>667</v>
      </c>
      <c r="C231" s="29" t="s">
        <v>42</v>
      </c>
      <c r="D231" s="29" t="s">
        <v>248</v>
      </c>
      <c r="E231" s="50" t="s">
        <v>265</v>
      </c>
      <c r="F231" s="30"/>
      <c r="G231" s="31">
        <f>G232+G233</f>
        <v>2092881.62</v>
      </c>
      <c r="H231" s="116"/>
      <c r="I231" s="31">
        <f t="shared" si="2"/>
        <v>2092881.62</v>
      </c>
    </row>
    <row r="232" spans="1:9" ht="24.75" customHeight="1">
      <c r="A232" s="35" t="s">
        <v>92</v>
      </c>
      <c r="B232" s="29" t="s">
        <v>667</v>
      </c>
      <c r="C232" s="29" t="s">
        <v>42</v>
      </c>
      <c r="D232" s="29" t="s">
        <v>248</v>
      </c>
      <c r="E232" s="50" t="s">
        <v>265</v>
      </c>
      <c r="F232" s="30" t="s">
        <v>39</v>
      </c>
      <c r="G232" s="31">
        <f>500000+1642325.52-191569.27+97825.1</f>
        <v>2048581.35</v>
      </c>
      <c r="H232" s="116"/>
      <c r="I232" s="31">
        <f t="shared" si="2"/>
        <v>2048581.35</v>
      </c>
    </row>
    <row r="233" spans="1:9" ht="24.75" customHeight="1">
      <c r="A233" s="35" t="s">
        <v>84</v>
      </c>
      <c r="B233" s="29" t="s">
        <v>667</v>
      </c>
      <c r="C233" s="29" t="s">
        <v>42</v>
      </c>
      <c r="D233" s="29" t="s">
        <v>248</v>
      </c>
      <c r="E233" s="50" t="s">
        <v>265</v>
      </c>
      <c r="F233" s="30" t="s">
        <v>85</v>
      </c>
      <c r="G233" s="31">
        <v>44300.27</v>
      </c>
      <c r="H233" s="116"/>
      <c r="I233" s="31">
        <f t="shared" si="2"/>
        <v>44300.27</v>
      </c>
    </row>
    <row r="234" spans="1:9" ht="37.5" customHeight="1">
      <c r="A234" s="10" t="s">
        <v>267</v>
      </c>
      <c r="B234" s="29" t="s">
        <v>667</v>
      </c>
      <c r="C234" s="29" t="s">
        <v>42</v>
      </c>
      <c r="D234" s="29" t="s">
        <v>248</v>
      </c>
      <c r="E234" s="50" t="s">
        <v>268</v>
      </c>
      <c r="F234" s="30"/>
      <c r="G234" s="31">
        <f>G235+G239+G237</f>
        <v>310021</v>
      </c>
      <c r="H234" s="31"/>
      <c r="I234" s="31">
        <f t="shared" si="2"/>
        <v>310021</v>
      </c>
    </row>
    <row r="235" spans="1:9" ht="26.25">
      <c r="A235" s="35" t="s">
        <v>269</v>
      </c>
      <c r="B235" s="29" t="s">
        <v>667</v>
      </c>
      <c r="C235" s="29" t="s">
        <v>42</v>
      </c>
      <c r="D235" s="29" t="s">
        <v>248</v>
      </c>
      <c r="E235" s="50" t="s">
        <v>270</v>
      </c>
      <c r="F235" s="30"/>
      <c r="G235" s="31">
        <f>G236</f>
        <v>300000</v>
      </c>
      <c r="H235" s="116"/>
      <c r="I235" s="31">
        <f t="shared" si="1"/>
        <v>300000</v>
      </c>
    </row>
    <row r="236" spans="1:9" ht="26.25">
      <c r="A236" s="16" t="s">
        <v>271</v>
      </c>
      <c r="B236" s="29" t="s">
        <v>667</v>
      </c>
      <c r="C236" s="29" t="s">
        <v>42</v>
      </c>
      <c r="D236" s="29" t="s">
        <v>248</v>
      </c>
      <c r="E236" s="50" t="s">
        <v>270</v>
      </c>
      <c r="F236" s="30" t="s">
        <v>272</v>
      </c>
      <c r="G236" s="31">
        <v>300000</v>
      </c>
      <c r="H236" s="116"/>
      <c r="I236" s="31">
        <f t="shared" si="1"/>
        <v>300000</v>
      </c>
    </row>
    <row r="237" spans="1:9" ht="38.25" hidden="1">
      <c r="A237" s="10" t="s">
        <v>273</v>
      </c>
      <c r="B237" s="29" t="s">
        <v>667</v>
      </c>
      <c r="C237" s="29" t="s">
        <v>42</v>
      </c>
      <c r="D237" s="29" t="s">
        <v>248</v>
      </c>
      <c r="E237" s="50" t="s">
        <v>274</v>
      </c>
      <c r="F237" s="30"/>
      <c r="G237" s="31">
        <f>G238</f>
        <v>0</v>
      </c>
      <c r="H237" s="116"/>
      <c r="I237" s="31">
        <f t="shared" si="1"/>
        <v>0</v>
      </c>
    </row>
    <row r="238" spans="1:9" ht="26.25" hidden="1">
      <c r="A238" s="16" t="s">
        <v>271</v>
      </c>
      <c r="B238" s="29" t="s">
        <v>667</v>
      </c>
      <c r="C238" s="29" t="s">
        <v>42</v>
      </c>
      <c r="D238" s="29" t="s">
        <v>248</v>
      </c>
      <c r="E238" s="50" t="s">
        <v>274</v>
      </c>
      <c r="F238" s="30" t="s">
        <v>272</v>
      </c>
      <c r="G238" s="31">
        <f>491047-491047</f>
        <v>0</v>
      </c>
      <c r="H238" s="116"/>
      <c r="I238" s="31">
        <f t="shared" si="1"/>
        <v>0</v>
      </c>
    </row>
    <row r="239" spans="1:9" ht="51">
      <c r="A239" s="10" t="s">
        <v>275</v>
      </c>
      <c r="B239" s="29" t="s">
        <v>667</v>
      </c>
      <c r="C239" s="29" t="s">
        <v>42</v>
      </c>
      <c r="D239" s="29" t="s">
        <v>248</v>
      </c>
      <c r="E239" s="50" t="s">
        <v>276</v>
      </c>
      <c r="F239" s="30"/>
      <c r="G239" s="31">
        <f>G240</f>
        <v>10021</v>
      </c>
      <c r="H239" s="116"/>
      <c r="I239" s="31">
        <f t="shared" si="1"/>
        <v>10021</v>
      </c>
    </row>
    <row r="240" spans="1:9" ht="26.25">
      <c r="A240" s="16" t="s">
        <v>271</v>
      </c>
      <c r="B240" s="29" t="s">
        <v>667</v>
      </c>
      <c r="C240" s="29" t="s">
        <v>42</v>
      </c>
      <c r="D240" s="29" t="s">
        <v>248</v>
      </c>
      <c r="E240" s="50" t="s">
        <v>276</v>
      </c>
      <c r="F240" s="30" t="s">
        <v>272</v>
      </c>
      <c r="G240" s="31">
        <v>10021</v>
      </c>
      <c r="H240" s="116"/>
      <c r="I240" s="31">
        <f t="shared" si="1"/>
        <v>10021</v>
      </c>
    </row>
    <row r="241" spans="1:9" ht="89.25" hidden="1">
      <c r="A241" s="67" t="s">
        <v>159</v>
      </c>
      <c r="B241" s="29" t="s">
        <v>667</v>
      </c>
      <c r="C241" s="29" t="s">
        <v>42</v>
      </c>
      <c r="D241" s="29" t="s">
        <v>248</v>
      </c>
      <c r="E241" s="50" t="s">
        <v>160</v>
      </c>
      <c r="F241" s="30"/>
      <c r="G241" s="31">
        <f>G242</f>
        <v>0</v>
      </c>
      <c r="H241" s="125"/>
      <c r="I241" s="31">
        <f t="shared" si="1"/>
        <v>0</v>
      </c>
    </row>
    <row r="242" spans="1:9" ht="38.25" hidden="1">
      <c r="A242" s="55" t="s">
        <v>277</v>
      </c>
      <c r="B242" s="29" t="s">
        <v>667</v>
      </c>
      <c r="C242" s="29" t="s">
        <v>42</v>
      </c>
      <c r="D242" s="29" t="s">
        <v>248</v>
      </c>
      <c r="E242" s="50" t="s">
        <v>278</v>
      </c>
      <c r="F242" s="30"/>
      <c r="G242" s="31">
        <f>G245+G243</f>
        <v>0</v>
      </c>
      <c r="H242" s="125"/>
      <c r="I242" s="31">
        <f t="shared" si="1"/>
        <v>0</v>
      </c>
    </row>
    <row r="243" spans="1:9" ht="25.5" hidden="1">
      <c r="A243" s="10" t="s">
        <v>163</v>
      </c>
      <c r="B243" s="29" t="s">
        <v>667</v>
      </c>
      <c r="C243" s="29" t="s">
        <v>42</v>
      </c>
      <c r="D243" s="29" t="s">
        <v>248</v>
      </c>
      <c r="E243" s="50" t="s">
        <v>279</v>
      </c>
      <c r="F243" s="30"/>
      <c r="G243" s="31">
        <f>G244</f>
        <v>0</v>
      </c>
      <c r="H243" s="125"/>
      <c r="I243" s="31">
        <f t="shared" si="1"/>
        <v>0</v>
      </c>
    </row>
    <row r="244" spans="1:9" ht="26.25" hidden="1">
      <c r="A244" s="35" t="s">
        <v>92</v>
      </c>
      <c r="B244" s="29" t="s">
        <v>667</v>
      </c>
      <c r="C244" s="29" t="s">
        <v>42</v>
      </c>
      <c r="D244" s="29" t="s">
        <v>248</v>
      </c>
      <c r="E244" s="50" t="s">
        <v>279</v>
      </c>
      <c r="F244" s="30" t="s">
        <v>39</v>
      </c>
      <c r="G244" s="31"/>
      <c r="H244" s="125"/>
      <c r="I244" s="31">
        <f t="shared" si="1"/>
        <v>0</v>
      </c>
    </row>
    <row r="245" spans="1:9" ht="25.5" hidden="1">
      <c r="A245" s="10" t="s">
        <v>280</v>
      </c>
      <c r="B245" s="29" t="s">
        <v>667</v>
      </c>
      <c r="C245" s="29" t="s">
        <v>42</v>
      </c>
      <c r="D245" s="29" t="s">
        <v>248</v>
      </c>
      <c r="E245" s="50" t="s">
        <v>281</v>
      </c>
      <c r="F245" s="30"/>
      <c r="G245" s="31">
        <f>G246</f>
        <v>0</v>
      </c>
      <c r="H245" s="125"/>
      <c r="I245" s="31">
        <f t="shared" si="1"/>
        <v>0</v>
      </c>
    </row>
    <row r="246" spans="1:9" ht="26.25" hidden="1">
      <c r="A246" s="35" t="s">
        <v>92</v>
      </c>
      <c r="B246" s="29" t="s">
        <v>667</v>
      </c>
      <c r="C246" s="29" t="s">
        <v>42</v>
      </c>
      <c r="D246" s="29" t="s">
        <v>248</v>
      </c>
      <c r="E246" s="50" t="s">
        <v>281</v>
      </c>
      <c r="F246" s="30" t="s">
        <v>39</v>
      </c>
      <c r="G246" s="31"/>
      <c r="H246" s="125"/>
      <c r="I246" s="31">
        <f t="shared" si="1"/>
        <v>0</v>
      </c>
    </row>
    <row r="247" spans="1:9" ht="20.25" customHeight="1">
      <c r="A247" s="16" t="s">
        <v>282</v>
      </c>
      <c r="B247" s="29" t="s">
        <v>667</v>
      </c>
      <c r="C247" s="29" t="s">
        <v>42</v>
      </c>
      <c r="D247" s="29" t="s">
        <v>283</v>
      </c>
      <c r="E247" s="29"/>
      <c r="F247" s="30"/>
      <c r="G247" s="31">
        <f>G248+G260+G271</f>
        <v>1246500</v>
      </c>
      <c r="H247" s="116"/>
      <c r="I247" s="31">
        <f t="shared" si="1"/>
        <v>1246500</v>
      </c>
    </row>
    <row r="248" spans="1:9" ht="54.75" customHeight="1">
      <c r="A248" s="121" t="s">
        <v>284</v>
      </c>
      <c r="B248" s="29" t="s">
        <v>667</v>
      </c>
      <c r="C248" s="29" t="s">
        <v>42</v>
      </c>
      <c r="D248" s="29" t="s">
        <v>283</v>
      </c>
      <c r="E248" s="29" t="s">
        <v>285</v>
      </c>
      <c r="F248" s="30"/>
      <c r="G248" s="31">
        <f>G249</f>
        <v>1000000</v>
      </c>
      <c r="H248" s="116"/>
      <c r="I248" s="31">
        <f t="shared" si="1"/>
        <v>1000000</v>
      </c>
    </row>
    <row r="249" spans="1:9" ht="88.5" customHeight="1">
      <c r="A249" s="74" t="s">
        <v>286</v>
      </c>
      <c r="B249" s="29" t="s">
        <v>667</v>
      </c>
      <c r="C249" s="29" t="s">
        <v>42</v>
      </c>
      <c r="D249" s="29" t="s">
        <v>283</v>
      </c>
      <c r="E249" s="29" t="s">
        <v>287</v>
      </c>
      <c r="F249" s="30"/>
      <c r="G249" s="31">
        <f>G250</f>
        <v>1000000</v>
      </c>
      <c r="H249" s="116"/>
      <c r="I249" s="31">
        <f t="shared" si="1"/>
        <v>1000000</v>
      </c>
    </row>
    <row r="250" spans="1:9" ht="41.25" customHeight="1">
      <c r="A250" s="10" t="s">
        <v>288</v>
      </c>
      <c r="B250" s="29" t="s">
        <v>667</v>
      </c>
      <c r="C250" s="29" t="s">
        <v>42</v>
      </c>
      <c r="D250" s="29" t="s">
        <v>283</v>
      </c>
      <c r="E250" s="29" t="s">
        <v>289</v>
      </c>
      <c r="F250" s="30"/>
      <c r="G250" s="31">
        <f>G251+G253</f>
        <v>1000000</v>
      </c>
      <c r="H250" s="116"/>
      <c r="I250" s="31">
        <f t="shared" si="1"/>
        <v>1000000</v>
      </c>
    </row>
    <row r="251" spans="1:9" ht="0.75" customHeight="1" hidden="1">
      <c r="A251" s="8" t="s">
        <v>290</v>
      </c>
      <c r="B251" s="29" t="s">
        <v>667</v>
      </c>
      <c r="C251" s="29" t="s">
        <v>42</v>
      </c>
      <c r="D251" s="29" t="s">
        <v>283</v>
      </c>
      <c r="E251" s="29" t="s">
        <v>291</v>
      </c>
      <c r="F251" s="30"/>
      <c r="G251" s="31">
        <f>G252</f>
        <v>0</v>
      </c>
      <c r="H251" s="116"/>
      <c r="I251" s="31">
        <f t="shared" si="1"/>
        <v>0</v>
      </c>
    </row>
    <row r="252" spans="1:9" ht="26.25" hidden="1">
      <c r="A252" s="35" t="s">
        <v>38</v>
      </c>
      <c r="B252" s="29" t="s">
        <v>667</v>
      </c>
      <c r="C252" s="29" t="s">
        <v>42</v>
      </c>
      <c r="D252" s="29" t="s">
        <v>283</v>
      </c>
      <c r="E252" s="29" t="s">
        <v>291</v>
      </c>
      <c r="F252" s="30" t="s">
        <v>39</v>
      </c>
      <c r="G252" s="31"/>
      <c r="H252" s="116"/>
      <c r="I252" s="31">
        <f t="shared" si="1"/>
        <v>0</v>
      </c>
    </row>
    <row r="253" spans="1:9" ht="15">
      <c r="A253" s="8" t="s">
        <v>292</v>
      </c>
      <c r="B253" s="29" t="s">
        <v>667</v>
      </c>
      <c r="C253" s="29" t="s">
        <v>42</v>
      </c>
      <c r="D253" s="29" t="s">
        <v>283</v>
      </c>
      <c r="E253" s="29" t="s">
        <v>293</v>
      </c>
      <c r="F253" s="30"/>
      <c r="G253" s="31">
        <f>G254</f>
        <v>1000000</v>
      </c>
      <c r="H253" s="116"/>
      <c r="I253" s="31">
        <f t="shared" si="1"/>
        <v>1000000</v>
      </c>
    </row>
    <row r="254" spans="1:9" ht="29.25" customHeight="1">
      <c r="A254" s="35" t="s">
        <v>38</v>
      </c>
      <c r="B254" s="29" t="s">
        <v>667</v>
      </c>
      <c r="C254" s="29" t="s">
        <v>42</v>
      </c>
      <c r="D254" s="29" t="s">
        <v>283</v>
      </c>
      <c r="E254" s="29" t="s">
        <v>293</v>
      </c>
      <c r="F254" s="30" t="s">
        <v>39</v>
      </c>
      <c r="G254" s="31">
        <f>100000+400000+500000</f>
        <v>1000000</v>
      </c>
      <c r="H254" s="116"/>
      <c r="I254" s="31">
        <f t="shared" si="1"/>
        <v>1000000</v>
      </c>
    </row>
    <row r="255" spans="1:9" ht="64.5" hidden="1">
      <c r="A255" s="126" t="s">
        <v>294</v>
      </c>
      <c r="B255" s="29" t="s">
        <v>667</v>
      </c>
      <c r="C255" s="29" t="s">
        <v>42</v>
      </c>
      <c r="D255" s="29" t="s">
        <v>283</v>
      </c>
      <c r="E255" s="71" t="s">
        <v>295</v>
      </c>
      <c r="F255" s="30"/>
      <c r="G255" s="31">
        <f>G256</f>
        <v>0</v>
      </c>
      <c r="H255" s="116"/>
      <c r="I255" s="31">
        <f t="shared" si="1"/>
        <v>0</v>
      </c>
    </row>
    <row r="256" spans="1:9" ht="89.25" hidden="1">
      <c r="A256" s="63" t="s">
        <v>671</v>
      </c>
      <c r="B256" s="29" t="s">
        <v>667</v>
      </c>
      <c r="C256" s="29" t="s">
        <v>42</v>
      </c>
      <c r="D256" s="29" t="s">
        <v>283</v>
      </c>
      <c r="E256" s="71" t="s">
        <v>297</v>
      </c>
      <c r="F256" s="30"/>
      <c r="G256" s="31">
        <f>G257</f>
        <v>0</v>
      </c>
      <c r="H256" s="116"/>
      <c r="I256" s="31">
        <f t="shared" si="1"/>
        <v>0</v>
      </c>
    </row>
    <row r="257" spans="1:9" ht="38.25" hidden="1">
      <c r="A257" s="10" t="s">
        <v>298</v>
      </c>
      <c r="B257" s="29" t="s">
        <v>667</v>
      </c>
      <c r="C257" s="29" t="s">
        <v>42</v>
      </c>
      <c r="D257" s="29" t="s">
        <v>283</v>
      </c>
      <c r="E257" s="71" t="s">
        <v>299</v>
      </c>
      <c r="F257" s="30"/>
      <c r="G257" s="31">
        <f>G258</f>
        <v>0</v>
      </c>
      <c r="H257" s="116"/>
      <c r="I257" s="31">
        <f>I258</f>
        <v>0</v>
      </c>
    </row>
    <row r="258" spans="1:9" ht="15.75" hidden="1">
      <c r="A258" s="15" t="s">
        <v>300</v>
      </c>
      <c r="B258" s="29" t="s">
        <v>667</v>
      </c>
      <c r="C258" s="29" t="s">
        <v>42</v>
      </c>
      <c r="D258" s="29" t="s">
        <v>283</v>
      </c>
      <c r="E258" s="71" t="s">
        <v>301</v>
      </c>
      <c r="F258" s="30"/>
      <c r="G258" s="31">
        <f>G259</f>
        <v>0</v>
      </c>
      <c r="H258" s="116"/>
      <c r="I258" s="31">
        <f>G258+H258</f>
        <v>0</v>
      </c>
    </row>
    <row r="259" spans="1:9" ht="26.25" hidden="1">
      <c r="A259" s="35" t="s">
        <v>38</v>
      </c>
      <c r="B259" s="29" t="s">
        <v>667</v>
      </c>
      <c r="C259" s="29" t="s">
        <v>42</v>
      </c>
      <c r="D259" s="29" t="s">
        <v>283</v>
      </c>
      <c r="E259" s="71" t="s">
        <v>301</v>
      </c>
      <c r="F259" s="30" t="s">
        <v>39</v>
      </c>
      <c r="G259" s="31"/>
      <c r="H259" s="116"/>
      <c r="I259" s="31">
        <f>G259+H259</f>
        <v>0</v>
      </c>
    </row>
    <row r="260" spans="1:9" ht="51.75" customHeight="1">
      <c r="A260" s="121" t="s">
        <v>302</v>
      </c>
      <c r="B260" s="29" t="s">
        <v>667</v>
      </c>
      <c r="C260" s="29" t="s">
        <v>42</v>
      </c>
      <c r="D260" s="29" t="s">
        <v>283</v>
      </c>
      <c r="E260" s="57" t="s">
        <v>303</v>
      </c>
      <c r="F260" s="30"/>
      <c r="G260" s="31">
        <f>G261</f>
        <v>226500</v>
      </c>
      <c r="H260" s="116"/>
      <c r="I260" s="31">
        <f t="shared" si="1"/>
        <v>226500</v>
      </c>
    </row>
    <row r="261" spans="1:9" ht="96" customHeight="1">
      <c r="A261" s="63" t="s">
        <v>304</v>
      </c>
      <c r="B261" s="29" t="s">
        <v>667</v>
      </c>
      <c r="C261" s="29" t="s">
        <v>42</v>
      </c>
      <c r="D261" s="29" t="s">
        <v>283</v>
      </c>
      <c r="E261" s="57" t="s">
        <v>305</v>
      </c>
      <c r="F261" s="30"/>
      <c r="G261" s="31">
        <f>G262</f>
        <v>226500</v>
      </c>
      <c r="H261" s="116"/>
      <c r="I261" s="31">
        <f>G261+H261</f>
        <v>226500</v>
      </c>
    </row>
    <row r="262" spans="1:9" ht="38.25">
      <c r="A262" s="10" t="s">
        <v>672</v>
      </c>
      <c r="B262" s="29" t="s">
        <v>667</v>
      </c>
      <c r="C262" s="29" t="s">
        <v>42</v>
      </c>
      <c r="D262" s="29" t="s">
        <v>283</v>
      </c>
      <c r="E262" s="47" t="s">
        <v>307</v>
      </c>
      <c r="F262" s="37"/>
      <c r="G262" s="31">
        <f>G269+G263+G267+G265</f>
        <v>226500</v>
      </c>
      <c r="H262" s="116"/>
      <c r="I262" s="31">
        <f t="shared" si="1"/>
        <v>226500</v>
      </c>
    </row>
    <row r="263" spans="1:9" ht="57" customHeight="1">
      <c r="A263" s="10" t="s">
        <v>308</v>
      </c>
      <c r="B263" s="29" t="s">
        <v>667</v>
      </c>
      <c r="C263" s="29" t="s">
        <v>42</v>
      </c>
      <c r="D263" s="29" t="s">
        <v>283</v>
      </c>
      <c r="E263" s="47" t="s">
        <v>309</v>
      </c>
      <c r="F263" s="37"/>
      <c r="G263" s="31">
        <f>G264</f>
        <v>158550</v>
      </c>
      <c r="H263" s="116"/>
      <c r="I263" s="31">
        <f t="shared" si="1"/>
        <v>158550</v>
      </c>
    </row>
    <row r="264" spans="1:9" ht="36" customHeight="1">
      <c r="A264" s="35" t="s">
        <v>38</v>
      </c>
      <c r="B264" s="29" t="s">
        <v>667</v>
      </c>
      <c r="C264" s="29" t="s">
        <v>42</v>
      </c>
      <c r="D264" s="29" t="s">
        <v>283</v>
      </c>
      <c r="E264" s="47" t="s">
        <v>309</v>
      </c>
      <c r="F264" s="37" t="s">
        <v>39</v>
      </c>
      <c r="G264" s="31">
        <v>158550</v>
      </c>
      <c r="H264" s="116"/>
      <c r="I264" s="31">
        <f aca="true" t="shared" si="3" ref="I264:I344">G264+H264</f>
        <v>158550</v>
      </c>
    </row>
    <row r="265" spans="1:9" ht="39" hidden="1">
      <c r="A265" s="35" t="s">
        <v>310</v>
      </c>
      <c r="B265" s="29" t="s">
        <v>667</v>
      </c>
      <c r="C265" s="29" t="s">
        <v>42</v>
      </c>
      <c r="D265" s="29" t="s">
        <v>283</v>
      </c>
      <c r="E265" s="47" t="s">
        <v>311</v>
      </c>
      <c r="F265" s="37"/>
      <c r="G265" s="31">
        <f>G266</f>
        <v>0</v>
      </c>
      <c r="H265" s="116"/>
      <c r="I265" s="31">
        <f t="shared" si="3"/>
        <v>0</v>
      </c>
    </row>
    <row r="266" spans="1:9" ht="26.25" hidden="1">
      <c r="A266" s="35" t="s">
        <v>38</v>
      </c>
      <c r="B266" s="29" t="s">
        <v>667</v>
      </c>
      <c r="C266" s="29" t="s">
        <v>42</v>
      </c>
      <c r="D266" s="29" t="s">
        <v>283</v>
      </c>
      <c r="E266" s="47" t="s">
        <v>311</v>
      </c>
      <c r="F266" s="37" t="s">
        <v>39</v>
      </c>
      <c r="G266" s="31"/>
      <c r="H266" s="116"/>
      <c r="I266" s="31">
        <f t="shared" si="3"/>
        <v>0</v>
      </c>
    </row>
    <row r="267" spans="1:9" ht="44.25" customHeight="1">
      <c r="A267" s="10" t="s">
        <v>312</v>
      </c>
      <c r="B267" s="29" t="s">
        <v>667</v>
      </c>
      <c r="C267" s="29" t="s">
        <v>42</v>
      </c>
      <c r="D267" s="29" t="s">
        <v>283</v>
      </c>
      <c r="E267" s="47" t="s">
        <v>313</v>
      </c>
      <c r="F267" s="37"/>
      <c r="G267" s="31">
        <f>G268</f>
        <v>67950</v>
      </c>
      <c r="H267" s="116"/>
      <c r="I267" s="31">
        <f t="shared" si="3"/>
        <v>67950</v>
      </c>
    </row>
    <row r="268" spans="1:9" ht="26.25">
      <c r="A268" s="35" t="s">
        <v>38</v>
      </c>
      <c r="B268" s="29" t="s">
        <v>667</v>
      </c>
      <c r="C268" s="29" t="s">
        <v>42</v>
      </c>
      <c r="D268" s="29" t="s">
        <v>283</v>
      </c>
      <c r="E268" s="47" t="s">
        <v>313</v>
      </c>
      <c r="F268" s="37" t="s">
        <v>39</v>
      </c>
      <c r="G268" s="31">
        <v>67950</v>
      </c>
      <c r="H268" s="116"/>
      <c r="I268" s="31">
        <f t="shared" si="3"/>
        <v>67950</v>
      </c>
    </row>
    <row r="269" spans="1:9" ht="39" hidden="1">
      <c r="A269" s="73" t="s">
        <v>314</v>
      </c>
      <c r="B269" s="29" t="s">
        <v>667</v>
      </c>
      <c r="C269" s="29" t="s">
        <v>42</v>
      </c>
      <c r="D269" s="29" t="s">
        <v>283</v>
      </c>
      <c r="E269" s="47" t="s">
        <v>311</v>
      </c>
      <c r="F269" s="37"/>
      <c r="G269" s="31">
        <f>G270</f>
        <v>0</v>
      </c>
      <c r="H269" s="116"/>
      <c r="I269" s="31">
        <f t="shared" si="3"/>
        <v>0</v>
      </c>
    </row>
    <row r="270" spans="1:9" ht="26.25" hidden="1">
      <c r="A270" s="35" t="s">
        <v>38</v>
      </c>
      <c r="B270" s="29" t="s">
        <v>667</v>
      </c>
      <c r="C270" s="29" t="s">
        <v>42</v>
      </c>
      <c r="D270" s="29" t="s">
        <v>283</v>
      </c>
      <c r="E270" s="47" t="s">
        <v>311</v>
      </c>
      <c r="F270" s="37" t="s">
        <v>39</v>
      </c>
      <c r="G270" s="31"/>
      <c r="H270" s="116"/>
      <c r="I270" s="31">
        <f t="shared" si="3"/>
        <v>0</v>
      </c>
    </row>
    <row r="271" spans="1:9" ht="38.25">
      <c r="A271" s="63" t="s">
        <v>315</v>
      </c>
      <c r="B271" s="29" t="s">
        <v>667</v>
      </c>
      <c r="C271" s="29" t="s">
        <v>42</v>
      </c>
      <c r="D271" s="29" t="s">
        <v>283</v>
      </c>
      <c r="E271" s="29" t="s">
        <v>316</v>
      </c>
      <c r="F271" s="37"/>
      <c r="G271" s="31">
        <f>G272+G276</f>
        <v>20000</v>
      </c>
      <c r="H271" s="116"/>
      <c r="I271" s="31">
        <f t="shared" si="3"/>
        <v>20000</v>
      </c>
    </row>
    <row r="272" spans="1:9" ht="76.5">
      <c r="A272" s="74" t="s">
        <v>317</v>
      </c>
      <c r="B272" s="29" t="s">
        <v>667</v>
      </c>
      <c r="C272" s="29" t="s">
        <v>42</v>
      </c>
      <c r="D272" s="29" t="s">
        <v>283</v>
      </c>
      <c r="E272" s="29" t="s">
        <v>318</v>
      </c>
      <c r="F272" s="37"/>
      <c r="G272" s="31">
        <f>G273</f>
        <v>20000</v>
      </c>
      <c r="H272" s="116"/>
      <c r="I272" s="31">
        <f t="shared" si="3"/>
        <v>20000</v>
      </c>
    </row>
    <row r="273" spans="1:9" ht="25.5">
      <c r="A273" s="13" t="s">
        <v>319</v>
      </c>
      <c r="B273" s="29" t="s">
        <v>667</v>
      </c>
      <c r="C273" s="29" t="s">
        <v>42</v>
      </c>
      <c r="D273" s="29" t="s">
        <v>283</v>
      </c>
      <c r="E273" s="29" t="s">
        <v>320</v>
      </c>
      <c r="F273" s="37"/>
      <c r="G273" s="31">
        <f>G274</f>
        <v>20000</v>
      </c>
      <c r="H273" s="116"/>
      <c r="I273" s="31">
        <f t="shared" si="3"/>
        <v>20000</v>
      </c>
    </row>
    <row r="274" spans="1:9" ht="26.25">
      <c r="A274" s="8" t="s">
        <v>321</v>
      </c>
      <c r="B274" s="29" t="s">
        <v>667</v>
      </c>
      <c r="C274" s="29" t="s">
        <v>42</v>
      </c>
      <c r="D274" s="29" t="s">
        <v>283</v>
      </c>
      <c r="E274" s="29" t="s">
        <v>322</v>
      </c>
      <c r="F274" s="37"/>
      <c r="G274" s="31">
        <f>G275</f>
        <v>20000</v>
      </c>
      <c r="H274" s="116"/>
      <c r="I274" s="31">
        <f t="shared" si="3"/>
        <v>20000</v>
      </c>
    </row>
    <row r="275" spans="1:9" ht="24.75" customHeight="1">
      <c r="A275" s="35" t="s">
        <v>38</v>
      </c>
      <c r="B275" s="29" t="s">
        <v>667</v>
      </c>
      <c r="C275" s="29" t="s">
        <v>42</v>
      </c>
      <c r="D275" s="29" t="s">
        <v>283</v>
      </c>
      <c r="E275" s="29" t="s">
        <v>322</v>
      </c>
      <c r="F275" s="37" t="s">
        <v>39</v>
      </c>
      <c r="G275" s="31">
        <f>20000</f>
        <v>20000</v>
      </c>
      <c r="H275" s="116"/>
      <c r="I275" s="31">
        <f t="shared" si="3"/>
        <v>20000</v>
      </c>
    </row>
    <row r="276" spans="1:9" ht="76.5" hidden="1">
      <c r="A276" s="13" t="s">
        <v>323</v>
      </c>
      <c r="B276" s="29" t="s">
        <v>667</v>
      </c>
      <c r="C276" s="29" t="s">
        <v>42</v>
      </c>
      <c r="D276" s="29" t="s">
        <v>283</v>
      </c>
      <c r="E276" s="29" t="s">
        <v>324</v>
      </c>
      <c r="F276" s="37"/>
      <c r="G276" s="31">
        <f>G277</f>
        <v>0</v>
      </c>
      <c r="H276" s="116"/>
      <c r="I276" s="31">
        <f t="shared" si="3"/>
        <v>0</v>
      </c>
    </row>
    <row r="277" spans="1:9" ht="51" hidden="1">
      <c r="A277" s="13" t="s">
        <v>325</v>
      </c>
      <c r="B277" s="29" t="s">
        <v>667</v>
      </c>
      <c r="C277" s="29" t="s">
        <v>42</v>
      </c>
      <c r="D277" s="29" t="s">
        <v>283</v>
      </c>
      <c r="E277" s="29" t="s">
        <v>326</v>
      </c>
      <c r="F277" s="37"/>
      <c r="G277" s="31">
        <f>G278</f>
        <v>0</v>
      </c>
      <c r="H277" s="116"/>
      <c r="I277" s="31">
        <f t="shared" si="3"/>
        <v>0</v>
      </c>
    </row>
    <row r="278" spans="1:9" ht="39" hidden="1">
      <c r="A278" s="35" t="s">
        <v>327</v>
      </c>
      <c r="B278" s="29" t="s">
        <v>667</v>
      </c>
      <c r="C278" s="29" t="s">
        <v>42</v>
      </c>
      <c r="D278" s="29" t="s">
        <v>283</v>
      </c>
      <c r="E278" s="29" t="s">
        <v>328</v>
      </c>
      <c r="F278" s="37"/>
      <c r="G278" s="31">
        <f>G279</f>
        <v>0</v>
      </c>
      <c r="H278" s="116"/>
      <c r="I278" s="31">
        <f t="shared" si="3"/>
        <v>0</v>
      </c>
    </row>
    <row r="279" spans="1:9" ht="15" hidden="1">
      <c r="A279" s="35" t="s">
        <v>84</v>
      </c>
      <c r="B279" s="29" t="s">
        <v>667</v>
      </c>
      <c r="C279" s="29" t="s">
        <v>42</v>
      </c>
      <c r="D279" s="29" t="s">
        <v>283</v>
      </c>
      <c r="E279" s="29" t="s">
        <v>328</v>
      </c>
      <c r="F279" s="37" t="s">
        <v>85</v>
      </c>
      <c r="G279" s="31"/>
      <c r="H279" s="116"/>
      <c r="I279" s="31">
        <f t="shared" si="3"/>
        <v>0</v>
      </c>
    </row>
    <row r="280" spans="1:9" ht="14.25" customHeight="1">
      <c r="A280" s="35" t="s">
        <v>329</v>
      </c>
      <c r="B280" s="29" t="s">
        <v>667</v>
      </c>
      <c r="C280" s="29" t="s">
        <v>98</v>
      </c>
      <c r="D280" s="29"/>
      <c r="E280" s="29"/>
      <c r="F280" s="37"/>
      <c r="G280" s="31">
        <f>G291+G281</f>
        <v>7000000</v>
      </c>
      <c r="H280" s="116"/>
      <c r="I280" s="31">
        <f t="shared" si="3"/>
        <v>7000000</v>
      </c>
    </row>
    <row r="281" spans="1:9" ht="15" hidden="1">
      <c r="A281" s="35" t="s">
        <v>330</v>
      </c>
      <c r="B281" s="29" t="s">
        <v>667</v>
      </c>
      <c r="C281" s="29" t="s">
        <v>98</v>
      </c>
      <c r="D281" s="29" t="s">
        <v>17</v>
      </c>
      <c r="E281" s="29"/>
      <c r="F281" s="37"/>
      <c r="G281" s="31">
        <f>G282+G287</f>
        <v>0</v>
      </c>
      <c r="H281" s="116"/>
      <c r="I281" s="31">
        <f t="shared" si="3"/>
        <v>0</v>
      </c>
    </row>
    <row r="282" spans="1:9" ht="51.75" hidden="1">
      <c r="A282" s="75" t="s">
        <v>333</v>
      </c>
      <c r="B282" s="29" t="s">
        <v>667</v>
      </c>
      <c r="C282" s="29" t="s">
        <v>98</v>
      </c>
      <c r="D282" s="29" t="s">
        <v>17</v>
      </c>
      <c r="E282" s="50" t="s">
        <v>303</v>
      </c>
      <c r="F282" s="37"/>
      <c r="G282" s="31">
        <f>G283</f>
        <v>0</v>
      </c>
      <c r="H282" s="116"/>
      <c r="I282" s="31">
        <f t="shared" si="3"/>
        <v>0</v>
      </c>
    </row>
    <row r="283" spans="1:9" ht="89.25" hidden="1">
      <c r="A283" s="76" t="s">
        <v>334</v>
      </c>
      <c r="B283" s="29" t="s">
        <v>667</v>
      </c>
      <c r="C283" s="29" t="s">
        <v>98</v>
      </c>
      <c r="D283" s="29" t="s">
        <v>17</v>
      </c>
      <c r="E283" s="50" t="s">
        <v>335</v>
      </c>
      <c r="F283" s="37"/>
      <c r="G283" s="31">
        <f>G284</f>
        <v>0</v>
      </c>
      <c r="H283" s="116"/>
      <c r="I283" s="31">
        <f t="shared" si="3"/>
        <v>0</v>
      </c>
    </row>
    <row r="284" spans="1:9" ht="26.25" hidden="1">
      <c r="A284" s="35" t="s">
        <v>336</v>
      </c>
      <c r="B284" s="29" t="s">
        <v>667</v>
      </c>
      <c r="C284" s="29" t="s">
        <v>98</v>
      </c>
      <c r="D284" s="29" t="s">
        <v>17</v>
      </c>
      <c r="E284" s="50" t="s">
        <v>337</v>
      </c>
      <c r="F284" s="37"/>
      <c r="G284" s="31">
        <f>G285</f>
        <v>0</v>
      </c>
      <c r="H284" s="116"/>
      <c r="I284" s="31">
        <f t="shared" si="3"/>
        <v>0</v>
      </c>
    </row>
    <row r="285" spans="1:9" ht="15" hidden="1">
      <c r="A285" s="35" t="s">
        <v>290</v>
      </c>
      <c r="B285" s="29" t="s">
        <v>667</v>
      </c>
      <c r="C285" s="29" t="s">
        <v>98</v>
      </c>
      <c r="D285" s="29" t="s">
        <v>17</v>
      </c>
      <c r="E285" s="50" t="s">
        <v>338</v>
      </c>
      <c r="F285" s="37"/>
      <c r="G285" s="31">
        <f>G286</f>
        <v>0</v>
      </c>
      <c r="H285" s="116"/>
      <c r="I285" s="31">
        <f t="shared" si="3"/>
        <v>0</v>
      </c>
    </row>
    <row r="286" spans="1:9" ht="26.25" hidden="1">
      <c r="A286" s="16" t="s">
        <v>271</v>
      </c>
      <c r="B286" s="29" t="s">
        <v>667</v>
      </c>
      <c r="C286" s="29" t="s">
        <v>98</v>
      </c>
      <c r="D286" s="29" t="s">
        <v>17</v>
      </c>
      <c r="E286" s="50" t="s">
        <v>338</v>
      </c>
      <c r="F286" s="37" t="s">
        <v>272</v>
      </c>
      <c r="G286" s="31"/>
      <c r="H286" s="116"/>
      <c r="I286" s="31">
        <f t="shared" si="3"/>
        <v>0</v>
      </c>
    </row>
    <row r="287" spans="1:9" ht="26.25" hidden="1">
      <c r="A287" s="16" t="s">
        <v>86</v>
      </c>
      <c r="B287" s="29" t="s">
        <v>667</v>
      </c>
      <c r="C287" s="29" t="s">
        <v>98</v>
      </c>
      <c r="D287" s="29" t="s">
        <v>17</v>
      </c>
      <c r="E287" s="47" t="s">
        <v>87</v>
      </c>
      <c r="F287" s="37"/>
      <c r="G287" s="31">
        <f>G288</f>
        <v>0</v>
      </c>
      <c r="H287" s="116"/>
      <c r="I287" s="31">
        <f t="shared" si="3"/>
        <v>0</v>
      </c>
    </row>
    <row r="288" spans="1:9" ht="26.25" hidden="1">
      <c r="A288" s="16" t="s">
        <v>93</v>
      </c>
      <c r="B288" s="29" t="s">
        <v>667</v>
      </c>
      <c r="C288" s="29" t="s">
        <v>98</v>
      </c>
      <c r="D288" s="29" t="s">
        <v>17</v>
      </c>
      <c r="E288" s="29" t="s">
        <v>94</v>
      </c>
      <c r="F288" s="30"/>
      <c r="G288" s="31">
        <f>G289</f>
        <v>0</v>
      </c>
      <c r="H288" s="116"/>
      <c r="I288" s="31">
        <f t="shared" si="3"/>
        <v>0</v>
      </c>
    </row>
    <row r="289" spans="1:9" ht="15" hidden="1">
      <c r="A289" s="35" t="s">
        <v>290</v>
      </c>
      <c r="B289" s="29" t="s">
        <v>667</v>
      </c>
      <c r="C289" s="29" t="s">
        <v>98</v>
      </c>
      <c r="D289" s="29" t="s">
        <v>17</v>
      </c>
      <c r="E289" s="29" t="s">
        <v>339</v>
      </c>
      <c r="F289" s="37"/>
      <c r="G289" s="31">
        <f>G290</f>
        <v>0</v>
      </c>
      <c r="H289" s="116"/>
      <c r="I289" s="31">
        <f t="shared" si="3"/>
        <v>0</v>
      </c>
    </row>
    <row r="290" spans="1:9" ht="26.25" hidden="1">
      <c r="A290" s="35" t="s">
        <v>38</v>
      </c>
      <c r="B290" s="29" t="s">
        <v>667</v>
      </c>
      <c r="C290" s="29" t="s">
        <v>98</v>
      </c>
      <c r="D290" s="29" t="s">
        <v>17</v>
      </c>
      <c r="E290" s="29" t="s">
        <v>339</v>
      </c>
      <c r="F290" s="37" t="s">
        <v>39</v>
      </c>
      <c r="G290" s="31"/>
      <c r="H290" s="116"/>
      <c r="I290" s="31">
        <f t="shared" si="3"/>
        <v>0</v>
      </c>
    </row>
    <row r="291" spans="1:9" ht="15">
      <c r="A291" s="35" t="s">
        <v>340</v>
      </c>
      <c r="B291" s="29" t="s">
        <v>667</v>
      </c>
      <c r="C291" s="29" t="s">
        <v>98</v>
      </c>
      <c r="D291" s="29" t="s">
        <v>19</v>
      </c>
      <c r="E291" s="29"/>
      <c r="F291" s="37"/>
      <c r="G291" s="31">
        <f>G292+G301</f>
        <v>7000000</v>
      </c>
      <c r="H291" s="116"/>
      <c r="I291" s="31">
        <f t="shared" si="3"/>
        <v>7000000</v>
      </c>
    </row>
    <row r="292" spans="1:9" ht="51.75" hidden="1">
      <c r="A292" s="15" t="s">
        <v>341</v>
      </c>
      <c r="B292" s="29" t="s">
        <v>667</v>
      </c>
      <c r="C292" s="29" t="s">
        <v>98</v>
      </c>
      <c r="D292" s="29" t="s">
        <v>19</v>
      </c>
      <c r="E292" s="50" t="s">
        <v>342</v>
      </c>
      <c r="F292" s="37"/>
      <c r="G292" s="31">
        <f>G293</f>
        <v>0</v>
      </c>
      <c r="H292" s="116"/>
      <c r="I292" s="31">
        <f t="shared" si="3"/>
        <v>0</v>
      </c>
    </row>
    <row r="293" spans="1:9" ht="77.25" hidden="1">
      <c r="A293" s="75" t="s">
        <v>343</v>
      </c>
      <c r="B293" s="29" t="s">
        <v>667</v>
      </c>
      <c r="C293" s="29" t="s">
        <v>98</v>
      </c>
      <c r="D293" s="29" t="s">
        <v>19</v>
      </c>
      <c r="E293" s="50" t="s">
        <v>673</v>
      </c>
      <c r="F293" s="37"/>
      <c r="G293" s="31">
        <f>G294</f>
        <v>0</v>
      </c>
      <c r="H293" s="116"/>
      <c r="I293" s="31">
        <f t="shared" si="3"/>
        <v>0</v>
      </c>
    </row>
    <row r="294" spans="1:9" ht="25.5" hidden="1">
      <c r="A294" s="10" t="s">
        <v>345</v>
      </c>
      <c r="B294" s="29" t="s">
        <v>667</v>
      </c>
      <c r="C294" s="29" t="s">
        <v>98</v>
      </c>
      <c r="D294" s="29" t="s">
        <v>19</v>
      </c>
      <c r="E294" s="50" t="s">
        <v>674</v>
      </c>
      <c r="F294" s="37"/>
      <c r="G294" s="31">
        <f>G295+G297+G299</f>
        <v>0</v>
      </c>
      <c r="H294" s="116"/>
      <c r="I294" s="31">
        <f t="shared" si="3"/>
        <v>0</v>
      </c>
    </row>
    <row r="295" spans="1:9" ht="30.75" customHeight="1" hidden="1">
      <c r="A295" s="59" t="s">
        <v>346</v>
      </c>
      <c r="B295" s="29" t="s">
        <v>667</v>
      </c>
      <c r="C295" s="29" t="s">
        <v>98</v>
      </c>
      <c r="D295" s="29" t="s">
        <v>19</v>
      </c>
      <c r="E295" s="50" t="s">
        <v>347</v>
      </c>
      <c r="F295" s="37"/>
      <c r="G295" s="31">
        <f>G296</f>
        <v>0</v>
      </c>
      <c r="H295" s="116"/>
      <c r="I295" s="31">
        <f t="shared" si="3"/>
        <v>0</v>
      </c>
    </row>
    <row r="296" spans="1:9" ht="26.25" hidden="1">
      <c r="A296" s="16" t="s">
        <v>271</v>
      </c>
      <c r="B296" s="29" t="s">
        <v>667</v>
      </c>
      <c r="C296" s="29" t="s">
        <v>98</v>
      </c>
      <c r="D296" s="29" t="s">
        <v>19</v>
      </c>
      <c r="E296" s="50" t="s">
        <v>347</v>
      </c>
      <c r="F296" s="37" t="s">
        <v>272</v>
      </c>
      <c r="G296" s="31"/>
      <c r="H296" s="116"/>
      <c r="I296" s="31">
        <f t="shared" si="3"/>
        <v>0</v>
      </c>
    </row>
    <row r="297" spans="1:9" ht="51" hidden="1">
      <c r="A297" s="51" t="s">
        <v>348</v>
      </c>
      <c r="B297" s="29" t="s">
        <v>667</v>
      </c>
      <c r="C297" s="29" t="s">
        <v>98</v>
      </c>
      <c r="D297" s="29" t="s">
        <v>19</v>
      </c>
      <c r="E297" s="50" t="s">
        <v>349</v>
      </c>
      <c r="F297" s="37"/>
      <c r="G297" s="31">
        <f>G298</f>
        <v>0</v>
      </c>
      <c r="H297" s="116"/>
      <c r="I297" s="31">
        <f t="shared" si="3"/>
        <v>0</v>
      </c>
    </row>
    <row r="298" spans="1:9" ht="26.25" hidden="1">
      <c r="A298" s="16" t="s">
        <v>271</v>
      </c>
      <c r="B298" s="29" t="s">
        <v>667</v>
      </c>
      <c r="C298" s="29" t="s">
        <v>98</v>
      </c>
      <c r="D298" s="29" t="s">
        <v>19</v>
      </c>
      <c r="E298" s="50" t="s">
        <v>349</v>
      </c>
      <c r="F298" s="37" t="s">
        <v>272</v>
      </c>
      <c r="G298" s="31"/>
      <c r="H298" s="116"/>
      <c r="I298" s="31">
        <f>G298+H298</f>
        <v>0</v>
      </c>
    </row>
    <row r="299" spans="1:9" ht="25.5" hidden="1">
      <c r="A299" s="51" t="s">
        <v>675</v>
      </c>
      <c r="B299" s="29" t="s">
        <v>667</v>
      </c>
      <c r="C299" s="29" t="s">
        <v>98</v>
      </c>
      <c r="D299" s="29" t="s">
        <v>19</v>
      </c>
      <c r="E299" s="50" t="s">
        <v>676</v>
      </c>
      <c r="F299" s="37"/>
      <c r="G299" s="31">
        <f>G300</f>
        <v>0</v>
      </c>
      <c r="H299" s="116"/>
      <c r="I299" s="31">
        <f>G299+H299</f>
        <v>0</v>
      </c>
    </row>
    <row r="300" spans="1:9" ht="26.25" hidden="1">
      <c r="A300" s="16" t="s">
        <v>271</v>
      </c>
      <c r="B300" s="29" t="s">
        <v>667</v>
      </c>
      <c r="C300" s="29" t="s">
        <v>98</v>
      </c>
      <c r="D300" s="29" t="s">
        <v>19</v>
      </c>
      <c r="E300" s="50" t="s">
        <v>676</v>
      </c>
      <c r="F300" s="37" t="s">
        <v>272</v>
      </c>
      <c r="G300" s="31"/>
      <c r="H300" s="116"/>
      <c r="I300" s="31">
        <f>G300+H300</f>
        <v>0</v>
      </c>
    </row>
    <row r="301" spans="1:9" ht="62.25" customHeight="1">
      <c r="A301" s="75" t="s">
        <v>333</v>
      </c>
      <c r="B301" s="29" t="s">
        <v>667</v>
      </c>
      <c r="C301" s="29" t="s">
        <v>98</v>
      </c>
      <c r="D301" s="29" t="s">
        <v>19</v>
      </c>
      <c r="E301" s="50" t="s">
        <v>303</v>
      </c>
      <c r="F301" s="37"/>
      <c r="G301" s="31">
        <f>G302</f>
        <v>7000000</v>
      </c>
      <c r="H301" s="116"/>
      <c r="I301" s="31">
        <f t="shared" si="3"/>
        <v>7000000</v>
      </c>
    </row>
    <row r="302" spans="1:9" ht="89.25">
      <c r="A302" s="76" t="s">
        <v>334</v>
      </c>
      <c r="B302" s="29" t="s">
        <v>667</v>
      </c>
      <c r="C302" s="29" t="s">
        <v>98</v>
      </c>
      <c r="D302" s="29" t="s">
        <v>19</v>
      </c>
      <c r="E302" s="50" t="s">
        <v>335</v>
      </c>
      <c r="F302" s="37"/>
      <c r="G302" s="31">
        <f>G308+G315</f>
        <v>7000000</v>
      </c>
      <c r="H302" s="116"/>
      <c r="I302" s="31">
        <f t="shared" si="3"/>
        <v>7000000</v>
      </c>
    </row>
    <row r="303" spans="1:9" ht="38.25" hidden="1">
      <c r="A303" s="10" t="s">
        <v>424</v>
      </c>
      <c r="B303" s="29" t="s">
        <v>667</v>
      </c>
      <c r="C303" s="29" t="s">
        <v>98</v>
      </c>
      <c r="D303" s="29" t="s">
        <v>19</v>
      </c>
      <c r="E303" s="47" t="s">
        <v>677</v>
      </c>
      <c r="F303" s="37"/>
      <c r="G303" s="31">
        <f>G304+G306</f>
        <v>0</v>
      </c>
      <c r="H303" s="116"/>
      <c r="I303" s="31">
        <f t="shared" si="3"/>
        <v>0</v>
      </c>
    </row>
    <row r="304" spans="1:9" ht="23.25" customHeight="1" hidden="1">
      <c r="A304" s="59" t="s">
        <v>426</v>
      </c>
      <c r="B304" s="29" t="s">
        <v>667</v>
      </c>
      <c r="C304" s="29" t="s">
        <v>98</v>
      </c>
      <c r="D304" s="29" t="s">
        <v>19</v>
      </c>
      <c r="E304" s="47" t="s">
        <v>427</v>
      </c>
      <c r="F304" s="37"/>
      <c r="G304" s="31">
        <f>G305</f>
        <v>0</v>
      </c>
      <c r="H304" s="116"/>
      <c r="I304" s="31">
        <f t="shared" si="3"/>
        <v>0</v>
      </c>
    </row>
    <row r="305" spans="1:9" ht="15" hidden="1">
      <c r="A305" s="73" t="s">
        <v>193</v>
      </c>
      <c r="B305" s="29" t="s">
        <v>667</v>
      </c>
      <c r="C305" s="29" t="s">
        <v>98</v>
      </c>
      <c r="D305" s="29" t="s">
        <v>19</v>
      </c>
      <c r="E305" s="47" t="s">
        <v>427</v>
      </c>
      <c r="F305" s="37" t="s">
        <v>194</v>
      </c>
      <c r="G305" s="31"/>
      <c r="H305" s="116"/>
      <c r="I305" s="31">
        <f t="shared" si="3"/>
        <v>0</v>
      </c>
    </row>
    <row r="306" spans="1:9" ht="38.25" hidden="1">
      <c r="A306" s="59" t="s">
        <v>428</v>
      </c>
      <c r="B306" s="29" t="s">
        <v>667</v>
      </c>
      <c r="C306" s="29" t="s">
        <v>98</v>
      </c>
      <c r="D306" s="29" t="s">
        <v>19</v>
      </c>
      <c r="E306" s="47" t="s">
        <v>429</v>
      </c>
      <c r="F306" s="37"/>
      <c r="G306" s="31">
        <f>G307</f>
        <v>0</v>
      </c>
      <c r="H306" s="116"/>
      <c r="I306" s="31">
        <f t="shared" si="3"/>
        <v>0</v>
      </c>
    </row>
    <row r="307" spans="1:9" ht="15" hidden="1">
      <c r="A307" s="73" t="s">
        <v>193</v>
      </c>
      <c r="B307" s="29" t="s">
        <v>667</v>
      </c>
      <c r="C307" s="29" t="s">
        <v>98</v>
      </c>
      <c r="D307" s="29" t="s">
        <v>19</v>
      </c>
      <c r="E307" s="47" t="s">
        <v>429</v>
      </c>
      <c r="F307" s="37" t="s">
        <v>194</v>
      </c>
      <c r="G307" s="31"/>
      <c r="H307" s="116"/>
      <c r="I307" s="31">
        <f t="shared" si="3"/>
        <v>0</v>
      </c>
    </row>
    <row r="308" spans="1:9" ht="51">
      <c r="A308" s="10" t="s">
        <v>352</v>
      </c>
      <c r="B308" s="29" t="s">
        <v>667</v>
      </c>
      <c r="C308" s="29" t="s">
        <v>98</v>
      </c>
      <c r="D308" s="29" t="s">
        <v>19</v>
      </c>
      <c r="E308" s="47" t="s">
        <v>353</v>
      </c>
      <c r="F308" s="37"/>
      <c r="G308" s="31">
        <f>G309+G313</f>
        <v>0</v>
      </c>
      <c r="H308" s="116"/>
      <c r="I308" s="31">
        <f t="shared" si="3"/>
        <v>0</v>
      </c>
    </row>
    <row r="309" spans="1:9" ht="38.25">
      <c r="A309" s="10" t="s">
        <v>354</v>
      </c>
      <c r="B309" s="29" t="s">
        <v>667</v>
      </c>
      <c r="C309" s="29" t="s">
        <v>98</v>
      </c>
      <c r="D309" s="29" t="s">
        <v>19</v>
      </c>
      <c r="E309" s="47" t="s">
        <v>355</v>
      </c>
      <c r="F309" s="37"/>
      <c r="G309" s="31">
        <f>G310+G312+G311</f>
        <v>0</v>
      </c>
      <c r="H309" s="116"/>
      <c r="I309" s="31">
        <f t="shared" si="3"/>
        <v>0</v>
      </c>
    </row>
    <row r="310" spans="1:9" ht="26.25">
      <c r="A310" s="35" t="s">
        <v>92</v>
      </c>
      <c r="B310" s="29" t="s">
        <v>667</v>
      </c>
      <c r="C310" s="29" t="s">
        <v>98</v>
      </c>
      <c r="D310" s="29" t="s">
        <v>19</v>
      </c>
      <c r="E310" s="47" t="s">
        <v>355</v>
      </c>
      <c r="F310" s="37" t="s">
        <v>39</v>
      </c>
      <c r="G310" s="31">
        <f>447443-447443</f>
        <v>0</v>
      </c>
      <c r="H310" s="116"/>
      <c r="I310" s="31">
        <f t="shared" si="3"/>
        <v>0</v>
      </c>
    </row>
    <row r="311" spans="1:9" ht="26.25" hidden="1">
      <c r="A311" s="16" t="s">
        <v>271</v>
      </c>
      <c r="B311" s="29" t="s">
        <v>667</v>
      </c>
      <c r="C311" s="29" t="s">
        <v>98</v>
      </c>
      <c r="D311" s="29" t="s">
        <v>19</v>
      </c>
      <c r="E311" s="47" t="s">
        <v>355</v>
      </c>
      <c r="F311" s="37" t="s">
        <v>272</v>
      </c>
      <c r="G311" s="31"/>
      <c r="H311" s="116"/>
      <c r="I311" s="31">
        <f t="shared" si="3"/>
        <v>0</v>
      </c>
    </row>
    <row r="312" spans="1:9" ht="15" hidden="1">
      <c r="A312" s="35" t="s">
        <v>84</v>
      </c>
      <c r="B312" s="29" t="s">
        <v>667</v>
      </c>
      <c r="C312" s="29" t="s">
        <v>98</v>
      </c>
      <c r="D312" s="29" t="s">
        <v>19</v>
      </c>
      <c r="E312" s="47" t="s">
        <v>355</v>
      </c>
      <c r="F312" s="37" t="s">
        <v>85</v>
      </c>
      <c r="G312" s="31"/>
      <c r="H312" s="116"/>
      <c r="I312" s="31">
        <f t="shared" si="3"/>
        <v>0</v>
      </c>
    </row>
    <row r="313" spans="1:9" ht="51" hidden="1">
      <c r="A313" s="9" t="s">
        <v>356</v>
      </c>
      <c r="B313" s="29" t="s">
        <v>667</v>
      </c>
      <c r="C313" s="29" t="s">
        <v>98</v>
      </c>
      <c r="D313" s="29" t="s">
        <v>19</v>
      </c>
      <c r="E313" s="47" t="s">
        <v>357</v>
      </c>
      <c r="F313" s="37"/>
      <c r="G313" s="31">
        <f>G314</f>
        <v>0</v>
      </c>
      <c r="H313" s="116"/>
      <c r="I313" s="31">
        <f t="shared" si="3"/>
        <v>0</v>
      </c>
    </row>
    <row r="314" spans="1:9" ht="15" hidden="1">
      <c r="A314" s="35" t="s">
        <v>193</v>
      </c>
      <c r="B314" s="29" t="s">
        <v>667</v>
      </c>
      <c r="C314" s="29" t="s">
        <v>98</v>
      </c>
      <c r="D314" s="29" t="s">
        <v>19</v>
      </c>
      <c r="E314" s="47" t="s">
        <v>357</v>
      </c>
      <c r="F314" s="37" t="s">
        <v>194</v>
      </c>
      <c r="G314" s="31">
        <f>400000-400000</f>
        <v>0</v>
      </c>
      <c r="H314" s="116"/>
      <c r="I314" s="31">
        <f t="shared" si="3"/>
        <v>0</v>
      </c>
    </row>
    <row r="315" spans="1:9" ht="39">
      <c r="A315" s="35" t="s">
        <v>358</v>
      </c>
      <c r="B315" s="29" t="s">
        <v>667</v>
      </c>
      <c r="C315" s="29" t="s">
        <v>98</v>
      </c>
      <c r="D315" s="29" t="s">
        <v>19</v>
      </c>
      <c r="E315" s="47" t="s">
        <v>359</v>
      </c>
      <c r="F315" s="37"/>
      <c r="G315" s="31">
        <f>G316</f>
        <v>7000000</v>
      </c>
      <c r="H315" s="116"/>
      <c r="I315" s="31">
        <f t="shared" si="3"/>
        <v>7000000</v>
      </c>
    </row>
    <row r="316" spans="1:9" ht="15">
      <c r="A316" s="35" t="s">
        <v>360</v>
      </c>
      <c r="B316" s="29" t="s">
        <v>667</v>
      </c>
      <c r="C316" s="29" t="s">
        <v>98</v>
      </c>
      <c r="D316" s="29" t="s">
        <v>19</v>
      </c>
      <c r="E316" s="47" t="s">
        <v>361</v>
      </c>
      <c r="F316" s="37"/>
      <c r="G316" s="31">
        <f>G317</f>
        <v>7000000</v>
      </c>
      <c r="H316" s="116"/>
      <c r="I316" s="31">
        <f t="shared" si="3"/>
        <v>7000000</v>
      </c>
    </row>
    <row r="317" spans="1:9" ht="15">
      <c r="A317" s="35" t="s">
        <v>84</v>
      </c>
      <c r="B317" s="29" t="s">
        <v>667</v>
      </c>
      <c r="C317" s="29" t="s">
        <v>98</v>
      </c>
      <c r="D317" s="29" t="s">
        <v>19</v>
      </c>
      <c r="E317" s="47" t="s">
        <v>361</v>
      </c>
      <c r="F317" s="37" t="s">
        <v>85</v>
      </c>
      <c r="G317" s="31">
        <f>300000+2700000+4000000</f>
        <v>7000000</v>
      </c>
      <c r="H317" s="116"/>
      <c r="I317" s="31">
        <f t="shared" si="3"/>
        <v>7000000</v>
      </c>
    </row>
    <row r="318" spans="1:9" ht="15">
      <c r="A318" s="73" t="s">
        <v>362</v>
      </c>
      <c r="B318" s="29" t="s">
        <v>667</v>
      </c>
      <c r="C318" s="29" t="s">
        <v>102</v>
      </c>
      <c r="D318" s="29"/>
      <c r="E318" s="50"/>
      <c r="F318" s="37"/>
      <c r="G318" s="31">
        <f aca="true" t="shared" si="4" ref="G318:G323">G319</f>
        <v>2700000</v>
      </c>
      <c r="H318" s="116"/>
      <c r="I318" s="31">
        <f t="shared" si="3"/>
        <v>2700000</v>
      </c>
    </row>
    <row r="319" spans="1:9" ht="15">
      <c r="A319" s="48" t="s">
        <v>363</v>
      </c>
      <c r="B319" s="29" t="s">
        <v>667</v>
      </c>
      <c r="C319" s="29" t="s">
        <v>102</v>
      </c>
      <c r="D319" s="29" t="s">
        <v>98</v>
      </c>
      <c r="E319" s="50"/>
      <c r="F319" s="37"/>
      <c r="G319" s="31">
        <f t="shared" si="4"/>
        <v>2700000</v>
      </c>
      <c r="H319" s="116"/>
      <c r="I319" s="31">
        <f t="shared" si="3"/>
        <v>2700000</v>
      </c>
    </row>
    <row r="320" spans="1:9" ht="51.75">
      <c r="A320" s="16" t="s">
        <v>341</v>
      </c>
      <c r="B320" s="29" t="s">
        <v>667</v>
      </c>
      <c r="C320" s="29" t="s">
        <v>102</v>
      </c>
      <c r="D320" s="29" t="s">
        <v>98</v>
      </c>
      <c r="E320" s="50" t="s">
        <v>342</v>
      </c>
      <c r="F320" s="37"/>
      <c r="G320" s="31">
        <f t="shared" si="4"/>
        <v>2700000</v>
      </c>
      <c r="H320" s="116"/>
      <c r="I320" s="31">
        <f t="shared" si="3"/>
        <v>2700000</v>
      </c>
    </row>
    <row r="321" spans="1:9" ht="77.25">
      <c r="A321" s="16" t="s">
        <v>343</v>
      </c>
      <c r="B321" s="29" t="s">
        <v>667</v>
      </c>
      <c r="C321" s="29" t="s">
        <v>102</v>
      </c>
      <c r="D321" s="29" t="s">
        <v>98</v>
      </c>
      <c r="E321" s="50" t="s">
        <v>673</v>
      </c>
      <c r="F321" s="37"/>
      <c r="G321" s="31">
        <f t="shared" si="4"/>
        <v>2700000</v>
      </c>
      <c r="H321" s="116"/>
      <c r="I321" s="31">
        <f t="shared" si="3"/>
        <v>2700000</v>
      </c>
    </row>
    <row r="322" spans="1:9" ht="26.25">
      <c r="A322" s="16" t="s">
        <v>364</v>
      </c>
      <c r="B322" s="29" t="s">
        <v>667</v>
      </c>
      <c r="C322" s="29" t="s">
        <v>102</v>
      </c>
      <c r="D322" s="29" t="s">
        <v>98</v>
      </c>
      <c r="E322" s="50" t="s">
        <v>678</v>
      </c>
      <c r="F322" s="37"/>
      <c r="G322" s="31">
        <f t="shared" si="4"/>
        <v>2700000</v>
      </c>
      <c r="H322" s="116"/>
      <c r="I322" s="31">
        <f t="shared" si="3"/>
        <v>2700000</v>
      </c>
    </row>
    <row r="323" spans="1:9" ht="26.25">
      <c r="A323" s="16" t="s">
        <v>366</v>
      </c>
      <c r="B323" s="29" t="s">
        <v>667</v>
      </c>
      <c r="C323" s="29" t="s">
        <v>102</v>
      </c>
      <c r="D323" s="29" t="s">
        <v>98</v>
      </c>
      <c r="E323" s="50" t="s">
        <v>367</v>
      </c>
      <c r="F323" s="37"/>
      <c r="G323" s="31">
        <f t="shared" si="4"/>
        <v>2700000</v>
      </c>
      <c r="H323" s="116"/>
      <c r="I323" s="31">
        <f t="shared" si="3"/>
        <v>2700000</v>
      </c>
    </row>
    <row r="324" spans="1:9" ht="26.25">
      <c r="A324" s="35" t="s">
        <v>38</v>
      </c>
      <c r="B324" s="29" t="s">
        <v>667</v>
      </c>
      <c r="C324" s="29" t="s">
        <v>102</v>
      </c>
      <c r="D324" s="29" t="s">
        <v>98</v>
      </c>
      <c r="E324" s="50" t="s">
        <v>367</v>
      </c>
      <c r="F324" s="37" t="s">
        <v>39</v>
      </c>
      <c r="G324" s="31">
        <f>900000+1800000</f>
        <v>2700000</v>
      </c>
      <c r="H324" s="116"/>
      <c r="I324" s="31">
        <f t="shared" si="3"/>
        <v>2700000</v>
      </c>
    </row>
    <row r="325" spans="1:9" ht="13.5" customHeight="1">
      <c r="A325" s="16" t="s">
        <v>368</v>
      </c>
      <c r="B325" s="29" t="s">
        <v>667</v>
      </c>
      <c r="C325" s="29" t="s">
        <v>109</v>
      </c>
      <c r="D325" s="29"/>
      <c r="E325" s="50"/>
      <c r="F325" s="56"/>
      <c r="G325" s="31">
        <f>G326</f>
        <v>1874500</v>
      </c>
      <c r="H325" s="116"/>
      <c r="I325" s="31">
        <f t="shared" si="3"/>
        <v>1874500</v>
      </c>
    </row>
    <row r="326" spans="1:9" ht="15">
      <c r="A326" s="16" t="s">
        <v>679</v>
      </c>
      <c r="B326" s="29" t="s">
        <v>667</v>
      </c>
      <c r="C326" s="29" t="s">
        <v>109</v>
      </c>
      <c r="D326" s="29" t="s">
        <v>109</v>
      </c>
      <c r="E326" s="29"/>
      <c r="F326" s="30"/>
      <c r="G326" s="31">
        <f>G327</f>
        <v>1874500</v>
      </c>
      <c r="H326" s="116"/>
      <c r="I326" s="31">
        <f t="shared" si="3"/>
        <v>1874500</v>
      </c>
    </row>
    <row r="327" spans="1:9" ht="66" customHeight="1">
      <c r="A327" s="10" t="s">
        <v>463</v>
      </c>
      <c r="B327" s="29" t="s">
        <v>667</v>
      </c>
      <c r="C327" s="29" t="s">
        <v>109</v>
      </c>
      <c r="D327" s="29" t="s">
        <v>109</v>
      </c>
      <c r="E327" s="50" t="s">
        <v>464</v>
      </c>
      <c r="F327" s="30"/>
      <c r="G327" s="31">
        <f>G328+G333</f>
        <v>1874500</v>
      </c>
      <c r="H327" s="116"/>
      <c r="I327" s="31">
        <f t="shared" si="3"/>
        <v>1874500</v>
      </c>
    </row>
    <row r="328" spans="1:9" ht="76.5" customHeight="1">
      <c r="A328" s="10" t="s">
        <v>465</v>
      </c>
      <c r="B328" s="29" t="s">
        <v>667</v>
      </c>
      <c r="C328" s="29" t="s">
        <v>109</v>
      </c>
      <c r="D328" s="29" t="s">
        <v>109</v>
      </c>
      <c r="E328" s="50" t="s">
        <v>466</v>
      </c>
      <c r="F328" s="56"/>
      <c r="G328" s="31">
        <f>G329</f>
        <v>100000</v>
      </c>
      <c r="H328" s="116"/>
      <c r="I328" s="31">
        <f t="shared" si="3"/>
        <v>100000</v>
      </c>
    </row>
    <row r="329" spans="1:9" ht="39.75" customHeight="1">
      <c r="A329" s="10" t="s">
        <v>467</v>
      </c>
      <c r="B329" s="29" t="s">
        <v>667</v>
      </c>
      <c r="C329" s="29" t="s">
        <v>109</v>
      </c>
      <c r="D329" s="29" t="s">
        <v>109</v>
      </c>
      <c r="E329" s="50" t="s">
        <v>468</v>
      </c>
      <c r="F329" s="56"/>
      <c r="G329" s="31">
        <f>G330</f>
        <v>100000</v>
      </c>
      <c r="H329" s="116"/>
      <c r="I329" s="31">
        <f t="shared" si="3"/>
        <v>100000</v>
      </c>
    </row>
    <row r="330" spans="1:9" ht="19.5" customHeight="1">
      <c r="A330" s="10" t="s">
        <v>469</v>
      </c>
      <c r="B330" s="29" t="s">
        <v>667</v>
      </c>
      <c r="C330" s="29" t="s">
        <v>109</v>
      </c>
      <c r="D330" s="29" t="s">
        <v>109</v>
      </c>
      <c r="E330" s="50" t="s">
        <v>470</v>
      </c>
      <c r="F330" s="56"/>
      <c r="G330" s="31">
        <f>G331+G332</f>
        <v>100000</v>
      </c>
      <c r="H330" s="116"/>
      <c r="I330" s="31">
        <f t="shared" si="3"/>
        <v>100000</v>
      </c>
    </row>
    <row r="331" spans="1:9" ht="27.75" customHeight="1">
      <c r="A331" s="35" t="s">
        <v>38</v>
      </c>
      <c r="B331" s="29" t="s">
        <v>667</v>
      </c>
      <c r="C331" s="29" t="s">
        <v>109</v>
      </c>
      <c r="D331" s="29" t="s">
        <v>109</v>
      </c>
      <c r="E331" s="50" t="s">
        <v>470</v>
      </c>
      <c r="F331" s="56" t="s">
        <v>39</v>
      </c>
      <c r="G331" s="31">
        <v>100000</v>
      </c>
      <c r="H331" s="116"/>
      <c r="I331" s="31">
        <f t="shared" si="3"/>
        <v>100000</v>
      </c>
    </row>
    <row r="332" spans="1:9" ht="19.5" customHeight="1" hidden="1">
      <c r="A332" s="16" t="s">
        <v>211</v>
      </c>
      <c r="B332" s="29" t="s">
        <v>667</v>
      </c>
      <c r="C332" s="29" t="s">
        <v>109</v>
      </c>
      <c r="D332" s="29" t="s">
        <v>109</v>
      </c>
      <c r="E332" s="50" t="s">
        <v>470</v>
      </c>
      <c r="F332" s="56" t="s">
        <v>212</v>
      </c>
      <c r="G332" s="31"/>
      <c r="H332" s="116"/>
      <c r="I332" s="31">
        <f t="shared" si="3"/>
        <v>0</v>
      </c>
    </row>
    <row r="333" spans="1:9" ht="78" customHeight="1">
      <c r="A333" s="63" t="s">
        <v>471</v>
      </c>
      <c r="B333" s="29" t="s">
        <v>667</v>
      </c>
      <c r="C333" s="29" t="s">
        <v>109</v>
      </c>
      <c r="D333" s="29" t="s">
        <v>109</v>
      </c>
      <c r="E333" s="50" t="s">
        <v>472</v>
      </c>
      <c r="F333" s="56"/>
      <c r="G333" s="31">
        <f>G334</f>
        <v>1774500</v>
      </c>
      <c r="H333" s="116"/>
      <c r="I333" s="31">
        <f t="shared" si="3"/>
        <v>1774500</v>
      </c>
    </row>
    <row r="334" spans="1:9" ht="36" customHeight="1">
      <c r="A334" s="10" t="s">
        <v>473</v>
      </c>
      <c r="B334" s="29" t="s">
        <v>667</v>
      </c>
      <c r="C334" s="29" t="s">
        <v>109</v>
      </c>
      <c r="D334" s="29" t="s">
        <v>109</v>
      </c>
      <c r="E334" s="50" t="s">
        <v>474</v>
      </c>
      <c r="F334" s="56"/>
      <c r="G334" s="31">
        <f>G335+G337+G339</f>
        <v>1774500</v>
      </c>
      <c r="H334" s="116"/>
      <c r="I334" s="31">
        <f t="shared" si="3"/>
        <v>1774500</v>
      </c>
    </row>
    <row r="335" spans="1:9" ht="15">
      <c r="A335" s="16" t="s">
        <v>475</v>
      </c>
      <c r="B335" s="29" t="s">
        <v>667</v>
      </c>
      <c r="C335" s="29" t="s">
        <v>109</v>
      </c>
      <c r="D335" s="29" t="s">
        <v>109</v>
      </c>
      <c r="E335" s="50" t="s">
        <v>476</v>
      </c>
      <c r="F335" s="30"/>
      <c r="G335" s="31">
        <f>G336</f>
        <v>682500</v>
      </c>
      <c r="H335" s="116"/>
      <c r="I335" s="31">
        <f t="shared" si="3"/>
        <v>682500</v>
      </c>
    </row>
    <row r="336" spans="1:9" ht="15">
      <c r="A336" s="16" t="s">
        <v>211</v>
      </c>
      <c r="B336" s="29" t="s">
        <v>667</v>
      </c>
      <c r="C336" s="29" t="s">
        <v>109</v>
      </c>
      <c r="D336" s="29" t="s">
        <v>109</v>
      </c>
      <c r="E336" s="50" t="s">
        <v>476</v>
      </c>
      <c r="F336" s="56" t="s">
        <v>212</v>
      </c>
      <c r="G336" s="31">
        <v>682500</v>
      </c>
      <c r="H336" s="116"/>
      <c r="I336" s="31">
        <f t="shared" si="3"/>
        <v>682500</v>
      </c>
    </row>
    <row r="337" spans="1:9" ht="30" customHeight="1">
      <c r="A337" s="118" t="s">
        <v>477</v>
      </c>
      <c r="B337" s="29" t="s">
        <v>667</v>
      </c>
      <c r="C337" s="29" t="s">
        <v>109</v>
      </c>
      <c r="D337" s="29" t="s">
        <v>109</v>
      </c>
      <c r="E337" s="50" t="s">
        <v>478</v>
      </c>
      <c r="F337" s="30"/>
      <c r="G337" s="31">
        <f>G338</f>
        <v>1092000</v>
      </c>
      <c r="H337" s="116"/>
      <c r="I337" s="31">
        <f>G337+H337</f>
        <v>1092000</v>
      </c>
    </row>
    <row r="338" spans="1:9" ht="15">
      <c r="A338" s="16" t="s">
        <v>211</v>
      </c>
      <c r="B338" s="29" t="s">
        <v>667</v>
      </c>
      <c r="C338" s="29" t="s">
        <v>109</v>
      </c>
      <c r="D338" s="29" t="s">
        <v>109</v>
      </c>
      <c r="E338" s="50" t="s">
        <v>478</v>
      </c>
      <c r="F338" s="56" t="s">
        <v>212</v>
      </c>
      <c r="G338" s="31">
        <v>1092000</v>
      </c>
      <c r="H338" s="116"/>
      <c r="I338" s="31">
        <f>G338+H338</f>
        <v>1092000</v>
      </c>
    </row>
    <row r="339" spans="1:9" ht="18.75" customHeight="1" hidden="1">
      <c r="A339" s="118" t="s">
        <v>479</v>
      </c>
      <c r="B339" s="29" t="s">
        <v>667</v>
      </c>
      <c r="C339" s="29" t="s">
        <v>109</v>
      </c>
      <c r="D339" s="29" t="s">
        <v>109</v>
      </c>
      <c r="E339" s="50" t="s">
        <v>480</v>
      </c>
      <c r="F339" s="30"/>
      <c r="G339" s="31">
        <f>G340</f>
        <v>0</v>
      </c>
      <c r="H339" s="116"/>
      <c r="I339" s="31">
        <f>G339+H339</f>
        <v>0</v>
      </c>
    </row>
    <row r="340" spans="1:9" ht="15" hidden="1">
      <c r="A340" s="16" t="s">
        <v>211</v>
      </c>
      <c r="B340" s="29" t="s">
        <v>667</v>
      </c>
      <c r="C340" s="29" t="s">
        <v>109</v>
      </c>
      <c r="D340" s="29" t="s">
        <v>109</v>
      </c>
      <c r="E340" s="50" t="s">
        <v>480</v>
      </c>
      <c r="F340" s="56" t="s">
        <v>212</v>
      </c>
      <c r="G340" s="31"/>
      <c r="H340" s="116"/>
      <c r="I340" s="31">
        <f>G340+H340</f>
        <v>0</v>
      </c>
    </row>
    <row r="341" spans="1:9" ht="15">
      <c r="A341" s="16" t="s">
        <v>540</v>
      </c>
      <c r="B341" s="29" t="s">
        <v>667</v>
      </c>
      <c r="C341" s="29" t="s">
        <v>248</v>
      </c>
      <c r="D341" s="29"/>
      <c r="E341" s="50"/>
      <c r="F341" s="56"/>
      <c r="G341" s="31">
        <f>G342</f>
        <v>851087</v>
      </c>
      <c r="H341" s="116"/>
      <c r="I341" s="31">
        <f t="shared" si="3"/>
        <v>851087</v>
      </c>
    </row>
    <row r="342" spans="1:9" ht="15">
      <c r="A342" s="10" t="s">
        <v>541</v>
      </c>
      <c r="B342" s="29" t="s">
        <v>667</v>
      </c>
      <c r="C342" s="29" t="s">
        <v>248</v>
      </c>
      <c r="D342" s="29" t="s">
        <v>109</v>
      </c>
      <c r="E342" s="29"/>
      <c r="F342" s="30"/>
      <c r="G342" s="31">
        <f>G343</f>
        <v>851087</v>
      </c>
      <c r="H342" s="116"/>
      <c r="I342" s="31">
        <f t="shared" si="3"/>
        <v>851087</v>
      </c>
    </row>
    <row r="343" spans="1:9" ht="26.25">
      <c r="A343" s="16" t="s">
        <v>86</v>
      </c>
      <c r="B343" s="29" t="s">
        <v>667</v>
      </c>
      <c r="C343" s="29" t="s">
        <v>248</v>
      </c>
      <c r="D343" s="29" t="s">
        <v>109</v>
      </c>
      <c r="E343" s="47" t="s">
        <v>87</v>
      </c>
      <c r="F343" s="37"/>
      <c r="G343" s="31">
        <f>G344</f>
        <v>851087</v>
      </c>
      <c r="H343" s="116"/>
      <c r="I343" s="31">
        <f t="shared" si="3"/>
        <v>851087</v>
      </c>
    </row>
    <row r="344" spans="1:9" ht="26.25">
      <c r="A344" s="16" t="s">
        <v>93</v>
      </c>
      <c r="B344" s="29" t="s">
        <v>667</v>
      </c>
      <c r="C344" s="29" t="s">
        <v>248</v>
      </c>
      <c r="D344" s="29" t="s">
        <v>109</v>
      </c>
      <c r="E344" s="29" t="s">
        <v>94</v>
      </c>
      <c r="F344" s="30"/>
      <c r="G344" s="31">
        <f>G345+G347</f>
        <v>851087</v>
      </c>
      <c r="H344" s="116"/>
      <c r="I344" s="31">
        <f t="shared" si="3"/>
        <v>851087</v>
      </c>
    </row>
    <row r="345" spans="1:9" ht="38.25">
      <c r="A345" s="12" t="s">
        <v>542</v>
      </c>
      <c r="B345" s="29" t="s">
        <v>667</v>
      </c>
      <c r="C345" s="29" t="s">
        <v>248</v>
      </c>
      <c r="D345" s="29" t="s">
        <v>109</v>
      </c>
      <c r="E345" s="29" t="s">
        <v>543</v>
      </c>
      <c r="F345" s="30"/>
      <c r="G345" s="31">
        <f>G346</f>
        <v>851087</v>
      </c>
      <c r="H345" s="116"/>
      <c r="I345" s="31">
        <f aca="true" t="shared" si="5" ref="I345:I408">G345+H345</f>
        <v>851087</v>
      </c>
    </row>
    <row r="346" spans="1:9" ht="26.25">
      <c r="A346" s="35" t="s">
        <v>38</v>
      </c>
      <c r="B346" s="29" t="s">
        <v>667</v>
      </c>
      <c r="C346" s="29" t="s">
        <v>248</v>
      </c>
      <c r="D346" s="29" t="s">
        <v>109</v>
      </c>
      <c r="E346" s="29" t="s">
        <v>543</v>
      </c>
      <c r="F346" s="37" t="s">
        <v>39</v>
      </c>
      <c r="G346" s="31">
        <v>851087</v>
      </c>
      <c r="H346" s="116"/>
      <c r="I346" s="31">
        <f t="shared" si="5"/>
        <v>851087</v>
      </c>
    </row>
    <row r="347" spans="1:9" ht="46.5" customHeight="1" hidden="1">
      <c r="A347" s="10" t="s">
        <v>680</v>
      </c>
      <c r="B347" s="29" t="s">
        <v>667</v>
      </c>
      <c r="C347" s="29" t="s">
        <v>248</v>
      </c>
      <c r="D347" s="29" t="s">
        <v>109</v>
      </c>
      <c r="E347" s="29" t="s">
        <v>96</v>
      </c>
      <c r="F347" s="30"/>
      <c r="G347" s="31">
        <f>G348</f>
        <v>0</v>
      </c>
      <c r="H347" s="116"/>
      <c r="I347" s="31">
        <f t="shared" si="5"/>
        <v>0</v>
      </c>
    </row>
    <row r="348" spans="1:9" ht="26.25" hidden="1">
      <c r="A348" s="35" t="s">
        <v>38</v>
      </c>
      <c r="B348" s="29" t="s">
        <v>667</v>
      </c>
      <c r="C348" s="29" t="s">
        <v>248</v>
      </c>
      <c r="D348" s="29" t="s">
        <v>109</v>
      </c>
      <c r="E348" s="29" t="s">
        <v>96</v>
      </c>
      <c r="F348" s="37" t="s">
        <v>27</v>
      </c>
      <c r="G348" s="31"/>
      <c r="H348" s="116"/>
      <c r="I348" s="31">
        <f t="shared" si="5"/>
        <v>0</v>
      </c>
    </row>
    <row r="349" spans="1:9" ht="17.25" customHeight="1">
      <c r="A349" s="16" t="s">
        <v>544</v>
      </c>
      <c r="B349" s="29" t="s">
        <v>667</v>
      </c>
      <c r="C349" s="29" t="s">
        <v>216</v>
      </c>
      <c r="D349" s="29"/>
      <c r="E349" s="50"/>
      <c r="F349" s="56"/>
      <c r="G349" s="31">
        <f>G350+G356+G372</f>
        <v>75981533</v>
      </c>
      <c r="H349" s="116"/>
      <c r="I349" s="31">
        <f t="shared" si="5"/>
        <v>75981533</v>
      </c>
    </row>
    <row r="350" spans="1:9" ht="15">
      <c r="A350" s="16" t="s">
        <v>545</v>
      </c>
      <c r="B350" s="29" t="s">
        <v>667</v>
      </c>
      <c r="C350" s="29" t="s">
        <v>216</v>
      </c>
      <c r="D350" s="29" t="s">
        <v>17</v>
      </c>
      <c r="E350" s="29"/>
      <c r="F350" s="30"/>
      <c r="G350" s="31">
        <f>G351</f>
        <v>295400</v>
      </c>
      <c r="H350" s="116"/>
      <c r="I350" s="31">
        <f t="shared" si="5"/>
        <v>295400</v>
      </c>
    </row>
    <row r="351" spans="1:9" ht="57" customHeight="1">
      <c r="A351" s="16" t="s">
        <v>546</v>
      </c>
      <c r="B351" s="29" t="s">
        <v>667</v>
      </c>
      <c r="C351" s="29" t="s">
        <v>216</v>
      </c>
      <c r="D351" s="29" t="s">
        <v>17</v>
      </c>
      <c r="E351" s="29" t="s">
        <v>44</v>
      </c>
      <c r="F351" s="30"/>
      <c r="G351" s="31">
        <f>G352</f>
        <v>295400</v>
      </c>
      <c r="H351" s="116"/>
      <c r="I351" s="31">
        <f t="shared" si="5"/>
        <v>295400</v>
      </c>
    </row>
    <row r="352" spans="1:9" ht="70.5" customHeight="1">
      <c r="A352" s="63" t="s">
        <v>547</v>
      </c>
      <c r="B352" s="29" t="s">
        <v>667</v>
      </c>
      <c r="C352" s="29" t="s">
        <v>216</v>
      </c>
      <c r="D352" s="29" t="s">
        <v>17</v>
      </c>
      <c r="E352" s="29" t="s">
        <v>126</v>
      </c>
      <c r="F352" s="30"/>
      <c r="G352" s="31">
        <f>G354</f>
        <v>295400</v>
      </c>
      <c r="H352" s="116"/>
      <c r="I352" s="31">
        <f t="shared" si="5"/>
        <v>295400</v>
      </c>
    </row>
    <row r="353" spans="1:9" ht="42" customHeight="1">
      <c r="A353" s="14" t="s">
        <v>548</v>
      </c>
      <c r="B353" s="29" t="s">
        <v>667</v>
      </c>
      <c r="C353" s="29" t="s">
        <v>216</v>
      </c>
      <c r="D353" s="29" t="s">
        <v>17</v>
      </c>
      <c r="E353" s="29" t="s">
        <v>549</v>
      </c>
      <c r="F353" s="30"/>
      <c r="G353" s="31">
        <f>G354</f>
        <v>295400</v>
      </c>
      <c r="H353" s="116"/>
      <c r="I353" s="31">
        <f t="shared" si="5"/>
        <v>295400</v>
      </c>
    </row>
    <row r="354" spans="1:9" ht="33.75" customHeight="1">
      <c r="A354" s="63" t="s">
        <v>550</v>
      </c>
      <c r="B354" s="29" t="s">
        <v>667</v>
      </c>
      <c r="C354" s="29" t="s">
        <v>551</v>
      </c>
      <c r="D354" s="29" t="s">
        <v>17</v>
      </c>
      <c r="E354" s="29" t="s">
        <v>552</v>
      </c>
      <c r="F354" s="30"/>
      <c r="G354" s="31">
        <f>G355</f>
        <v>295400</v>
      </c>
      <c r="H354" s="116"/>
      <c r="I354" s="31">
        <f t="shared" si="5"/>
        <v>295400</v>
      </c>
    </row>
    <row r="355" spans="1:9" ht="15">
      <c r="A355" s="48" t="s">
        <v>211</v>
      </c>
      <c r="B355" s="29" t="s">
        <v>667</v>
      </c>
      <c r="C355" s="29" t="s">
        <v>551</v>
      </c>
      <c r="D355" s="29" t="s">
        <v>17</v>
      </c>
      <c r="E355" s="29" t="s">
        <v>552</v>
      </c>
      <c r="F355" s="30" t="s">
        <v>212</v>
      </c>
      <c r="G355" s="31">
        <v>295400</v>
      </c>
      <c r="H355" s="116"/>
      <c r="I355" s="31">
        <f t="shared" si="5"/>
        <v>295400</v>
      </c>
    </row>
    <row r="356" spans="1:9" ht="17.25" customHeight="1">
      <c r="A356" s="16" t="s">
        <v>553</v>
      </c>
      <c r="B356" s="29" t="s">
        <v>667</v>
      </c>
      <c r="C356" s="29">
        <v>10</v>
      </c>
      <c r="D356" s="29" t="s">
        <v>29</v>
      </c>
      <c r="E356" s="29"/>
      <c r="F356" s="30"/>
      <c r="G356" s="31">
        <f>G357</f>
        <v>10597033</v>
      </c>
      <c r="H356" s="116"/>
      <c r="I356" s="31">
        <f t="shared" si="5"/>
        <v>10597033</v>
      </c>
    </row>
    <row r="357" spans="1:9" ht="44.25" customHeight="1">
      <c r="A357" s="16" t="s">
        <v>546</v>
      </c>
      <c r="B357" s="29" t="s">
        <v>667</v>
      </c>
      <c r="C357" s="29">
        <v>10</v>
      </c>
      <c r="D357" s="29" t="s">
        <v>29</v>
      </c>
      <c r="E357" s="29" t="s">
        <v>44</v>
      </c>
      <c r="F357" s="30"/>
      <c r="G357" s="31">
        <f>G358</f>
        <v>10597033</v>
      </c>
      <c r="H357" s="116"/>
      <c r="I357" s="31">
        <f t="shared" si="5"/>
        <v>10597033</v>
      </c>
    </row>
    <row r="358" spans="1:9" ht="73.5" customHeight="1">
      <c r="A358" s="9" t="s">
        <v>559</v>
      </c>
      <c r="B358" s="29" t="s">
        <v>667</v>
      </c>
      <c r="C358" s="29">
        <v>10</v>
      </c>
      <c r="D358" s="29" t="s">
        <v>29</v>
      </c>
      <c r="E358" s="29" t="s">
        <v>126</v>
      </c>
      <c r="F358" s="30"/>
      <c r="G358" s="31">
        <f>G359</f>
        <v>10597033</v>
      </c>
      <c r="H358" s="116"/>
      <c r="I358" s="31">
        <f t="shared" si="5"/>
        <v>10597033</v>
      </c>
    </row>
    <row r="359" spans="1:9" ht="42" customHeight="1">
      <c r="A359" s="9" t="s">
        <v>560</v>
      </c>
      <c r="B359" s="29" t="s">
        <v>667</v>
      </c>
      <c r="C359" s="29">
        <v>10</v>
      </c>
      <c r="D359" s="29" t="s">
        <v>29</v>
      </c>
      <c r="E359" s="29" t="s">
        <v>561</v>
      </c>
      <c r="F359" s="30"/>
      <c r="G359" s="31">
        <f>G360+G363+G366+G369</f>
        <v>10597033</v>
      </c>
      <c r="H359" s="116"/>
      <c r="I359" s="31">
        <f t="shared" si="5"/>
        <v>10597033</v>
      </c>
    </row>
    <row r="360" spans="1:10" ht="39">
      <c r="A360" s="8" t="s">
        <v>562</v>
      </c>
      <c r="B360" s="29" t="s">
        <v>667</v>
      </c>
      <c r="C360" s="29">
        <v>10</v>
      </c>
      <c r="D360" s="29" t="s">
        <v>29</v>
      </c>
      <c r="E360" s="29" t="s">
        <v>563</v>
      </c>
      <c r="F360" s="30"/>
      <c r="G360" s="31">
        <f>G362+G361</f>
        <v>49242</v>
      </c>
      <c r="H360" s="116"/>
      <c r="I360" s="31">
        <f t="shared" si="5"/>
        <v>49242</v>
      </c>
      <c r="J360" s="127"/>
    </row>
    <row r="361" spans="1:10" ht="26.25" customHeight="1">
      <c r="A361" s="35" t="s">
        <v>38</v>
      </c>
      <c r="B361" s="29" t="s">
        <v>667</v>
      </c>
      <c r="C361" s="29">
        <v>10</v>
      </c>
      <c r="D361" s="29" t="s">
        <v>29</v>
      </c>
      <c r="E361" s="29" t="s">
        <v>563</v>
      </c>
      <c r="F361" s="30" t="s">
        <v>39</v>
      </c>
      <c r="G361" s="31">
        <f>450+120</f>
        <v>570</v>
      </c>
      <c r="H361" s="116"/>
      <c r="I361" s="31">
        <f t="shared" si="5"/>
        <v>570</v>
      </c>
      <c r="J361" s="79"/>
    </row>
    <row r="362" spans="1:10" ht="17.25" customHeight="1">
      <c r="A362" s="88" t="s">
        <v>211</v>
      </c>
      <c r="B362" s="29" t="s">
        <v>667</v>
      </c>
      <c r="C362" s="29">
        <v>10</v>
      </c>
      <c r="D362" s="29" t="s">
        <v>29</v>
      </c>
      <c r="E362" s="29" t="s">
        <v>563</v>
      </c>
      <c r="F362" s="30" t="s">
        <v>212</v>
      </c>
      <c r="G362" s="31">
        <f>45152+3520</f>
        <v>48672</v>
      </c>
      <c r="H362" s="116"/>
      <c r="I362" s="31">
        <f t="shared" si="5"/>
        <v>48672</v>
      </c>
      <c r="J362" s="79"/>
    </row>
    <row r="363" spans="1:10" ht="47.25" customHeight="1">
      <c r="A363" s="8" t="s">
        <v>564</v>
      </c>
      <c r="B363" s="29" t="s">
        <v>667</v>
      </c>
      <c r="C363" s="29">
        <v>10</v>
      </c>
      <c r="D363" s="29" t="s">
        <v>29</v>
      </c>
      <c r="E363" s="29" t="s">
        <v>565</v>
      </c>
      <c r="F363" s="30"/>
      <c r="G363" s="31">
        <f>G365+G364</f>
        <v>219945</v>
      </c>
      <c r="H363" s="116"/>
      <c r="I363" s="31">
        <f t="shared" si="5"/>
        <v>219945</v>
      </c>
      <c r="J363" s="127"/>
    </row>
    <row r="364" spans="1:9" ht="34.5" customHeight="1">
      <c r="A364" s="35" t="s">
        <v>38</v>
      </c>
      <c r="B364" s="29" t="s">
        <v>667</v>
      </c>
      <c r="C364" s="29">
        <v>10</v>
      </c>
      <c r="D364" s="29" t="s">
        <v>29</v>
      </c>
      <c r="E364" s="29" t="s">
        <v>565</v>
      </c>
      <c r="F364" s="30" t="s">
        <v>39</v>
      </c>
      <c r="G364" s="31">
        <f>2500+500</f>
        <v>3000</v>
      </c>
      <c r="H364" s="116"/>
      <c r="I364" s="31">
        <f t="shared" si="5"/>
        <v>3000</v>
      </c>
    </row>
    <row r="365" spans="1:9" ht="24.75" customHeight="1">
      <c r="A365" s="88" t="s">
        <v>211</v>
      </c>
      <c r="B365" s="29" t="s">
        <v>667</v>
      </c>
      <c r="C365" s="29">
        <v>10</v>
      </c>
      <c r="D365" s="29" t="s">
        <v>29</v>
      </c>
      <c r="E365" s="29" t="s">
        <v>565</v>
      </c>
      <c r="F365" s="30" t="s">
        <v>212</v>
      </c>
      <c r="G365" s="31">
        <f>201221+15724</f>
        <v>216945</v>
      </c>
      <c r="H365" s="116"/>
      <c r="I365" s="31">
        <f t="shared" si="5"/>
        <v>216945</v>
      </c>
    </row>
    <row r="366" spans="1:9" ht="36.75" customHeight="1">
      <c r="A366" s="16" t="s">
        <v>566</v>
      </c>
      <c r="B366" s="29" t="s">
        <v>667</v>
      </c>
      <c r="C366" s="29">
        <v>10</v>
      </c>
      <c r="D366" s="29" t="s">
        <v>29</v>
      </c>
      <c r="E366" s="29" t="s">
        <v>567</v>
      </c>
      <c r="F366" s="30"/>
      <c r="G366" s="31">
        <f>G368+G367</f>
        <v>9607846</v>
      </c>
      <c r="H366" s="116"/>
      <c r="I366" s="31">
        <f t="shared" si="5"/>
        <v>9607846</v>
      </c>
    </row>
    <row r="367" spans="1:9" ht="39.75" customHeight="1">
      <c r="A367" s="35" t="s">
        <v>38</v>
      </c>
      <c r="B367" s="29" t="s">
        <v>667</v>
      </c>
      <c r="C367" s="29">
        <v>10</v>
      </c>
      <c r="D367" s="29" t="s">
        <v>29</v>
      </c>
      <c r="E367" s="29" t="s">
        <v>567</v>
      </c>
      <c r="F367" s="30" t="s">
        <v>39</v>
      </c>
      <c r="G367" s="31">
        <f>80000+23000</f>
        <v>103000</v>
      </c>
      <c r="H367" s="116"/>
      <c r="I367" s="31">
        <f t="shared" si="5"/>
        <v>103000</v>
      </c>
    </row>
    <row r="368" spans="1:9" ht="20.25" customHeight="1">
      <c r="A368" s="88" t="s">
        <v>211</v>
      </c>
      <c r="B368" s="29" t="s">
        <v>667</v>
      </c>
      <c r="C368" s="29">
        <v>10</v>
      </c>
      <c r="D368" s="29" t="s">
        <v>29</v>
      </c>
      <c r="E368" s="29" t="s">
        <v>567</v>
      </c>
      <c r="F368" s="30" t="s">
        <v>212</v>
      </c>
      <c r="G368" s="31">
        <f>8766420+738426</f>
        <v>9504846</v>
      </c>
      <c r="H368" s="116"/>
      <c r="I368" s="31">
        <f t="shared" si="5"/>
        <v>9504846</v>
      </c>
    </row>
    <row r="369" spans="1:13" s="3" customFormat="1" ht="26.25">
      <c r="A369" s="16" t="s">
        <v>568</v>
      </c>
      <c r="B369" s="29" t="s">
        <v>667</v>
      </c>
      <c r="C369" s="29">
        <v>10</v>
      </c>
      <c r="D369" s="29" t="s">
        <v>29</v>
      </c>
      <c r="E369" s="29" t="s">
        <v>569</v>
      </c>
      <c r="F369" s="30"/>
      <c r="G369" s="31">
        <f>G371+G370</f>
        <v>720000</v>
      </c>
      <c r="H369" s="116"/>
      <c r="I369" s="31">
        <f t="shared" si="5"/>
        <v>720000</v>
      </c>
      <c r="J369" s="128"/>
      <c r="K369" s="128"/>
      <c r="L369" s="128"/>
      <c r="M369" s="128"/>
    </row>
    <row r="370" spans="1:9" ht="26.25">
      <c r="A370" s="35" t="s">
        <v>38</v>
      </c>
      <c r="B370" s="29" t="s">
        <v>667</v>
      </c>
      <c r="C370" s="29">
        <v>10</v>
      </c>
      <c r="D370" s="29" t="s">
        <v>29</v>
      </c>
      <c r="E370" s="29" t="s">
        <v>569</v>
      </c>
      <c r="F370" s="30" t="s">
        <v>39</v>
      </c>
      <c r="G370" s="31">
        <f>10800+800</f>
        <v>11600</v>
      </c>
      <c r="H370" s="116"/>
      <c r="I370" s="31">
        <f t="shared" si="5"/>
        <v>11600</v>
      </c>
    </row>
    <row r="371" spans="1:9" ht="15">
      <c r="A371" s="88" t="s">
        <v>211</v>
      </c>
      <c r="B371" s="29" t="s">
        <v>667</v>
      </c>
      <c r="C371" s="29">
        <v>10</v>
      </c>
      <c r="D371" s="29" t="s">
        <v>29</v>
      </c>
      <c r="E371" s="29" t="s">
        <v>569</v>
      </c>
      <c r="F371" s="30" t="s">
        <v>212</v>
      </c>
      <c r="G371" s="31">
        <v>708400</v>
      </c>
      <c r="H371" s="116"/>
      <c r="I371" s="31">
        <f t="shared" si="5"/>
        <v>708400</v>
      </c>
    </row>
    <row r="372" spans="1:9" ht="24" customHeight="1">
      <c r="A372" s="16" t="s">
        <v>579</v>
      </c>
      <c r="B372" s="29" t="s">
        <v>667</v>
      </c>
      <c r="C372" s="29">
        <v>10</v>
      </c>
      <c r="D372" s="29" t="s">
        <v>42</v>
      </c>
      <c r="E372" s="29"/>
      <c r="F372" s="30"/>
      <c r="G372" s="31">
        <f>G373+G389</f>
        <v>65089100</v>
      </c>
      <c r="H372" s="31">
        <f>H373</f>
        <v>0</v>
      </c>
      <c r="I372" s="31">
        <f t="shared" si="5"/>
        <v>65089100</v>
      </c>
    </row>
    <row r="373" spans="1:9" ht="44.25" customHeight="1">
      <c r="A373" s="16" t="s">
        <v>124</v>
      </c>
      <c r="B373" s="29" t="s">
        <v>667</v>
      </c>
      <c r="C373" s="29">
        <v>10</v>
      </c>
      <c r="D373" s="29" t="s">
        <v>42</v>
      </c>
      <c r="E373" s="90" t="s">
        <v>44</v>
      </c>
      <c r="F373" s="30"/>
      <c r="G373" s="31">
        <f>G374+G385</f>
        <v>65089100</v>
      </c>
      <c r="H373" s="31">
        <f>H374+H384</f>
        <v>0</v>
      </c>
      <c r="I373" s="31">
        <f t="shared" si="5"/>
        <v>65089100</v>
      </c>
    </row>
    <row r="374" spans="1:9" ht="54.75" customHeight="1">
      <c r="A374" s="9" t="s">
        <v>559</v>
      </c>
      <c r="B374" s="29" t="s">
        <v>667</v>
      </c>
      <c r="C374" s="29">
        <v>10</v>
      </c>
      <c r="D374" s="29" t="s">
        <v>42</v>
      </c>
      <c r="E374" s="90" t="s">
        <v>126</v>
      </c>
      <c r="F374" s="30"/>
      <c r="G374" s="31">
        <f>G375</f>
        <v>53889314</v>
      </c>
      <c r="H374" s="31">
        <f>H375</f>
        <v>0</v>
      </c>
      <c r="I374" s="31">
        <f t="shared" si="5"/>
        <v>53889314</v>
      </c>
    </row>
    <row r="375" spans="1:9" ht="44.25" customHeight="1">
      <c r="A375" s="9" t="s">
        <v>560</v>
      </c>
      <c r="B375" s="29" t="s">
        <v>667</v>
      </c>
      <c r="C375" s="29">
        <v>10</v>
      </c>
      <c r="D375" s="29" t="s">
        <v>42</v>
      </c>
      <c r="E375" s="29" t="s">
        <v>561</v>
      </c>
      <c r="F375" s="30"/>
      <c r="G375" s="31">
        <f>G376+G379+G383+G381</f>
        <v>53889314</v>
      </c>
      <c r="H375" s="31"/>
      <c r="I375" s="31">
        <f t="shared" si="5"/>
        <v>53889314</v>
      </c>
    </row>
    <row r="376" spans="1:9" ht="25.5" customHeight="1">
      <c r="A376" s="16" t="s">
        <v>580</v>
      </c>
      <c r="B376" s="29" t="s">
        <v>667</v>
      </c>
      <c r="C376" s="29" t="s">
        <v>216</v>
      </c>
      <c r="D376" s="29" t="s">
        <v>42</v>
      </c>
      <c r="E376" s="29" t="s">
        <v>581</v>
      </c>
      <c r="F376" s="30"/>
      <c r="G376" s="31">
        <f>G377+G378</f>
        <v>2254800</v>
      </c>
      <c r="H376" s="31"/>
      <c r="I376" s="31">
        <f t="shared" si="5"/>
        <v>2254800</v>
      </c>
    </row>
    <row r="377" spans="1:9" ht="27" customHeight="1">
      <c r="A377" s="35" t="s">
        <v>38</v>
      </c>
      <c r="B377" s="29" t="s">
        <v>667</v>
      </c>
      <c r="C377" s="29" t="s">
        <v>216</v>
      </c>
      <c r="D377" s="29" t="s">
        <v>42</v>
      </c>
      <c r="E377" s="29" t="s">
        <v>581</v>
      </c>
      <c r="F377" s="30" t="s">
        <v>39</v>
      </c>
      <c r="G377" s="31">
        <v>350</v>
      </c>
      <c r="H377" s="116"/>
      <c r="I377" s="31">
        <f t="shared" si="5"/>
        <v>350</v>
      </c>
    </row>
    <row r="378" spans="1:9" ht="15" customHeight="1">
      <c r="A378" s="88" t="s">
        <v>211</v>
      </c>
      <c r="B378" s="29" t="s">
        <v>667</v>
      </c>
      <c r="C378" s="29" t="s">
        <v>216</v>
      </c>
      <c r="D378" s="29" t="s">
        <v>42</v>
      </c>
      <c r="E378" s="29" t="s">
        <v>581</v>
      </c>
      <c r="F378" s="30" t="s">
        <v>212</v>
      </c>
      <c r="G378" s="31">
        <f>2093291+161159</f>
        <v>2254450</v>
      </c>
      <c r="H378" s="116"/>
      <c r="I378" s="31">
        <f t="shared" si="5"/>
        <v>2254450</v>
      </c>
    </row>
    <row r="379" spans="1:9" ht="25.5">
      <c r="A379" s="88" t="s">
        <v>582</v>
      </c>
      <c r="B379" s="29" t="s">
        <v>667</v>
      </c>
      <c r="C379" s="29" t="s">
        <v>216</v>
      </c>
      <c r="D379" s="29" t="s">
        <v>42</v>
      </c>
      <c r="E379" s="29" t="s">
        <v>583</v>
      </c>
      <c r="F379" s="30"/>
      <c r="G379" s="31">
        <f>G380</f>
        <v>50646759</v>
      </c>
      <c r="H379" s="116"/>
      <c r="I379" s="31">
        <f t="shared" si="5"/>
        <v>50646759</v>
      </c>
    </row>
    <row r="380" spans="1:9" ht="13.5" customHeight="1">
      <c r="A380" s="88" t="s">
        <v>211</v>
      </c>
      <c r="B380" s="29" t="s">
        <v>667</v>
      </c>
      <c r="C380" s="29" t="s">
        <v>216</v>
      </c>
      <c r="D380" s="29" t="s">
        <v>42</v>
      </c>
      <c r="E380" s="29" t="s">
        <v>583</v>
      </c>
      <c r="F380" s="30" t="s">
        <v>212</v>
      </c>
      <c r="G380" s="31">
        <v>50646759</v>
      </c>
      <c r="H380" s="116"/>
      <c r="I380" s="31">
        <f t="shared" si="5"/>
        <v>50646759</v>
      </c>
    </row>
    <row r="381" spans="1:9" ht="51" hidden="1">
      <c r="A381" s="10" t="s">
        <v>584</v>
      </c>
      <c r="B381" s="29" t="s">
        <v>667</v>
      </c>
      <c r="C381" s="29" t="s">
        <v>216</v>
      </c>
      <c r="D381" s="29" t="s">
        <v>42</v>
      </c>
      <c r="E381" s="29" t="s">
        <v>585</v>
      </c>
      <c r="F381" s="30"/>
      <c r="G381" s="31">
        <f>G382</f>
        <v>0</v>
      </c>
      <c r="H381" s="116"/>
      <c r="I381" s="31">
        <f t="shared" si="5"/>
        <v>0</v>
      </c>
    </row>
    <row r="382" spans="1:9" ht="15" hidden="1">
      <c r="A382" s="88" t="s">
        <v>211</v>
      </c>
      <c r="B382" s="29" t="s">
        <v>667</v>
      </c>
      <c r="C382" s="29" t="s">
        <v>216</v>
      </c>
      <c r="D382" s="29" t="s">
        <v>42</v>
      </c>
      <c r="E382" s="29" t="s">
        <v>585</v>
      </c>
      <c r="F382" s="30" t="s">
        <v>212</v>
      </c>
      <c r="G382" s="31"/>
      <c r="H382" s="116"/>
      <c r="I382" s="31">
        <f t="shared" si="5"/>
        <v>0</v>
      </c>
    </row>
    <row r="383" spans="1:9" ht="38.25">
      <c r="A383" s="88" t="s">
        <v>586</v>
      </c>
      <c r="B383" s="29" t="s">
        <v>667</v>
      </c>
      <c r="C383" s="29" t="s">
        <v>216</v>
      </c>
      <c r="D383" s="29" t="s">
        <v>42</v>
      </c>
      <c r="E383" s="29" t="s">
        <v>587</v>
      </c>
      <c r="F383" s="30"/>
      <c r="G383" s="31">
        <f>G384</f>
        <v>987755</v>
      </c>
      <c r="H383" s="116"/>
      <c r="I383" s="31">
        <f t="shared" si="5"/>
        <v>987755</v>
      </c>
    </row>
    <row r="384" spans="1:9" ht="30.75" customHeight="1">
      <c r="A384" s="35" t="s">
        <v>38</v>
      </c>
      <c r="B384" s="29" t="s">
        <v>667</v>
      </c>
      <c r="C384" s="29" t="s">
        <v>216</v>
      </c>
      <c r="D384" s="29" t="s">
        <v>42</v>
      </c>
      <c r="E384" s="29" t="s">
        <v>587</v>
      </c>
      <c r="F384" s="30" t="s">
        <v>39</v>
      </c>
      <c r="G384" s="31">
        <v>987755</v>
      </c>
      <c r="H384" s="116"/>
      <c r="I384" s="31">
        <f t="shared" si="5"/>
        <v>987755</v>
      </c>
    </row>
    <row r="385" spans="1:9" ht="76.5" hidden="1">
      <c r="A385" s="53" t="s">
        <v>588</v>
      </c>
      <c r="B385" s="29" t="s">
        <v>667</v>
      </c>
      <c r="C385" s="29" t="s">
        <v>216</v>
      </c>
      <c r="D385" s="29" t="s">
        <v>42</v>
      </c>
      <c r="E385" s="29" t="s">
        <v>46</v>
      </c>
      <c r="F385" s="30"/>
      <c r="G385" s="31">
        <f>G386</f>
        <v>11199786</v>
      </c>
      <c r="H385" s="116"/>
      <c r="I385" s="31">
        <f t="shared" si="5"/>
        <v>11199786</v>
      </c>
    </row>
    <row r="386" spans="1:9" ht="38.25">
      <c r="A386" s="43" t="s">
        <v>745</v>
      </c>
      <c r="B386" s="29" t="s">
        <v>667</v>
      </c>
      <c r="C386" s="29" t="s">
        <v>216</v>
      </c>
      <c r="D386" s="29" t="s">
        <v>42</v>
      </c>
      <c r="E386" s="36" t="s">
        <v>746</v>
      </c>
      <c r="F386" s="30"/>
      <c r="G386" s="31">
        <f>G387</f>
        <v>11199786</v>
      </c>
      <c r="H386" s="116"/>
      <c r="I386" s="31">
        <f t="shared" si="5"/>
        <v>11199786</v>
      </c>
    </row>
    <row r="387" spans="1:9" ht="51.75">
      <c r="A387" s="44" t="s">
        <v>598</v>
      </c>
      <c r="B387" s="29" t="s">
        <v>667</v>
      </c>
      <c r="C387" s="29">
        <v>10</v>
      </c>
      <c r="D387" s="29" t="s">
        <v>42</v>
      </c>
      <c r="E387" s="29" t="s">
        <v>747</v>
      </c>
      <c r="F387" s="30"/>
      <c r="G387" s="31">
        <f>G388</f>
        <v>11199786</v>
      </c>
      <c r="H387" s="116"/>
      <c r="I387" s="31">
        <f t="shared" si="5"/>
        <v>11199786</v>
      </c>
    </row>
    <row r="388" spans="1:9" ht="26.25">
      <c r="A388" s="16" t="s">
        <v>271</v>
      </c>
      <c r="B388" s="29" t="s">
        <v>667</v>
      </c>
      <c r="C388" s="29">
        <v>10</v>
      </c>
      <c r="D388" s="29" t="s">
        <v>42</v>
      </c>
      <c r="E388" s="29" t="s">
        <v>747</v>
      </c>
      <c r="F388" s="30" t="s">
        <v>272</v>
      </c>
      <c r="G388" s="31">
        <f>8168395+3031391</f>
        <v>11199786</v>
      </c>
      <c r="H388" s="116"/>
      <c r="I388" s="31">
        <f t="shared" si="5"/>
        <v>11199786</v>
      </c>
    </row>
    <row r="389" spans="1:9" ht="26.25" hidden="1">
      <c r="A389" s="16" t="s">
        <v>86</v>
      </c>
      <c r="B389" s="29" t="s">
        <v>667</v>
      </c>
      <c r="C389" s="29">
        <v>10</v>
      </c>
      <c r="D389" s="29" t="s">
        <v>42</v>
      </c>
      <c r="E389" s="47" t="s">
        <v>87</v>
      </c>
      <c r="F389" s="37"/>
      <c r="G389" s="31">
        <f>G390</f>
        <v>0</v>
      </c>
      <c r="H389" s="116"/>
      <c r="I389" s="31">
        <f t="shared" si="5"/>
        <v>0</v>
      </c>
    </row>
    <row r="390" spans="1:9" ht="26.25" hidden="1">
      <c r="A390" s="16" t="s">
        <v>93</v>
      </c>
      <c r="B390" s="29" t="s">
        <v>667</v>
      </c>
      <c r="C390" s="29">
        <v>10</v>
      </c>
      <c r="D390" s="29" t="s">
        <v>42</v>
      </c>
      <c r="E390" s="39" t="s">
        <v>94</v>
      </c>
      <c r="F390" s="37"/>
      <c r="G390" s="31">
        <f>G391</f>
        <v>0</v>
      </c>
      <c r="H390" s="116"/>
      <c r="I390" s="31">
        <f t="shared" si="5"/>
        <v>0</v>
      </c>
    </row>
    <row r="391" spans="1:9" ht="51.75" hidden="1">
      <c r="A391" s="44" t="s">
        <v>598</v>
      </c>
      <c r="B391" s="29" t="s">
        <v>667</v>
      </c>
      <c r="C391" s="29">
        <v>10</v>
      </c>
      <c r="D391" s="29" t="s">
        <v>42</v>
      </c>
      <c r="E391" s="29" t="s">
        <v>599</v>
      </c>
      <c r="F391" s="30"/>
      <c r="G391" s="31">
        <f>G392</f>
        <v>0</v>
      </c>
      <c r="H391" s="116"/>
      <c r="I391" s="31">
        <f t="shared" si="5"/>
        <v>0</v>
      </c>
    </row>
    <row r="392" spans="1:9" ht="26.25" hidden="1">
      <c r="A392" s="16" t="s">
        <v>271</v>
      </c>
      <c r="B392" s="29" t="s">
        <v>667</v>
      </c>
      <c r="C392" s="29">
        <v>10</v>
      </c>
      <c r="D392" s="29" t="s">
        <v>42</v>
      </c>
      <c r="E392" s="29" t="s">
        <v>599</v>
      </c>
      <c r="F392" s="37" t="s">
        <v>272</v>
      </c>
      <c r="G392" s="31"/>
      <c r="H392" s="116"/>
      <c r="I392" s="31">
        <f t="shared" si="5"/>
        <v>0</v>
      </c>
    </row>
    <row r="393" spans="1:9" ht="15">
      <c r="A393" s="16" t="s">
        <v>600</v>
      </c>
      <c r="B393" s="29" t="s">
        <v>667</v>
      </c>
      <c r="C393" s="29" t="s">
        <v>115</v>
      </c>
      <c r="D393" s="29"/>
      <c r="E393" s="29"/>
      <c r="F393" s="30"/>
      <c r="G393" s="31">
        <f>G394</f>
        <v>100000</v>
      </c>
      <c r="H393" s="116"/>
      <c r="I393" s="31">
        <f t="shared" si="5"/>
        <v>100000</v>
      </c>
    </row>
    <row r="394" spans="1:9" ht="15">
      <c r="A394" s="16" t="s">
        <v>601</v>
      </c>
      <c r="B394" s="29" t="s">
        <v>667</v>
      </c>
      <c r="C394" s="29" t="s">
        <v>115</v>
      </c>
      <c r="D394" s="29" t="s">
        <v>17</v>
      </c>
      <c r="E394" s="29"/>
      <c r="F394" s="30"/>
      <c r="G394" s="31">
        <f>G395</f>
        <v>100000</v>
      </c>
      <c r="H394" s="116"/>
      <c r="I394" s="31">
        <f t="shared" si="5"/>
        <v>100000</v>
      </c>
    </row>
    <row r="395" spans="1:9" ht="77.25" customHeight="1">
      <c r="A395" s="10" t="s">
        <v>463</v>
      </c>
      <c r="B395" s="29" t="s">
        <v>667</v>
      </c>
      <c r="C395" s="29" t="s">
        <v>115</v>
      </c>
      <c r="D395" s="29" t="s">
        <v>17</v>
      </c>
      <c r="E395" s="50" t="s">
        <v>464</v>
      </c>
      <c r="F395" s="30"/>
      <c r="G395" s="31">
        <f>G396</f>
        <v>100000</v>
      </c>
      <c r="H395" s="116"/>
      <c r="I395" s="31">
        <f t="shared" si="5"/>
        <v>100000</v>
      </c>
    </row>
    <row r="396" spans="1:9" ht="97.5" customHeight="1">
      <c r="A396" s="63" t="s">
        <v>602</v>
      </c>
      <c r="B396" s="29" t="s">
        <v>667</v>
      </c>
      <c r="C396" s="29" t="s">
        <v>115</v>
      </c>
      <c r="D396" s="29" t="s">
        <v>17</v>
      </c>
      <c r="E396" s="50" t="s">
        <v>603</v>
      </c>
      <c r="F396" s="30"/>
      <c r="G396" s="31">
        <f>G397+G402+G406</f>
        <v>100000</v>
      </c>
      <c r="H396" s="31">
        <f>H397+H402</f>
        <v>0</v>
      </c>
      <c r="I396" s="31">
        <f t="shared" si="5"/>
        <v>100000</v>
      </c>
    </row>
    <row r="397" spans="1:9" ht="58.5" customHeight="1">
      <c r="A397" s="63" t="s">
        <v>604</v>
      </c>
      <c r="B397" s="29" t="s">
        <v>667</v>
      </c>
      <c r="C397" s="29" t="s">
        <v>115</v>
      </c>
      <c r="D397" s="29" t="s">
        <v>17</v>
      </c>
      <c r="E397" s="50" t="s">
        <v>605</v>
      </c>
      <c r="F397" s="30"/>
      <c r="G397" s="31">
        <f>G398</f>
        <v>100000</v>
      </c>
      <c r="H397" s="116"/>
      <c r="I397" s="31">
        <f t="shared" si="5"/>
        <v>100000</v>
      </c>
    </row>
    <row r="398" spans="1:9" ht="63.75" customHeight="1">
      <c r="A398" s="16" t="s">
        <v>606</v>
      </c>
      <c r="B398" s="29" t="s">
        <v>667</v>
      </c>
      <c r="C398" s="29" t="s">
        <v>115</v>
      </c>
      <c r="D398" s="29" t="s">
        <v>17</v>
      </c>
      <c r="E398" s="50" t="s">
        <v>607</v>
      </c>
      <c r="F398" s="30"/>
      <c r="G398" s="31">
        <f>G400+G399</f>
        <v>100000</v>
      </c>
      <c r="H398" s="116"/>
      <c r="I398" s="31">
        <f t="shared" si="5"/>
        <v>100000</v>
      </c>
    </row>
    <row r="399" spans="1:9" ht="43.5" customHeight="1" hidden="1">
      <c r="A399" s="35" t="s">
        <v>26</v>
      </c>
      <c r="B399" s="29" t="s">
        <v>667</v>
      </c>
      <c r="C399" s="29" t="s">
        <v>115</v>
      </c>
      <c r="D399" s="29" t="s">
        <v>17</v>
      </c>
      <c r="E399" s="50" t="s">
        <v>607</v>
      </c>
      <c r="F399" s="30" t="s">
        <v>27</v>
      </c>
      <c r="G399" s="31">
        <f>3195-3195</f>
        <v>0</v>
      </c>
      <c r="H399" s="116"/>
      <c r="I399" s="31">
        <f t="shared" si="5"/>
        <v>0</v>
      </c>
    </row>
    <row r="400" spans="1:9" ht="25.5" customHeight="1">
      <c r="A400" s="35" t="s">
        <v>38</v>
      </c>
      <c r="B400" s="29" t="s">
        <v>667</v>
      </c>
      <c r="C400" s="29" t="s">
        <v>115</v>
      </c>
      <c r="D400" s="29" t="s">
        <v>17</v>
      </c>
      <c r="E400" s="50" t="s">
        <v>607</v>
      </c>
      <c r="F400" s="30" t="s">
        <v>39</v>
      </c>
      <c r="G400" s="31">
        <v>100000</v>
      </c>
      <c r="H400" s="116"/>
      <c r="I400" s="31">
        <f t="shared" si="5"/>
        <v>100000</v>
      </c>
    </row>
    <row r="401" spans="1:9" ht="38.25" hidden="1">
      <c r="A401" s="53" t="s">
        <v>608</v>
      </c>
      <c r="B401" s="29" t="s">
        <v>667</v>
      </c>
      <c r="C401" s="29" t="s">
        <v>115</v>
      </c>
      <c r="D401" s="29" t="s">
        <v>17</v>
      </c>
      <c r="E401" s="50" t="s">
        <v>609</v>
      </c>
      <c r="F401" s="30"/>
      <c r="G401" s="31">
        <f>G402</f>
        <v>0</v>
      </c>
      <c r="H401" s="116"/>
      <c r="I401" s="31">
        <f t="shared" si="5"/>
        <v>0</v>
      </c>
    </row>
    <row r="402" spans="1:9" ht="26.25" hidden="1">
      <c r="A402" s="16" t="s">
        <v>201</v>
      </c>
      <c r="B402" s="29" t="s">
        <v>667</v>
      </c>
      <c r="C402" s="29" t="s">
        <v>115</v>
      </c>
      <c r="D402" s="29" t="s">
        <v>17</v>
      </c>
      <c r="E402" s="50" t="s">
        <v>610</v>
      </c>
      <c r="F402" s="30"/>
      <c r="G402" s="31">
        <f>G404+G403+G405</f>
        <v>0</v>
      </c>
      <c r="H402" s="116"/>
      <c r="I402" s="31">
        <f t="shared" si="5"/>
        <v>0</v>
      </c>
    </row>
    <row r="403" spans="1:9" ht="64.5" hidden="1">
      <c r="A403" s="35" t="s">
        <v>26</v>
      </c>
      <c r="B403" s="29" t="s">
        <v>667</v>
      </c>
      <c r="C403" s="29" t="s">
        <v>115</v>
      </c>
      <c r="D403" s="29" t="s">
        <v>17</v>
      </c>
      <c r="E403" s="50" t="s">
        <v>610</v>
      </c>
      <c r="F403" s="30" t="s">
        <v>27</v>
      </c>
      <c r="G403" s="31"/>
      <c r="H403" s="116"/>
      <c r="I403" s="31">
        <f t="shared" si="5"/>
        <v>0</v>
      </c>
    </row>
    <row r="404" spans="1:9" ht="27" customHeight="1" hidden="1">
      <c r="A404" s="35" t="s">
        <v>38</v>
      </c>
      <c r="B404" s="29" t="s">
        <v>667</v>
      </c>
      <c r="C404" s="29" t="s">
        <v>115</v>
      </c>
      <c r="D404" s="29" t="s">
        <v>17</v>
      </c>
      <c r="E404" s="50" t="s">
        <v>610</v>
      </c>
      <c r="F404" s="30" t="s">
        <v>39</v>
      </c>
      <c r="G404" s="31"/>
      <c r="H404" s="116"/>
      <c r="I404" s="31">
        <f t="shared" si="5"/>
        <v>0</v>
      </c>
    </row>
    <row r="405" spans="1:9" ht="15" hidden="1">
      <c r="A405" s="48" t="s">
        <v>84</v>
      </c>
      <c r="B405" s="29" t="s">
        <v>667</v>
      </c>
      <c r="C405" s="29" t="s">
        <v>115</v>
      </c>
      <c r="D405" s="29" t="s">
        <v>17</v>
      </c>
      <c r="E405" s="50" t="s">
        <v>610</v>
      </c>
      <c r="F405" s="30" t="s">
        <v>85</v>
      </c>
      <c r="G405" s="31"/>
      <c r="H405" s="116"/>
      <c r="I405" s="31">
        <f t="shared" si="5"/>
        <v>0</v>
      </c>
    </row>
    <row r="406" spans="1:9" ht="38.25" hidden="1">
      <c r="A406" s="53" t="s">
        <v>612</v>
      </c>
      <c r="B406" s="29" t="s">
        <v>667</v>
      </c>
      <c r="C406" s="29" t="s">
        <v>115</v>
      </c>
      <c r="D406" s="29" t="s">
        <v>17</v>
      </c>
      <c r="E406" s="50" t="s">
        <v>613</v>
      </c>
      <c r="F406" s="30"/>
      <c r="G406" s="31">
        <f>G407</f>
        <v>0</v>
      </c>
      <c r="H406" s="116"/>
      <c r="I406" s="31">
        <f t="shared" si="5"/>
        <v>0</v>
      </c>
    </row>
    <row r="407" spans="1:9" ht="44.25" customHeight="1" hidden="1">
      <c r="A407" s="16" t="s">
        <v>606</v>
      </c>
      <c r="B407" s="29" t="s">
        <v>667</v>
      </c>
      <c r="C407" s="29" t="s">
        <v>115</v>
      </c>
      <c r="D407" s="29" t="s">
        <v>17</v>
      </c>
      <c r="E407" s="50" t="s">
        <v>614</v>
      </c>
      <c r="F407" s="30"/>
      <c r="G407" s="31">
        <f>G408</f>
        <v>0</v>
      </c>
      <c r="H407" s="116"/>
      <c r="I407" s="31">
        <f t="shared" si="5"/>
        <v>0</v>
      </c>
    </row>
    <row r="408" spans="1:9" ht="32.25" customHeight="1" hidden="1">
      <c r="A408" s="16" t="s">
        <v>271</v>
      </c>
      <c r="B408" s="29" t="s">
        <v>667</v>
      </c>
      <c r="C408" s="29" t="s">
        <v>115</v>
      </c>
      <c r="D408" s="29" t="s">
        <v>17</v>
      </c>
      <c r="E408" s="50" t="s">
        <v>614</v>
      </c>
      <c r="F408" s="30" t="s">
        <v>272</v>
      </c>
      <c r="G408" s="31"/>
      <c r="H408" s="116"/>
      <c r="I408" s="31">
        <f t="shared" si="5"/>
        <v>0</v>
      </c>
    </row>
    <row r="409" spans="1:9" ht="32.25" customHeight="1">
      <c r="A409" s="16" t="s">
        <v>615</v>
      </c>
      <c r="B409" s="29" t="s">
        <v>667</v>
      </c>
      <c r="C409" s="29" t="s">
        <v>123</v>
      </c>
      <c r="D409" s="29"/>
      <c r="E409" s="29"/>
      <c r="F409" s="30"/>
      <c r="G409" s="31">
        <f>G410</f>
        <v>2000</v>
      </c>
      <c r="H409" s="116"/>
      <c r="I409" s="31">
        <f aca="true" t="shared" si="6" ref="I409:I498">G409+H409</f>
        <v>2000</v>
      </c>
    </row>
    <row r="410" spans="1:9" ht="32.25" customHeight="1">
      <c r="A410" s="16" t="s">
        <v>616</v>
      </c>
      <c r="B410" s="29" t="s">
        <v>667</v>
      </c>
      <c r="C410" s="29" t="s">
        <v>123</v>
      </c>
      <c r="D410" s="29" t="s">
        <v>17</v>
      </c>
      <c r="E410" s="29"/>
      <c r="F410" s="30"/>
      <c r="G410" s="31">
        <f>G411</f>
        <v>2000</v>
      </c>
      <c r="H410" s="116"/>
      <c r="I410" s="31">
        <f t="shared" si="6"/>
        <v>2000</v>
      </c>
    </row>
    <row r="411" spans="1:9" ht="47.25" customHeight="1">
      <c r="A411" s="13" t="s">
        <v>681</v>
      </c>
      <c r="B411" s="29" t="s">
        <v>667</v>
      </c>
      <c r="C411" s="29" t="s">
        <v>123</v>
      </c>
      <c r="D411" s="29" t="s">
        <v>17</v>
      </c>
      <c r="E411" s="47" t="s">
        <v>618</v>
      </c>
      <c r="F411" s="30"/>
      <c r="G411" s="31">
        <f>G412</f>
        <v>2000</v>
      </c>
      <c r="H411" s="116"/>
      <c r="I411" s="31">
        <f t="shared" si="6"/>
        <v>2000</v>
      </c>
    </row>
    <row r="412" spans="1:9" ht="74.25" customHeight="1">
      <c r="A412" s="15" t="s">
        <v>619</v>
      </c>
      <c r="B412" s="29" t="s">
        <v>667</v>
      </c>
      <c r="C412" s="38" t="s">
        <v>123</v>
      </c>
      <c r="D412" s="38" t="s">
        <v>17</v>
      </c>
      <c r="E412" s="47" t="s">
        <v>620</v>
      </c>
      <c r="F412" s="45"/>
      <c r="G412" s="41">
        <f>G414</f>
        <v>2000</v>
      </c>
      <c r="H412" s="116"/>
      <c r="I412" s="31">
        <f t="shared" si="6"/>
        <v>2000</v>
      </c>
    </row>
    <row r="413" spans="1:9" ht="58.5" customHeight="1">
      <c r="A413" s="15" t="s">
        <v>621</v>
      </c>
      <c r="B413" s="29" t="s">
        <v>667</v>
      </c>
      <c r="C413" s="29" t="s">
        <v>123</v>
      </c>
      <c r="D413" s="29" t="s">
        <v>17</v>
      </c>
      <c r="E413" s="47" t="s">
        <v>622</v>
      </c>
      <c r="F413" s="45"/>
      <c r="G413" s="41">
        <f>G414</f>
        <v>2000</v>
      </c>
      <c r="H413" s="116"/>
      <c r="I413" s="31">
        <f t="shared" si="6"/>
        <v>2000</v>
      </c>
    </row>
    <row r="414" spans="1:9" ht="19.5" customHeight="1">
      <c r="A414" s="16" t="s">
        <v>623</v>
      </c>
      <c r="B414" s="29" t="s">
        <v>667</v>
      </c>
      <c r="C414" s="29" t="s">
        <v>123</v>
      </c>
      <c r="D414" s="29" t="s">
        <v>17</v>
      </c>
      <c r="E414" s="47" t="s">
        <v>624</v>
      </c>
      <c r="F414" s="30"/>
      <c r="G414" s="31">
        <f>G415</f>
        <v>2000</v>
      </c>
      <c r="H414" s="116"/>
      <c r="I414" s="31">
        <f t="shared" si="6"/>
        <v>2000</v>
      </c>
    </row>
    <row r="415" spans="1:9" ht="36" customHeight="1">
      <c r="A415" s="15" t="s">
        <v>625</v>
      </c>
      <c r="B415" s="29" t="s">
        <v>667</v>
      </c>
      <c r="C415" s="29" t="s">
        <v>123</v>
      </c>
      <c r="D415" s="29" t="s">
        <v>17</v>
      </c>
      <c r="E415" s="47" t="s">
        <v>624</v>
      </c>
      <c r="F415" s="30" t="s">
        <v>626</v>
      </c>
      <c r="G415" s="31">
        <v>2000</v>
      </c>
      <c r="H415" s="116"/>
      <c r="I415" s="31">
        <f t="shared" si="6"/>
        <v>2000</v>
      </c>
    </row>
    <row r="416" spans="1:9" ht="45.75" customHeight="1">
      <c r="A416" s="16" t="s">
        <v>627</v>
      </c>
      <c r="B416" s="29" t="s">
        <v>667</v>
      </c>
      <c r="C416" s="29" t="s">
        <v>628</v>
      </c>
      <c r="D416" s="29"/>
      <c r="E416" s="29"/>
      <c r="F416" s="30"/>
      <c r="G416" s="31">
        <f aca="true" t="shared" si="7" ref="G416:G421">G417</f>
        <v>11369742</v>
      </c>
      <c r="H416" s="116"/>
      <c r="I416" s="31">
        <f t="shared" si="6"/>
        <v>11369742</v>
      </c>
    </row>
    <row r="417" spans="1:9" ht="45" customHeight="1">
      <c r="A417" s="16" t="s">
        <v>629</v>
      </c>
      <c r="B417" s="29" t="s">
        <v>667</v>
      </c>
      <c r="C417" s="29" t="s">
        <v>628</v>
      </c>
      <c r="D417" s="29" t="s">
        <v>17</v>
      </c>
      <c r="E417" s="29"/>
      <c r="F417" s="30"/>
      <c r="G417" s="31">
        <f t="shared" si="7"/>
        <v>11369742</v>
      </c>
      <c r="H417" s="116"/>
      <c r="I417" s="31">
        <f t="shared" si="6"/>
        <v>11369742</v>
      </c>
    </row>
    <row r="418" spans="1:9" ht="53.25" customHeight="1">
      <c r="A418" s="13" t="s">
        <v>617</v>
      </c>
      <c r="B418" s="29" t="s">
        <v>667</v>
      </c>
      <c r="C418" s="29" t="s">
        <v>628</v>
      </c>
      <c r="D418" s="29" t="s">
        <v>17</v>
      </c>
      <c r="E418" s="29" t="s">
        <v>618</v>
      </c>
      <c r="F418" s="30"/>
      <c r="G418" s="31">
        <f t="shared" si="7"/>
        <v>11369742</v>
      </c>
      <c r="H418" s="116"/>
      <c r="I418" s="31">
        <f t="shared" si="6"/>
        <v>11369742</v>
      </c>
    </row>
    <row r="419" spans="1:9" ht="65.25" customHeight="1">
      <c r="A419" s="15" t="s">
        <v>630</v>
      </c>
      <c r="B419" s="29" t="s">
        <v>667</v>
      </c>
      <c r="C419" s="29" t="s">
        <v>628</v>
      </c>
      <c r="D419" s="29" t="s">
        <v>17</v>
      </c>
      <c r="E419" s="29" t="s">
        <v>631</v>
      </c>
      <c r="F419" s="30"/>
      <c r="G419" s="31">
        <f t="shared" si="7"/>
        <v>11369742</v>
      </c>
      <c r="H419" s="116"/>
      <c r="I419" s="31">
        <f t="shared" si="6"/>
        <v>11369742</v>
      </c>
    </row>
    <row r="420" spans="1:9" ht="42.75" customHeight="1">
      <c r="A420" s="13" t="s">
        <v>632</v>
      </c>
      <c r="B420" s="29" t="s">
        <v>667</v>
      </c>
      <c r="C420" s="29" t="s">
        <v>628</v>
      </c>
      <c r="D420" s="29" t="s">
        <v>17</v>
      </c>
      <c r="E420" s="29" t="s">
        <v>633</v>
      </c>
      <c r="F420" s="30"/>
      <c r="G420" s="31">
        <f t="shared" si="7"/>
        <v>11369742</v>
      </c>
      <c r="H420" s="116"/>
      <c r="I420" s="31">
        <f t="shared" si="6"/>
        <v>11369742</v>
      </c>
    </row>
    <row r="421" spans="1:9" ht="34.5" customHeight="1">
      <c r="A421" s="13" t="s">
        <v>634</v>
      </c>
      <c r="B421" s="29" t="s">
        <v>667</v>
      </c>
      <c r="C421" s="29" t="s">
        <v>628</v>
      </c>
      <c r="D421" s="29" t="s">
        <v>17</v>
      </c>
      <c r="E421" s="29" t="s">
        <v>635</v>
      </c>
      <c r="F421" s="30"/>
      <c r="G421" s="31">
        <f t="shared" si="7"/>
        <v>11369742</v>
      </c>
      <c r="H421" s="116"/>
      <c r="I421" s="31">
        <f t="shared" si="6"/>
        <v>11369742</v>
      </c>
    </row>
    <row r="422" spans="1:9" ht="15">
      <c r="A422" s="73" t="s">
        <v>193</v>
      </c>
      <c r="B422" s="29" t="s">
        <v>667</v>
      </c>
      <c r="C422" s="29" t="s">
        <v>628</v>
      </c>
      <c r="D422" s="29" t="s">
        <v>17</v>
      </c>
      <c r="E422" s="29" t="s">
        <v>635</v>
      </c>
      <c r="F422" s="37" t="s">
        <v>194</v>
      </c>
      <c r="G422" s="31">
        <v>11369742</v>
      </c>
      <c r="H422" s="116"/>
      <c r="I422" s="31">
        <f t="shared" si="6"/>
        <v>11369742</v>
      </c>
    </row>
    <row r="423" spans="1:9" ht="31.5" customHeight="1">
      <c r="A423" s="15" t="s">
        <v>682</v>
      </c>
      <c r="B423" s="29" t="s">
        <v>683</v>
      </c>
      <c r="C423" s="29"/>
      <c r="D423" s="29"/>
      <c r="E423" s="50"/>
      <c r="F423" s="56"/>
      <c r="G423" s="31">
        <f>G424+G431+G612+G642</f>
        <v>528898634</v>
      </c>
      <c r="H423" s="31">
        <f>H424+H431+H612+H642</f>
        <v>9489189.600000001</v>
      </c>
      <c r="I423" s="31">
        <f t="shared" si="6"/>
        <v>538387823.6</v>
      </c>
    </row>
    <row r="424" spans="1:9" ht="15" hidden="1">
      <c r="A424" s="16" t="s">
        <v>238</v>
      </c>
      <c r="B424" s="29" t="s">
        <v>683</v>
      </c>
      <c r="C424" s="29" t="s">
        <v>42</v>
      </c>
      <c r="D424" s="29"/>
      <c r="E424" s="29"/>
      <c r="F424" s="30"/>
      <c r="G424" s="31">
        <f>G425</f>
        <v>0</v>
      </c>
      <c r="H424" s="116">
        <f>H425</f>
        <v>0</v>
      </c>
      <c r="I424" s="31">
        <f t="shared" si="6"/>
        <v>0</v>
      </c>
    </row>
    <row r="425" spans="1:9" ht="15" hidden="1">
      <c r="A425" s="16" t="s">
        <v>282</v>
      </c>
      <c r="B425" s="29" t="s">
        <v>683</v>
      </c>
      <c r="C425" s="29" t="s">
        <v>42</v>
      </c>
      <c r="D425" s="29" t="s">
        <v>283</v>
      </c>
      <c r="E425" s="29"/>
      <c r="F425" s="30"/>
      <c r="G425" s="31">
        <f>G426</f>
        <v>0</v>
      </c>
      <c r="H425" s="116">
        <f>H426</f>
        <v>0</v>
      </c>
      <c r="I425" s="31">
        <f t="shared" si="6"/>
        <v>0</v>
      </c>
    </row>
    <row r="426" spans="1:9" ht="51.75" hidden="1">
      <c r="A426" s="126" t="s">
        <v>684</v>
      </c>
      <c r="B426" s="29" t="s">
        <v>683</v>
      </c>
      <c r="C426" s="29" t="s">
        <v>42</v>
      </c>
      <c r="D426" s="29" t="s">
        <v>283</v>
      </c>
      <c r="E426" s="71" t="s">
        <v>295</v>
      </c>
      <c r="F426" s="30"/>
      <c r="G426" s="31">
        <f>G427</f>
        <v>0</v>
      </c>
      <c r="H426" s="116"/>
      <c r="I426" s="31">
        <f t="shared" si="6"/>
        <v>0</v>
      </c>
    </row>
    <row r="427" spans="1:9" ht="72" customHeight="1" hidden="1">
      <c r="A427" s="63" t="s">
        <v>685</v>
      </c>
      <c r="B427" s="29" t="s">
        <v>683</v>
      </c>
      <c r="C427" s="29" t="s">
        <v>42</v>
      </c>
      <c r="D427" s="29" t="s">
        <v>283</v>
      </c>
      <c r="E427" s="71" t="s">
        <v>297</v>
      </c>
      <c r="F427" s="30"/>
      <c r="G427" s="31">
        <f>G428</f>
        <v>0</v>
      </c>
      <c r="H427" s="116"/>
      <c r="I427" s="31">
        <f t="shared" si="6"/>
        <v>0</v>
      </c>
    </row>
    <row r="428" spans="1:9" ht="30.75" customHeight="1" hidden="1">
      <c r="A428" s="10" t="s">
        <v>298</v>
      </c>
      <c r="B428" s="29" t="s">
        <v>683</v>
      </c>
      <c r="C428" s="29" t="s">
        <v>42</v>
      </c>
      <c r="D428" s="29" t="s">
        <v>283</v>
      </c>
      <c r="E428" s="71" t="s">
        <v>299</v>
      </c>
      <c r="F428" s="30"/>
      <c r="G428" s="31">
        <f>G429</f>
        <v>0</v>
      </c>
      <c r="H428" s="116"/>
      <c r="I428" s="31">
        <f>I429</f>
        <v>0</v>
      </c>
    </row>
    <row r="429" spans="1:9" ht="19.5" customHeight="1" hidden="1">
      <c r="A429" s="15" t="s">
        <v>300</v>
      </c>
      <c r="B429" s="29" t="s">
        <v>683</v>
      </c>
      <c r="C429" s="29" t="s">
        <v>42</v>
      </c>
      <c r="D429" s="29" t="s">
        <v>283</v>
      </c>
      <c r="E429" s="71" t="s">
        <v>301</v>
      </c>
      <c r="F429" s="30"/>
      <c r="G429" s="31">
        <f>G430</f>
        <v>0</v>
      </c>
      <c r="H429" s="116"/>
      <c r="I429" s="31">
        <f t="shared" si="6"/>
        <v>0</v>
      </c>
    </row>
    <row r="430" spans="1:9" ht="26.25" hidden="1">
      <c r="A430" s="35" t="s">
        <v>38</v>
      </c>
      <c r="B430" s="29" t="s">
        <v>683</v>
      </c>
      <c r="C430" s="29" t="s">
        <v>42</v>
      </c>
      <c r="D430" s="29" t="s">
        <v>283</v>
      </c>
      <c r="E430" s="71" t="s">
        <v>301</v>
      </c>
      <c r="F430" s="30" t="s">
        <v>39</v>
      </c>
      <c r="G430" s="31"/>
      <c r="H430" s="116"/>
      <c r="I430" s="31">
        <f t="shared" si="6"/>
        <v>0</v>
      </c>
    </row>
    <row r="431" spans="1:9" ht="16.5" customHeight="1">
      <c r="A431" s="16" t="s">
        <v>368</v>
      </c>
      <c r="B431" s="29" t="s">
        <v>683</v>
      </c>
      <c r="C431" s="29" t="s">
        <v>109</v>
      </c>
      <c r="D431" s="29"/>
      <c r="E431" s="50"/>
      <c r="F431" s="56"/>
      <c r="G431" s="31">
        <f>G432+G457+G546+G567+G593</f>
        <v>497075322</v>
      </c>
      <c r="H431" s="31">
        <f>H432+H457+H546+H567+H593</f>
        <v>9489189.600000001</v>
      </c>
      <c r="I431" s="31">
        <f t="shared" si="6"/>
        <v>506564511.6</v>
      </c>
    </row>
    <row r="432" spans="1:9" ht="18" customHeight="1">
      <c r="A432" s="16" t="s">
        <v>369</v>
      </c>
      <c r="B432" s="29" t="s">
        <v>683</v>
      </c>
      <c r="C432" s="29" t="s">
        <v>109</v>
      </c>
      <c r="D432" s="29" t="s">
        <v>17</v>
      </c>
      <c r="E432" s="50"/>
      <c r="F432" s="56"/>
      <c r="G432" s="31">
        <f>G433+G452</f>
        <v>104105215.4</v>
      </c>
      <c r="H432" s="31">
        <f>H433+H452</f>
        <v>4451815.32</v>
      </c>
      <c r="I432" s="31">
        <f t="shared" si="6"/>
        <v>108557030.72</v>
      </c>
    </row>
    <row r="433" spans="1:9" ht="48" customHeight="1">
      <c r="A433" s="16" t="s">
        <v>370</v>
      </c>
      <c r="B433" s="29" t="s">
        <v>683</v>
      </c>
      <c r="C433" s="29" t="s">
        <v>109</v>
      </c>
      <c r="D433" s="29" t="s">
        <v>17</v>
      </c>
      <c r="E433" s="29" t="s">
        <v>371</v>
      </c>
      <c r="F433" s="30"/>
      <c r="G433" s="31">
        <f>G434</f>
        <v>104105215.4</v>
      </c>
      <c r="H433" s="116">
        <f>H434</f>
        <v>4451815.32</v>
      </c>
      <c r="I433" s="31">
        <f t="shared" si="6"/>
        <v>108557030.72</v>
      </c>
    </row>
    <row r="434" spans="1:11" ht="65.25" customHeight="1">
      <c r="A434" s="81" t="s">
        <v>372</v>
      </c>
      <c r="B434" s="29" t="s">
        <v>683</v>
      </c>
      <c r="C434" s="29" t="s">
        <v>109</v>
      </c>
      <c r="D434" s="29" t="s">
        <v>17</v>
      </c>
      <c r="E434" s="29" t="s">
        <v>373</v>
      </c>
      <c r="F434" s="30"/>
      <c r="G434" s="31">
        <f>G435+G448</f>
        <v>104105215.4</v>
      </c>
      <c r="H434" s="31">
        <f>H435+H448</f>
        <v>4451815.32</v>
      </c>
      <c r="I434" s="31">
        <f t="shared" si="6"/>
        <v>108557030.72</v>
      </c>
      <c r="K434" s="33"/>
    </row>
    <row r="435" spans="1:9" ht="45" customHeight="1">
      <c r="A435" s="10" t="s">
        <v>374</v>
      </c>
      <c r="B435" s="29" t="s">
        <v>683</v>
      </c>
      <c r="C435" s="29" t="s">
        <v>109</v>
      </c>
      <c r="D435" s="29" t="s">
        <v>17</v>
      </c>
      <c r="E435" s="29" t="s">
        <v>375</v>
      </c>
      <c r="F435" s="30"/>
      <c r="G435" s="31">
        <f>G436+G443+G441+G439</f>
        <v>99617871.4</v>
      </c>
      <c r="H435" s="31">
        <f>H436+H443+H441+H439</f>
        <v>4451815.32</v>
      </c>
      <c r="I435" s="31">
        <f t="shared" si="6"/>
        <v>104069686.72</v>
      </c>
    </row>
    <row r="436" spans="1:10" ht="99" customHeight="1">
      <c r="A436" s="118" t="s">
        <v>376</v>
      </c>
      <c r="B436" s="29" t="s">
        <v>683</v>
      </c>
      <c r="C436" s="29" t="s">
        <v>109</v>
      </c>
      <c r="D436" s="29" t="s">
        <v>17</v>
      </c>
      <c r="E436" s="29" t="s">
        <v>377</v>
      </c>
      <c r="F436" s="30"/>
      <c r="G436" s="31">
        <f>G437+G438</f>
        <v>57617557</v>
      </c>
      <c r="H436" s="116"/>
      <c r="I436" s="31">
        <f t="shared" si="6"/>
        <v>57617557</v>
      </c>
      <c r="J436" s="112"/>
    </row>
    <row r="437" spans="1:9" ht="81.75" customHeight="1">
      <c r="A437" s="78" t="s">
        <v>26</v>
      </c>
      <c r="B437" s="29" t="s">
        <v>683</v>
      </c>
      <c r="C437" s="29" t="s">
        <v>109</v>
      </c>
      <c r="D437" s="29" t="s">
        <v>17</v>
      </c>
      <c r="E437" s="29" t="s">
        <v>377</v>
      </c>
      <c r="F437" s="30" t="s">
        <v>27</v>
      </c>
      <c r="G437" s="31">
        <v>57132120</v>
      </c>
      <c r="H437" s="116"/>
      <c r="I437" s="31">
        <f t="shared" si="6"/>
        <v>57132120</v>
      </c>
    </row>
    <row r="438" spans="1:9" ht="29.25" customHeight="1">
      <c r="A438" s="35" t="s">
        <v>38</v>
      </c>
      <c r="B438" s="29" t="s">
        <v>683</v>
      </c>
      <c r="C438" s="29" t="s">
        <v>109</v>
      </c>
      <c r="D438" s="29" t="s">
        <v>17</v>
      </c>
      <c r="E438" s="29" t="s">
        <v>377</v>
      </c>
      <c r="F438" s="30" t="s">
        <v>39</v>
      </c>
      <c r="G438" s="31">
        <v>485437</v>
      </c>
      <c r="H438" s="116"/>
      <c r="I438" s="31">
        <f t="shared" si="6"/>
        <v>485437</v>
      </c>
    </row>
    <row r="439" spans="1:9" ht="26.25">
      <c r="A439" s="118" t="s">
        <v>408</v>
      </c>
      <c r="B439" s="29" t="s">
        <v>683</v>
      </c>
      <c r="C439" s="29" t="s">
        <v>109</v>
      </c>
      <c r="D439" s="29" t="s">
        <v>17</v>
      </c>
      <c r="E439" s="29" t="s">
        <v>686</v>
      </c>
      <c r="F439" s="30"/>
      <c r="G439" s="31">
        <f>G440</f>
        <v>585916</v>
      </c>
      <c r="H439" s="116"/>
      <c r="I439" s="31">
        <f>G439+H439</f>
        <v>585916</v>
      </c>
    </row>
    <row r="440" spans="1:9" ht="26.25">
      <c r="A440" s="35" t="s">
        <v>38</v>
      </c>
      <c r="B440" s="29" t="s">
        <v>683</v>
      </c>
      <c r="C440" s="29" t="s">
        <v>109</v>
      </c>
      <c r="D440" s="29" t="s">
        <v>17</v>
      </c>
      <c r="E440" s="29" t="s">
        <v>686</v>
      </c>
      <c r="F440" s="30" t="s">
        <v>39</v>
      </c>
      <c r="G440" s="31">
        <v>585916</v>
      </c>
      <c r="H440" s="116"/>
      <c r="I440" s="31">
        <f>G440+H440</f>
        <v>585916</v>
      </c>
    </row>
    <row r="441" spans="1:9" ht="26.25">
      <c r="A441" s="118" t="s">
        <v>410</v>
      </c>
      <c r="B441" s="29" t="s">
        <v>683</v>
      </c>
      <c r="C441" s="29" t="s">
        <v>109</v>
      </c>
      <c r="D441" s="29" t="s">
        <v>17</v>
      </c>
      <c r="E441" s="29" t="s">
        <v>687</v>
      </c>
      <c r="F441" s="30"/>
      <c r="G441" s="31">
        <f>G442</f>
        <v>315494</v>
      </c>
      <c r="H441" s="116"/>
      <c r="I441" s="31">
        <f t="shared" si="6"/>
        <v>315494</v>
      </c>
    </row>
    <row r="442" spans="1:9" ht="26.25">
      <c r="A442" s="35" t="s">
        <v>38</v>
      </c>
      <c r="B442" s="29" t="s">
        <v>683</v>
      </c>
      <c r="C442" s="29" t="s">
        <v>109</v>
      </c>
      <c r="D442" s="29" t="s">
        <v>17</v>
      </c>
      <c r="E442" s="29" t="s">
        <v>687</v>
      </c>
      <c r="F442" s="30" t="s">
        <v>39</v>
      </c>
      <c r="G442" s="31">
        <v>315494</v>
      </c>
      <c r="H442" s="116"/>
      <c r="I442" s="31">
        <f t="shared" si="6"/>
        <v>315494</v>
      </c>
    </row>
    <row r="443" spans="1:9" ht="39" customHeight="1">
      <c r="A443" s="10" t="s">
        <v>201</v>
      </c>
      <c r="B443" s="29" t="s">
        <v>683</v>
      </c>
      <c r="C443" s="29" t="s">
        <v>109</v>
      </c>
      <c r="D443" s="29" t="s">
        <v>17</v>
      </c>
      <c r="E443" s="29" t="s">
        <v>378</v>
      </c>
      <c r="F443" s="30"/>
      <c r="G443" s="31">
        <f>G444+G445+G447+G446</f>
        <v>41098904.4</v>
      </c>
      <c r="H443" s="31">
        <f>H444+H445+H447+H446</f>
        <v>4451815.32</v>
      </c>
      <c r="I443" s="31">
        <f t="shared" si="6"/>
        <v>45550719.72</v>
      </c>
    </row>
    <row r="444" spans="1:9" ht="78" customHeight="1">
      <c r="A444" s="35" t="s">
        <v>26</v>
      </c>
      <c r="B444" s="29" t="s">
        <v>683</v>
      </c>
      <c r="C444" s="29" t="s">
        <v>109</v>
      </c>
      <c r="D444" s="29" t="s">
        <v>17</v>
      </c>
      <c r="E444" s="29" t="s">
        <v>378</v>
      </c>
      <c r="F444" s="30" t="s">
        <v>27</v>
      </c>
      <c r="G444" s="31">
        <f>21066254+6322746</f>
        <v>27389000</v>
      </c>
      <c r="H444" s="116"/>
      <c r="I444" s="31">
        <f t="shared" si="6"/>
        <v>27389000</v>
      </c>
    </row>
    <row r="445" spans="1:9" ht="28.5" customHeight="1">
      <c r="A445" s="35" t="s">
        <v>38</v>
      </c>
      <c r="B445" s="29" t="s">
        <v>683</v>
      </c>
      <c r="C445" s="29" t="s">
        <v>109</v>
      </c>
      <c r="D445" s="29" t="s">
        <v>17</v>
      </c>
      <c r="E445" s="29" t="s">
        <v>378</v>
      </c>
      <c r="F445" s="30" t="s">
        <v>39</v>
      </c>
      <c r="G445" s="31">
        <f>8151339+31980+133691+93000-30000+3094018+90000-23346+430018.4-10000</f>
        <v>11960700.4</v>
      </c>
      <c r="H445" s="116">
        <f>4082700+323750.24+45365.08</f>
        <v>4451815.32</v>
      </c>
      <c r="I445" s="31">
        <f t="shared" si="6"/>
        <v>16412515.72</v>
      </c>
    </row>
    <row r="446" spans="1:9" ht="26.25" customHeight="1" hidden="1">
      <c r="A446" s="16" t="s">
        <v>271</v>
      </c>
      <c r="B446" s="29" t="s">
        <v>683</v>
      </c>
      <c r="C446" s="29" t="s">
        <v>109</v>
      </c>
      <c r="D446" s="29" t="s">
        <v>17</v>
      </c>
      <c r="E446" s="29" t="s">
        <v>378</v>
      </c>
      <c r="F446" s="30" t="s">
        <v>272</v>
      </c>
      <c r="G446" s="31"/>
      <c r="H446" s="116"/>
      <c r="I446" s="31">
        <f t="shared" si="6"/>
        <v>0</v>
      </c>
    </row>
    <row r="447" spans="1:9" ht="12.75" customHeight="1">
      <c r="A447" s="10" t="s">
        <v>84</v>
      </c>
      <c r="B447" s="29" t="s">
        <v>683</v>
      </c>
      <c r="C447" s="29" t="s">
        <v>109</v>
      </c>
      <c r="D447" s="29" t="s">
        <v>17</v>
      </c>
      <c r="E447" s="29" t="s">
        <v>378</v>
      </c>
      <c r="F447" s="30" t="s">
        <v>85</v>
      </c>
      <c r="G447" s="31">
        <v>1749204</v>
      </c>
      <c r="H447" s="116"/>
      <c r="I447" s="31">
        <f t="shared" si="6"/>
        <v>1749204</v>
      </c>
    </row>
    <row r="448" spans="1:9" ht="42.75" customHeight="1">
      <c r="A448" s="10" t="s">
        <v>570</v>
      </c>
      <c r="B448" s="29" t="s">
        <v>683</v>
      </c>
      <c r="C448" s="29" t="s">
        <v>109</v>
      </c>
      <c r="D448" s="29" t="s">
        <v>17</v>
      </c>
      <c r="E448" s="29" t="s">
        <v>571</v>
      </c>
      <c r="F448" s="30"/>
      <c r="G448" s="31">
        <f>G449</f>
        <v>4487344</v>
      </c>
      <c r="H448" s="116"/>
      <c r="I448" s="31">
        <f t="shared" si="6"/>
        <v>4487344</v>
      </c>
    </row>
    <row r="449" spans="1:9" ht="63.75">
      <c r="A449" s="10" t="s">
        <v>760</v>
      </c>
      <c r="B449" s="29" t="s">
        <v>683</v>
      </c>
      <c r="C449" s="29" t="s">
        <v>109</v>
      </c>
      <c r="D449" s="29" t="s">
        <v>17</v>
      </c>
      <c r="E449" s="29" t="s">
        <v>759</v>
      </c>
      <c r="F449" s="30"/>
      <c r="G449" s="31">
        <f>G450+G451</f>
        <v>4487344</v>
      </c>
      <c r="H449" s="116"/>
      <c r="I449" s="31">
        <f t="shared" si="6"/>
        <v>4487344</v>
      </c>
    </row>
    <row r="450" spans="1:9" ht="64.5">
      <c r="A450" s="35" t="s">
        <v>26</v>
      </c>
      <c r="B450" s="29" t="s">
        <v>683</v>
      </c>
      <c r="C450" s="29" t="s">
        <v>109</v>
      </c>
      <c r="D450" s="29" t="s">
        <v>17</v>
      </c>
      <c r="E450" s="29" t="s">
        <v>759</v>
      </c>
      <c r="F450" s="30" t="s">
        <v>27</v>
      </c>
      <c r="G450" s="31">
        <v>3227344</v>
      </c>
      <c r="H450" s="116"/>
      <c r="I450" s="31">
        <f t="shared" si="6"/>
        <v>3227344</v>
      </c>
    </row>
    <row r="451" spans="1:9" ht="15">
      <c r="A451" s="88" t="s">
        <v>211</v>
      </c>
      <c r="B451" s="29" t="s">
        <v>683</v>
      </c>
      <c r="C451" s="29" t="s">
        <v>109</v>
      </c>
      <c r="D451" s="29" t="s">
        <v>17</v>
      </c>
      <c r="E451" s="29" t="s">
        <v>759</v>
      </c>
      <c r="F451" s="30" t="s">
        <v>212</v>
      </c>
      <c r="G451" s="31">
        <v>1260000</v>
      </c>
      <c r="H451" s="116"/>
      <c r="I451" s="31">
        <f t="shared" si="6"/>
        <v>1260000</v>
      </c>
    </row>
    <row r="452" spans="1:9" ht="51.75" hidden="1">
      <c r="A452" s="75" t="s">
        <v>379</v>
      </c>
      <c r="B452" s="29" t="s">
        <v>683</v>
      </c>
      <c r="C452" s="29" t="s">
        <v>109</v>
      </c>
      <c r="D452" s="29" t="s">
        <v>17</v>
      </c>
      <c r="E452" s="50" t="s">
        <v>295</v>
      </c>
      <c r="F452" s="30"/>
      <c r="G452" s="31">
        <f>G453</f>
        <v>0</v>
      </c>
      <c r="H452" s="116"/>
      <c r="I452" s="31">
        <f t="shared" si="6"/>
        <v>0</v>
      </c>
    </row>
    <row r="453" spans="1:9" ht="77.25" hidden="1">
      <c r="A453" s="73" t="s">
        <v>380</v>
      </c>
      <c r="B453" s="29" t="s">
        <v>683</v>
      </c>
      <c r="C453" s="29" t="s">
        <v>109</v>
      </c>
      <c r="D453" s="29" t="s">
        <v>17</v>
      </c>
      <c r="E453" s="50" t="s">
        <v>381</v>
      </c>
      <c r="F453" s="30"/>
      <c r="G453" s="31">
        <f>G454</f>
        <v>0</v>
      </c>
      <c r="H453" s="116"/>
      <c r="I453" s="31">
        <f t="shared" si="6"/>
        <v>0</v>
      </c>
    </row>
    <row r="454" spans="1:9" ht="25.5" hidden="1">
      <c r="A454" s="10" t="s">
        <v>382</v>
      </c>
      <c r="B454" s="29" t="s">
        <v>683</v>
      </c>
      <c r="C454" s="29" t="s">
        <v>109</v>
      </c>
      <c r="D454" s="29" t="s">
        <v>17</v>
      </c>
      <c r="E454" s="47" t="s">
        <v>299</v>
      </c>
      <c r="F454" s="30"/>
      <c r="G454" s="31">
        <f>G455</f>
        <v>0</v>
      </c>
      <c r="H454" s="116"/>
      <c r="I454" s="31">
        <f t="shared" si="6"/>
        <v>0</v>
      </c>
    </row>
    <row r="455" spans="1:9" ht="15" hidden="1">
      <c r="A455" s="59" t="s">
        <v>300</v>
      </c>
      <c r="B455" s="29" t="s">
        <v>683</v>
      </c>
      <c r="C455" s="29" t="s">
        <v>109</v>
      </c>
      <c r="D455" s="29" t="s">
        <v>17</v>
      </c>
      <c r="E455" s="47" t="s">
        <v>301</v>
      </c>
      <c r="F455" s="30"/>
      <c r="G455" s="31">
        <f>G456</f>
        <v>0</v>
      </c>
      <c r="H455" s="116"/>
      <c r="I455" s="31">
        <f t="shared" si="6"/>
        <v>0</v>
      </c>
    </row>
    <row r="456" spans="1:9" ht="26.25" hidden="1">
      <c r="A456" s="35" t="s">
        <v>38</v>
      </c>
      <c r="B456" s="29" t="s">
        <v>683</v>
      </c>
      <c r="C456" s="29" t="s">
        <v>109</v>
      </c>
      <c r="D456" s="29" t="s">
        <v>17</v>
      </c>
      <c r="E456" s="47" t="s">
        <v>301</v>
      </c>
      <c r="F456" s="30" t="s">
        <v>39</v>
      </c>
      <c r="G456" s="31"/>
      <c r="H456" s="116"/>
      <c r="I456" s="31">
        <f t="shared" si="6"/>
        <v>0</v>
      </c>
    </row>
    <row r="457" spans="1:9" ht="15">
      <c r="A457" s="16" t="s">
        <v>383</v>
      </c>
      <c r="B457" s="29" t="s">
        <v>683</v>
      </c>
      <c r="C457" s="29" t="s">
        <v>109</v>
      </c>
      <c r="D457" s="29" t="s">
        <v>19</v>
      </c>
      <c r="E457" s="29"/>
      <c r="F457" s="30"/>
      <c r="G457" s="31">
        <f>G458+G528+G536+G514+G541+G519</f>
        <v>357703893.6</v>
      </c>
      <c r="H457" s="31">
        <f>H458+H528+H536+H514+H541+H519</f>
        <v>4987574.28</v>
      </c>
      <c r="I457" s="31">
        <f t="shared" si="6"/>
        <v>362691467.88</v>
      </c>
    </row>
    <row r="458" spans="1:9" ht="39">
      <c r="A458" s="16" t="s">
        <v>370</v>
      </c>
      <c r="B458" s="29" t="s">
        <v>683</v>
      </c>
      <c r="C458" s="29" t="s">
        <v>109</v>
      </c>
      <c r="D458" s="29" t="s">
        <v>19</v>
      </c>
      <c r="E458" s="29" t="s">
        <v>371</v>
      </c>
      <c r="F458" s="30"/>
      <c r="G458" s="31">
        <f>G459+G510</f>
        <v>357646933.6</v>
      </c>
      <c r="H458" s="31">
        <f>H459</f>
        <v>4987574.28</v>
      </c>
      <c r="I458" s="31">
        <f t="shared" si="6"/>
        <v>362634507.88</v>
      </c>
    </row>
    <row r="459" spans="1:9" ht="51.75">
      <c r="A459" s="81" t="s">
        <v>372</v>
      </c>
      <c r="B459" s="29" t="s">
        <v>683</v>
      </c>
      <c r="C459" s="29" t="s">
        <v>109</v>
      </c>
      <c r="D459" s="29" t="s">
        <v>19</v>
      </c>
      <c r="E459" s="29" t="s">
        <v>373</v>
      </c>
      <c r="F459" s="30"/>
      <c r="G459" s="31">
        <f>G469+G466+G460+G463</f>
        <v>357646933.6</v>
      </c>
      <c r="H459" s="31">
        <f>H469+H466+H460+H463</f>
        <v>4987574.28</v>
      </c>
      <c r="I459" s="31">
        <f t="shared" si="6"/>
        <v>362634507.88</v>
      </c>
    </row>
    <row r="460" spans="1:9" ht="25.5">
      <c r="A460" s="10" t="s">
        <v>384</v>
      </c>
      <c r="B460" s="29" t="s">
        <v>683</v>
      </c>
      <c r="C460" s="29" t="s">
        <v>109</v>
      </c>
      <c r="D460" s="29" t="s">
        <v>19</v>
      </c>
      <c r="E460" s="29" t="s">
        <v>385</v>
      </c>
      <c r="F460" s="30"/>
      <c r="G460" s="31">
        <f>G461</f>
        <v>4487736</v>
      </c>
      <c r="H460" s="31"/>
      <c r="I460" s="31">
        <f t="shared" si="6"/>
        <v>4487736</v>
      </c>
    </row>
    <row r="461" spans="1:9" ht="58.5" customHeight="1">
      <c r="A461" s="10" t="s">
        <v>386</v>
      </c>
      <c r="B461" s="29" t="s">
        <v>683</v>
      </c>
      <c r="C461" s="29" t="s">
        <v>109</v>
      </c>
      <c r="D461" s="29" t="s">
        <v>19</v>
      </c>
      <c r="E461" s="29" t="s">
        <v>387</v>
      </c>
      <c r="F461" s="30"/>
      <c r="G461" s="31">
        <f>G462</f>
        <v>4487736</v>
      </c>
      <c r="H461" s="31"/>
      <c r="I461" s="31">
        <f t="shared" si="6"/>
        <v>4487736</v>
      </c>
    </row>
    <row r="462" spans="1:9" ht="26.25">
      <c r="A462" s="35" t="s">
        <v>38</v>
      </c>
      <c r="B462" s="29" t="s">
        <v>683</v>
      </c>
      <c r="C462" s="29" t="s">
        <v>109</v>
      </c>
      <c r="D462" s="29" t="s">
        <v>19</v>
      </c>
      <c r="E462" s="29" t="s">
        <v>387</v>
      </c>
      <c r="F462" s="30" t="s">
        <v>39</v>
      </c>
      <c r="G462" s="31">
        <v>4487736</v>
      </c>
      <c r="H462" s="31"/>
      <c r="I462" s="31">
        <f t="shared" si="6"/>
        <v>4487736</v>
      </c>
    </row>
    <row r="463" spans="1:9" ht="15">
      <c r="A463" s="10" t="s">
        <v>388</v>
      </c>
      <c r="B463" s="29" t="s">
        <v>683</v>
      </c>
      <c r="C463" s="29" t="s">
        <v>109</v>
      </c>
      <c r="D463" s="29" t="s">
        <v>19</v>
      </c>
      <c r="E463" s="29" t="s">
        <v>389</v>
      </c>
      <c r="F463" s="45"/>
      <c r="G463" s="31">
        <f>G464</f>
        <v>4435742</v>
      </c>
      <c r="H463" s="31"/>
      <c r="I463" s="31">
        <f>G463+H463</f>
        <v>4435742</v>
      </c>
    </row>
    <row r="464" spans="1:9" ht="45" customHeight="1">
      <c r="A464" s="10" t="s">
        <v>390</v>
      </c>
      <c r="B464" s="29" t="s">
        <v>683</v>
      </c>
      <c r="C464" s="29" t="s">
        <v>109</v>
      </c>
      <c r="D464" s="29" t="s">
        <v>19</v>
      </c>
      <c r="E464" s="29" t="s">
        <v>391</v>
      </c>
      <c r="F464" s="45"/>
      <c r="G464" s="31">
        <f>G465</f>
        <v>4435742</v>
      </c>
      <c r="H464" s="31"/>
      <c r="I464" s="31">
        <f>G464+H464</f>
        <v>4435742</v>
      </c>
    </row>
    <row r="465" spans="1:9" ht="26.25">
      <c r="A465" s="35" t="s">
        <v>38</v>
      </c>
      <c r="B465" s="29" t="s">
        <v>683</v>
      </c>
      <c r="C465" s="29" t="s">
        <v>109</v>
      </c>
      <c r="D465" s="29" t="s">
        <v>19</v>
      </c>
      <c r="E465" s="29" t="s">
        <v>391</v>
      </c>
      <c r="F465" s="30" t="s">
        <v>39</v>
      </c>
      <c r="G465" s="31">
        <f>4434764+978</f>
        <v>4435742</v>
      </c>
      <c r="H465" s="31"/>
      <c r="I465" s="31">
        <f>G465+H465</f>
        <v>4435742</v>
      </c>
    </row>
    <row r="466" spans="1:9" ht="25.5">
      <c r="A466" s="10" t="s">
        <v>392</v>
      </c>
      <c r="B466" s="29" t="s">
        <v>683</v>
      </c>
      <c r="C466" s="29" t="s">
        <v>109</v>
      </c>
      <c r="D466" s="29" t="s">
        <v>19</v>
      </c>
      <c r="E466" s="29" t="s">
        <v>393</v>
      </c>
      <c r="F466" s="30"/>
      <c r="G466" s="31">
        <f>G467</f>
        <v>7746796</v>
      </c>
      <c r="H466" s="31"/>
      <c r="I466" s="31">
        <f t="shared" si="6"/>
        <v>7746796</v>
      </c>
    </row>
    <row r="467" spans="1:9" ht="38.25">
      <c r="A467" s="59" t="s">
        <v>716</v>
      </c>
      <c r="B467" s="29" t="s">
        <v>683</v>
      </c>
      <c r="C467" s="29" t="s">
        <v>109</v>
      </c>
      <c r="D467" s="29" t="s">
        <v>19</v>
      </c>
      <c r="E467" s="47" t="s">
        <v>395</v>
      </c>
      <c r="F467" s="30"/>
      <c r="G467" s="31">
        <f>G468</f>
        <v>7746796</v>
      </c>
      <c r="H467" s="31"/>
      <c r="I467" s="31">
        <f t="shared" si="6"/>
        <v>7746796</v>
      </c>
    </row>
    <row r="468" spans="1:9" ht="26.25">
      <c r="A468" s="35" t="s">
        <v>38</v>
      </c>
      <c r="B468" s="29" t="s">
        <v>683</v>
      </c>
      <c r="C468" s="29" t="s">
        <v>109</v>
      </c>
      <c r="D468" s="29" t="s">
        <v>19</v>
      </c>
      <c r="E468" s="47" t="s">
        <v>395</v>
      </c>
      <c r="F468" s="30" t="s">
        <v>39</v>
      </c>
      <c r="G468" s="31">
        <v>7746796</v>
      </c>
      <c r="H468" s="31"/>
      <c r="I468" s="31">
        <f t="shared" si="6"/>
        <v>7746796</v>
      </c>
    </row>
    <row r="469" spans="1:9" ht="36.75" customHeight="1">
      <c r="A469" s="10" t="s">
        <v>396</v>
      </c>
      <c r="B469" s="29" t="s">
        <v>683</v>
      </c>
      <c r="C469" s="29" t="s">
        <v>109</v>
      </c>
      <c r="D469" s="29" t="s">
        <v>19</v>
      </c>
      <c r="E469" s="29" t="s">
        <v>397</v>
      </c>
      <c r="F469" s="30"/>
      <c r="G469" s="31">
        <f>G482+G489+G491+G493+G495+G498+G502+G485+G487+G470+G472+G504+G474+G476+G478+G480</f>
        <v>340976659.6</v>
      </c>
      <c r="H469" s="31">
        <f>H482+H489+H491+H493+H495+H498+H502+H485+H487+H470+H472+H504+H474+H476+H478+H480</f>
        <v>4987574.28</v>
      </c>
      <c r="I469" s="31">
        <f t="shared" si="6"/>
        <v>345964233.88</v>
      </c>
    </row>
    <row r="470" spans="1:9" ht="38.25" hidden="1">
      <c r="A470" s="10" t="s">
        <v>691</v>
      </c>
      <c r="B470" s="29" t="s">
        <v>683</v>
      </c>
      <c r="C470" s="29" t="s">
        <v>109</v>
      </c>
      <c r="D470" s="29" t="s">
        <v>19</v>
      </c>
      <c r="E470" s="29" t="s">
        <v>692</v>
      </c>
      <c r="F470" s="30"/>
      <c r="G470" s="31">
        <f>G471</f>
        <v>0</v>
      </c>
      <c r="H470" s="31"/>
      <c r="I470" s="31">
        <f t="shared" si="6"/>
        <v>0</v>
      </c>
    </row>
    <row r="471" spans="1:9" ht="26.25" hidden="1">
      <c r="A471" s="35" t="s">
        <v>38</v>
      </c>
      <c r="B471" s="29" t="s">
        <v>683</v>
      </c>
      <c r="C471" s="29" t="s">
        <v>109</v>
      </c>
      <c r="D471" s="29" t="s">
        <v>19</v>
      </c>
      <c r="E471" s="29" t="s">
        <v>692</v>
      </c>
      <c r="F471" s="30" t="s">
        <v>39</v>
      </c>
      <c r="G471" s="31"/>
      <c r="H471" s="31"/>
      <c r="I471" s="31">
        <f t="shared" si="6"/>
        <v>0</v>
      </c>
    </row>
    <row r="472" spans="1:9" ht="38.25" hidden="1">
      <c r="A472" s="59" t="s">
        <v>390</v>
      </c>
      <c r="B472" s="29" t="s">
        <v>683</v>
      </c>
      <c r="C472" s="29" t="s">
        <v>109</v>
      </c>
      <c r="D472" s="29" t="s">
        <v>19</v>
      </c>
      <c r="E472" s="29" t="s">
        <v>693</v>
      </c>
      <c r="F472" s="30"/>
      <c r="G472" s="31">
        <f>G473</f>
        <v>0</v>
      </c>
      <c r="H472" s="31"/>
      <c r="I472" s="31">
        <f t="shared" si="6"/>
        <v>0</v>
      </c>
    </row>
    <row r="473" spans="1:9" ht="26.25" hidden="1">
      <c r="A473" s="35" t="s">
        <v>38</v>
      </c>
      <c r="B473" s="29" t="s">
        <v>683</v>
      </c>
      <c r="C473" s="29" t="s">
        <v>109</v>
      </c>
      <c r="D473" s="29" t="s">
        <v>19</v>
      </c>
      <c r="E473" s="29" t="s">
        <v>693</v>
      </c>
      <c r="F473" s="30" t="s">
        <v>39</v>
      </c>
      <c r="G473" s="31"/>
      <c r="H473" s="31"/>
      <c r="I473" s="31">
        <f t="shared" si="6"/>
        <v>0</v>
      </c>
    </row>
    <row r="474" spans="1:9" ht="43.5" customHeight="1">
      <c r="A474" s="59" t="s">
        <v>398</v>
      </c>
      <c r="B474" s="29" t="s">
        <v>683</v>
      </c>
      <c r="C474" s="29" t="s">
        <v>109</v>
      </c>
      <c r="D474" s="29" t="s">
        <v>19</v>
      </c>
      <c r="E474" s="29" t="s">
        <v>399</v>
      </c>
      <c r="F474" s="30"/>
      <c r="G474" s="31">
        <f>G475</f>
        <v>8427743</v>
      </c>
      <c r="H474" s="31"/>
      <c r="I474" s="31">
        <f t="shared" si="6"/>
        <v>8427743</v>
      </c>
    </row>
    <row r="475" spans="1:9" ht="26.25">
      <c r="A475" s="35" t="s">
        <v>38</v>
      </c>
      <c r="B475" s="29" t="s">
        <v>683</v>
      </c>
      <c r="C475" s="29" t="s">
        <v>109</v>
      </c>
      <c r="D475" s="29" t="s">
        <v>19</v>
      </c>
      <c r="E475" s="29" t="s">
        <v>399</v>
      </c>
      <c r="F475" s="30" t="s">
        <v>39</v>
      </c>
      <c r="G475" s="31">
        <v>8427743</v>
      </c>
      <c r="H475" s="31"/>
      <c r="I475" s="31">
        <f t="shared" si="6"/>
        <v>8427743</v>
      </c>
    </row>
    <row r="476" spans="1:9" ht="55.5" customHeight="1">
      <c r="A476" s="10" t="s">
        <v>400</v>
      </c>
      <c r="B476" s="29" t="s">
        <v>683</v>
      </c>
      <c r="C476" s="29" t="s">
        <v>109</v>
      </c>
      <c r="D476" s="29" t="s">
        <v>19</v>
      </c>
      <c r="E476" s="29" t="s">
        <v>401</v>
      </c>
      <c r="F476" s="30"/>
      <c r="G476" s="31">
        <f>G477</f>
        <v>16439201</v>
      </c>
      <c r="H476" s="31"/>
      <c r="I476" s="31">
        <f t="shared" si="6"/>
        <v>16439201</v>
      </c>
    </row>
    <row r="477" spans="1:9" ht="62.25" customHeight="1">
      <c r="A477" s="35" t="s">
        <v>26</v>
      </c>
      <c r="B477" s="29" t="s">
        <v>683</v>
      </c>
      <c r="C477" s="29" t="s">
        <v>109</v>
      </c>
      <c r="D477" s="29" t="s">
        <v>19</v>
      </c>
      <c r="E477" s="29" t="s">
        <v>401</v>
      </c>
      <c r="F477" s="30" t="s">
        <v>27</v>
      </c>
      <c r="G477" s="31">
        <f>16873920-434719</f>
        <v>16439201</v>
      </c>
      <c r="H477" s="31"/>
      <c r="I477" s="31">
        <f t="shared" si="6"/>
        <v>16439201</v>
      </c>
    </row>
    <row r="478" spans="1:9" ht="51" hidden="1">
      <c r="A478" s="59" t="s">
        <v>402</v>
      </c>
      <c r="B478" s="29" t="s">
        <v>683</v>
      </c>
      <c r="C478" s="29" t="s">
        <v>109</v>
      </c>
      <c r="D478" s="29" t="s">
        <v>19</v>
      </c>
      <c r="E478" s="29" t="s">
        <v>403</v>
      </c>
      <c r="F478" s="30"/>
      <c r="G478" s="31">
        <f>G479</f>
        <v>0</v>
      </c>
      <c r="H478" s="31"/>
      <c r="I478" s="31">
        <f t="shared" si="6"/>
        <v>0</v>
      </c>
    </row>
    <row r="479" spans="1:9" ht="26.25" hidden="1">
      <c r="A479" s="35" t="s">
        <v>38</v>
      </c>
      <c r="B479" s="29" t="s">
        <v>683</v>
      </c>
      <c r="C479" s="29" t="s">
        <v>109</v>
      </c>
      <c r="D479" s="29" t="s">
        <v>19</v>
      </c>
      <c r="E479" s="29" t="s">
        <v>403</v>
      </c>
      <c r="F479" s="30" t="s">
        <v>39</v>
      </c>
      <c r="G479" s="31"/>
      <c r="H479" s="31"/>
      <c r="I479" s="31">
        <f t="shared" si="6"/>
        <v>0</v>
      </c>
    </row>
    <row r="480" spans="1:9" ht="38.25" hidden="1">
      <c r="A480" s="59" t="s">
        <v>404</v>
      </c>
      <c r="B480" s="29" t="s">
        <v>683</v>
      </c>
      <c r="C480" s="29" t="s">
        <v>109</v>
      </c>
      <c r="D480" s="29" t="s">
        <v>19</v>
      </c>
      <c r="E480" s="29" t="s">
        <v>405</v>
      </c>
      <c r="F480" s="30"/>
      <c r="G480" s="31">
        <f>G481</f>
        <v>0</v>
      </c>
      <c r="H480" s="31"/>
      <c r="I480" s="31">
        <f t="shared" si="6"/>
        <v>0</v>
      </c>
    </row>
    <row r="481" spans="1:9" ht="26.25" hidden="1">
      <c r="A481" s="35" t="s">
        <v>38</v>
      </c>
      <c r="B481" s="29" t="s">
        <v>683</v>
      </c>
      <c r="C481" s="29" t="s">
        <v>109</v>
      </c>
      <c r="D481" s="29" t="s">
        <v>19</v>
      </c>
      <c r="E481" s="29" t="s">
        <v>405</v>
      </c>
      <c r="F481" s="30" t="s">
        <v>39</v>
      </c>
      <c r="G481" s="31"/>
      <c r="H481" s="31"/>
      <c r="I481" s="31">
        <f t="shared" si="6"/>
        <v>0</v>
      </c>
    </row>
    <row r="482" spans="1:9" ht="106.5" customHeight="1">
      <c r="A482" s="118" t="s">
        <v>406</v>
      </c>
      <c r="B482" s="29" t="s">
        <v>683</v>
      </c>
      <c r="C482" s="29" t="s">
        <v>109</v>
      </c>
      <c r="D482" s="29" t="s">
        <v>19</v>
      </c>
      <c r="E482" s="29" t="s">
        <v>407</v>
      </c>
      <c r="F482" s="30"/>
      <c r="G482" s="31">
        <f>G483+G484</f>
        <v>257764217</v>
      </c>
      <c r="H482" s="116"/>
      <c r="I482" s="31">
        <f t="shared" si="6"/>
        <v>257764217</v>
      </c>
    </row>
    <row r="483" spans="1:9" ht="72.75" customHeight="1">
      <c r="A483" s="35" t="s">
        <v>26</v>
      </c>
      <c r="B483" s="29" t="s">
        <v>683</v>
      </c>
      <c r="C483" s="29" t="s">
        <v>109</v>
      </c>
      <c r="D483" s="29" t="s">
        <v>19</v>
      </c>
      <c r="E483" s="29" t="s">
        <v>407</v>
      </c>
      <c r="F483" s="30" t="s">
        <v>27</v>
      </c>
      <c r="G483" s="31">
        <v>250857823</v>
      </c>
      <c r="H483" s="116"/>
      <c r="I483" s="31">
        <f t="shared" si="6"/>
        <v>250857823</v>
      </c>
    </row>
    <row r="484" spans="1:9" ht="26.25">
      <c r="A484" s="35" t="s">
        <v>38</v>
      </c>
      <c r="B484" s="29" t="s">
        <v>683</v>
      </c>
      <c r="C484" s="29" t="s">
        <v>109</v>
      </c>
      <c r="D484" s="29" t="s">
        <v>19</v>
      </c>
      <c r="E484" s="29" t="s">
        <v>407</v>
      </c>
      <c r="F484" s="30" t="s">
        <v>39</v>
      </c>
      <c r="G484" s="31">
        <f>742224+280800+5741970+141400</f>
        <v>6906394</v>
      </c>
      <c r="H484" s="116"/>
      <c r="I484" s="31">
        <f t="shared" si="6"/>
        <v>6906394</v>
      </c>
    </row>
    <row r="485" spans="1:9" ht="26.25">
      <c r="A485" s="118" t="s">
        <v>408</v>
      </c>
      <c r="B485" s="29" t="s">
        <v>683</v>
      </c>
      <c r="C485" s="29" t="s">
        <v>109</v>
      </c>
      <c r="D485" s="29" t="s">
        <v>19</v>
      </c>
      <c r="E485" s="29" t="s">
        <v>409</v>
      </c>
      <c r="F485" s="30"/>
      <c r="G485" s="31">
        <f>G486</f>
        <v>2700483</v>
      </c>
      <c r="H485" s="116"/>
      <c r="I485" s="31">
        <f t="shared" si="6"/>
        <v>2700483</v>
      </c>
    </row>
    <row r="486" spans="1:9" ht="26.25">
      <c r="A486" s="35" t="s">
        <v>38</v>
      </c>
      <c r="B486" s="29" t="s">
        <v>683</v>
      </c>
      <c r="C486" s="29" t="s">
        <v>109</v>
      </c>
      <c r="D486" s="29" t="s">
        <v>19</v>
      </c>
      <c r="E486" s="29" t="s">
        <v>409</v>
      </c>
      <c r="F486" s="30" t="s">
        <v>39</v>
      </c>
      <c r="G486" s="31">
        <f>2700483</f>
        <v>2700483</v>
      </c>
      <c r="H486" s="116"/>
      <c r="I486" s="31">
        <f t="shared" si="6"/>
        <v>2700483</v>
      </c>
    </row>
    <row r="487" spans="1:9" ht="26.25">
      <c r="A487" s="118" t="s">
        <v>410</v>
      </c>
      <c r="B487" s="29" t="s">
        <v>683</v>
      </c>
      <c r="C487" s="29" t="s">
        <v>109</v>
      </c>
      <c r="D487" s="29" t="s">
        <v>19</v>
      </c>
      <c r="E487" s="29" t="s">
        <v>411</v>
      </c>
      <c r="F487" s="30"/>
      <c r="G487" s="31">
        <f>G488</f>
        <v>1454107</v>
      </c>
      <c r="H487" s="116"/>
      <c r="I487" s="31">
        <f t="shared" si="6"/>
        <v>1454107</v>
      </c>
    </row>
    <row r="488" spans="1:9" ht="26.25">
      <c r="A488" s="35" t="s">
        <v>38</v>
      </c>
      <c r="B488" s="29" t="s">
        <v>683</v>
      </c>
      <c r="C488" s="29" t="s">
        <v>109</v>
      </c>
      <c r="D488" s="29" t="s">
        <v>19</v>
      </c>
      <c r="E488" s="29" t="s">
        <v>411</v>
      </c>
      <c r="F488" s="30" t="s">
        <v>39</v>
      </c>
      <c r="G488" s="31">
        <v>1454107</v>
      </c>
      <c r="H488" s="116"/>
      <c r="I488" s="31">
        <f t="shared" si="6"/>
        <v>1454107</v>
      </c>
    </row>
    <row r="489" spans="1:9" ht="54" customHeight="1">
      <c r="A489" s="59" t="s">
        <v>695</v>
      </c>
      <c r="B489" s="29" t="s">
        <v>683</v>
      </c>
      <c r="C489" s="29" t="s">
        <v>109</v>
      </c>
      <c r="D489" s="29" t="s">
        <v>19</v>
      </c>
      <c r="E489" s="29" t="s">
        <v>413</v>
      </c>
      <c r="F489" s="30"/>
      <c r="G489" s="31">
        <f>G490</f>
        <v>1085644</v>
      </c>
      <c r="H489" s="116"/>
      <c r="I489" s="31">
        <f t="shared" si="6"/>
        <v>1085644</v>
      </c>
    </row>
    <row r="490" spans="1:9" ht="26.25">
      <c r="A490" s="35" t="s">
        <v>38</v>
      </c>
      <c r="B490" s="29" t="s">
        <v>683</v>
      </c>
      <c r="C490" s="29" t="s">
        <v>109</v>
      </c>
      <c r="D490" s="29" t="s">
        <v>19</v>
      </c>
      <c r="E490" s="29" t="s">
        <v>413</v>
      </c>
      <c r="F490" s="30" t="s">
        <v>39</v>
      </c>
      <c r="G490" s="31">
        <v>1085644</v>
      </c>
      <c r="H490" s="116"/>
      <c r="I490" s="31">
        <f t="shared" si="6"/>
        <v>1085644</v>
      </c>
    </row>
    <row r="491" spans="1:9" ht="54.75" customHeight="1">
      <c r="A491" s="59" t="s">
        <v>414</v>
      </c>
      <c r="B491" s="29" t="s">
        <v>683</v>
      </c>
      <c r="C491" s="29" t="s">
        <v>109</v>
      </c>
      <c r="D491" s="29" t="s">
        <v>19</v>
      </c>
      <c r="E491" s="29" t="s">
        <v>415</v>
      </c>
      <c r="F491" s="30"/>
      <c r="G491" s="31">
        <f>G492</f>
        <v>1670986</v>
      </c>
      <c r="H491" s="116"/>
      <c r="I491" s="31">
        <f t="shared" si="6"/>
        <v>1670986</v>
      </c>
    </row>
    <row r="492" spans="1:9" ht="25.5" customHeight="1">
      <c r="A492" s="35" t="s">
        <v>38</v>
      </c>
      <c r="B492" s="29" t="s">
        <v>683</v>
      </c>
      <c r="C492" s="29" t="s">
        <v>109</v>
      </c>
      <c r="D492" s="29" t="s">
        <v>19</v>
      </c>
      <c r="E492" s="29" t="s">
        <v>415</v>
      </c>
      <c r="F492" s="30" t="s">
        <v>39</v>
      </c>
      <c r="G492" s="31">
        <v>1670986</v>
      </c>
      <c r="H492" s="116"/>
      <c r="I492" s="31">
        <f t="shared" si="6"/>
        <v>1670986</v>
      </c>
    </row>
    <row r="493" spans="1:9" ht="64.5">
      <c r="A493" s="118" t="s">
        <v>416</v>
      </c>
      <c r="B493" s="29" t="s">
        <v>683</v>
      </c>
      <c r="C493" s="29" t="s">
        <v>109</v>
      </c>
      <c r="D493" s="29" t="s">
        <v>19</v>
      </c>
      <c r="E493" s="29" t="s">
        <v>417</v>
      </c>
      <c r="F493" s="30"/>
      <c r="G493" s="31">
        <f>G494</f>
        <v>737089</v>
      </c>
      <c r="H493" s="116"/>
      <c r="I493" s="31">
        <f t="shared" si="6"/>
        <v>737089</v>
      </c>
    </row>
    <row r="494" spans="1:9" ht="26.25">
      <c r="A494" s="35" t="s">
        <v>38</v>
      </c>
      <c r="B494" s="29" t="s">
        <v>683</v>
      </c>
      <c r="C494" s="29" t="s">
        <v>109</v>
      </c>
      <c r="D494" s="29" t="s">
        <v>19</v>
      </c>
      <c r="E494" s="29" t="s">
        <v>417</v>
      </c>
      <c r="F494" s="30" t="s">
        <v>39</v>
      </c>
      <c r="G494" s="31">
        <v>737089</v>
      </c>
      <c r="H494" s="116"/>
      <c r="I494" s="31">
        <f t="shared" si="6"/>
        <v>737089</v>
      </c>
    </row>
    <row r="495" spans="1:9" ht="64.5">
      <c r="A495" s="118" t="s">
        <v>418</v>
      </c>
      <c r="B495" s="29" t="s">
        <v>683</v>
      </c>
      <c r="C495" s="29" t="s">
        <v>109</v>
      </c>
      <c r="D495" s="29" t="s">
        <v>19</v>
      </c>
      <c r="E495" s="29" t="s">
        <v>419</v>
      </c>
      <c r="F495" s="30"/>
      <c r="G495" s="31">
        <f>G496+G497</f>
        <v>4929639</v>
      </c>
      <c r="H495" s="116"/>
      <c r="I495" s="31">
        <f t="shared" si="6"/>
        <v>4929639</v>
      </c>
    </row>
    <row r="496" spans="1:9" ht="25.5" customHeight="1">
      <c r="A496" s="35" t="s">
        <v>38</v>
      </c>
      <c r="B496" s="29" t="s">
        <v>683</v>
      </c>
      <c r="C496" s="29" t="s">
        <v>109</v>
      </c>
      <c r="D496" s="29" t="s">
        <v>19</v>
      </c>
      <c r="E496" s="29" t="s">
        <v>419</v>
      </c>
      <c r="F496" s="30" t="s">
        <v>39</v>
      </c>
      <c r="G496" s="31">
        <f>4929639-628496-1151382</f>
        <v>3149761</v>
      </c>
      <c r="H496" s="116"/>
      <c r="I496" s="31">
        <f t="shared" si="6"/>
        <v>3149761</v>
      </c>
    </row>
    <row r="497" spans="1:9" ht="15">
      <c r="A497" s="88" t="s">
        <v>211</v>
      </c>
      <c r="B497" s="29" t="s">
        <v>683</v>
      </c>
      <c r="C497" s="29" t="s">
        <v>109</v>
      </c>
      <c r="D497" s="29" t="s">
        <v>19</v>
      </c>
      <c r="E497" s="29" t="s">
        <v>419</v>
      </c>
      <c r="F497" s="30" t="s">
        <v>212</v>
      </c>
      <c r="G497" s="31">
        <f>628496+1151382</f>
        <v>1779878</v>
      </c>
      <c r="H497" s="116"/>
      <c r="I497" s="31">
        <f t="shared" si="6"/>
        <v>1779878</v>
      </c>
    </row>
    <row r="498" spans="1:9" ht="27" customHeight="1">
      <c r="A498" s="10" t="s">
        <v>201</v>
      </c>
      <c r="B498" s="29" t="s">
        <v>683</v>
      </c>
      <c r="C498" s="29" t="s">
        <v>109</v>
      </c>
      <c r="D498" s="29" t="s">
        <v>19</v>
      </c>
      <c r="E498" s="29" t="s">
        <v>420</v>
      </c>
      <c r="F498" s="30"/>
      <c r="G498" s="31">
        <f>G499+G501+G500</f>
        <v>29654304.6</v>
      </c>
      <c r="H498" s="31">
        <f>H499+H501+H500</f>
        <v>4987574.28</v>
      </c>
      <c r="I498" s="31">
        <f t="shared" si="6"/>
        <v>34641878.88</v>
      </c>
    </row>
    <row r="499" spans="1:9" ht="25.5" customHeight="1">
      <c r="A499" s="35" t="s">
        <v>38</v>
      </c>
      <c r="B499" s="29" t="s">
        <v>683</v>
      </c>
      <c r="C499" s="29" t="s">
        <v>109</v>
      </c>
      <c r="D499" s="29" t="s">
        <v>19</v>
      </c>
      <c r="E499" s="29" t="s">
        <v>420</v>
      </c>
      <c r="F499" s="30" t="s">
        <v>39</v>
      </c>
      <c r="G499" s="31">
        <f>18562886+1872828+516671+778000+133000+30000+2514177+104400-378850+2585898.6+502980-12950+201800+10000</f>
        <v>27420840.6</v>
      </c>
      <c r="H499" s="125">
        <f>3726400+1261174.28</f>
        <v>4987574.28</v>
      </c>
      <c r="I499" s="31">
        <f aca="true" t="shared" si="8" ref="I499:I582">G499+H499</f>
        <v>32408414.880000003</v>
      </c>
    </row>
    <row r="500" spans="1:9" ht="26.25" hidden="1">
      <c r="A500" s="16" t="s">
        <v>271</v>
      </c>
      <c r="B500" s="29" t="s">
        <v>683</v>
      </c>
      <c r="C500" s="29" t="s">
        <v>109</v>
      </c>
      <c r="D500" s="29" t="s">
        <v>19</v>
      </c>
      <c r="E500" s="29" t="s">
        <v>420</v>
      </c>
      <c r="F500" s="30" t="s">
        <v>272</v>
      </c>
      <c r="G500" s="31"/>
      <c r="H500" s="125"/>
      <c r="I500" s="31">
        <f t="shared" si="8"/>
        <v>0</v>
      </c>
    </row>
    <row r="501" spans="1:9" ht="15">
      <c r="A501" s="10" t="s">
        <v>84</v>
      </c>
      <c r="B501" s="29" t="s">
        <v>683</v>
      </c>
      <c r="C501" s="29" t="s">
        <v>109</v>
      </c>
      <c r="D501" s="29" t="s">
        <v>19</v>
      </c>
      <c r="E501" s="29" t="s">
        <v>420</v>
      </c>
      <c r="F501" s="30" t="s">
        <v>85</v>
      </c>
      <c r="G501" s="31">
        <v>2233464</v>
      </c>
      <c r="H501" s="116"/>
      <c r="I501" s="31">
        <f t="shared" si="8"/>
        <v>2233464</v>
      </c>
    </row>
    <row r="502" spans="1:9" ht="15">
      <c r="A502" s="35" t="s">
        <v>421</v>
      </c>
      <c r="B502" s="29" t="s">
        <v>683</v>
      </c>
      <c r="C502" s="29" t="s">
        <v>109</v>
      </c>
      <c r="D502" s="29" t="s">
        <v>19</v>
      </c>
      <c r="E502" s="29" t="s">
        <v>422</v>
      </c>
      <c r="F502" s="30"/>
      <c r="G502" s="31">
        <f>G503</f>
        <v>100000</v>
      </c>
      <c r="H502" s="116"/>
      <c r="I502" s="31">
        <f t="shared" si="8"/>
        <v>100000</v>
      </c>
    </row>
    <row r="503" spans="1:9" ht="24" customHeight="1">
      <c r="A503" s="35" t="s">
        <v>38</v>
      </c>
      <c r="B503" s="29" t="s">
        <v>683</v>
      </c>
      <c r="C503" s="29" t="s">
        <v>109</v>
      </c>
      <c r="D503" s="29" t="s">
        <v>19</v>
      </c>
      <c r="E503" s="29" t="s">
        <v>422</v>
      </c>
      <c r="F503" s="30" t="s">
        <v>212</v>
      </c>
      <c r="G503" s="31">
        <v>100000</v>
      </c>
      <c r="H503" s="116"/>
      <c r="I503" s="31">
        <f>G503+H503</f>
        <v>100000</v>
      </c>
    </row>
    <row r="504" spans="1:9" ht="38.25">
      <c r="A504" s="10" t="s">
        <v>570</v>
      </c>
      <c r="B504" s="29" t="s">
        <v>683</v>
      </c>
      <c r="C504" s="29" t="s">
        <v>109</v>
      </c>
      <c r="D504" s="29" t="s">
        <v>19</v>
      </c>
      <c r="E504" s="29" t="s">
        <v>571</v>
      </c>
      <c r="F504" s="30"/>
      <c r="G504" s="31">
        <f>G505+G508</f>
        <v>16013246</v>
      </c>
      <c r="H504" s="31">
        <f>H505</f>
        <v>0</v>
      </c>
      <c r="I504" s="31">
        <f aca="true" t="shared" si="9" ref="I504:I511">G504+H504</f>
        <v>16013246</v>
      </c>
    </row>
    <row r="505" spans="1:9" ht="63.75">
      <c r="A505" s="10" t="s">
        <v>760</v>
      </c>
      <c r="B505" s="29" t="s">
        <v>683</v>
      </c>
      <c r="C505" s="29" t="s">
        <v>109</v>
      </c>
      <c r="D505" s="29" t="s">
        <v>19</v>
      </c>
      <c r="E505" s="29" t="s">
        <v>759</v>
      </c>
      <c r="F505" s="30"/>
      <c r="G505" s="31">
        <f>G506+G507</f>
        <v>15871078</v>
      </c>
      <c r="H505" s="31">
        <f>H506+H507</f>
        <v>0</v>
      </c>
      <c r="I505" s="31">
        <f t="shared" si="9"/>
        <v>15871078</v>
      </c>
    </row>
    <row r="506" spans="1:9" ht="64.5">
      <c r="A506" s="35" t="s">
        <v>26</v>
      </c>
      <c r="B506" s="29" t="s">
        <v>683</v>
      </c>
      <c r="C506" s="29" t="s">
        <v>109</v>
      </c>
      <c r="D506" s="29" t="s">
        <v>19</v>
      </c>
      <c r="E506" s="29" t="s">
        <v>759</v>
      </c>
      <c r="F506" s="30" t="s">
        <v>27</v>
      </c>
      <c r="G506" s="31">
        <v>11791078</v>
      </c>
      <c r="H506" s="116"/>
      <c r="I506" s="31">
        <f t="shared" si="9"/>
        <v>11791078</v>
      </c>
    </row>
    <row r="507" spans="1:9" ht="15">
      <c r="A507" s="88" t="s">
        <v>211</v>
      </c>
      <c r="B507" s="29" t="s">
        <v>683</v>
      </c>
      <c r="C507" s="29" t="s">
        <v>109</v>
      </c>
      <c r="D507" s="29" t="s">
        <v>19</v>
      </c>
      <c r="E507" s="29" t="s">
        <v>759</v>
      </c>
      <c r="F507" s="30" t="s">
        <v>212</v>
      </c>
      <c r="G507" s="31">
        <v>4080000</v>
      </c>
      <c r="H507" s="116"/>
      <c r="I507" s="31">
        <f t="shared" si="9"/>
        <v>4080000</v>
      </c>
    </row>
    <row r="508" spans="1:9" ht="105" customHeight="1">
      <c r="A508" s="10" t="s">
        <v>765</v>
      </c>
      <c r="B508" s="29" t="s">
        <v>683</v>
      </c>
      <c r="C508" s="29" t="s">
        <v>109</v>
      </c>
      <c r="D508" s="29" t="s">
        <v>19</v>
      </c>
      <c r="E508" s="29" t="s">
        <v>764</v>
      </c>
      <c r="F508" s="30"/>
      <c r="G508" s="31">
        <f>G509</f>
        <v>142168</v>
      </c>
      <c r="H508" s="31">
        <f>H509</f>
        <v>0</v>
      </c>
      <c r="I508" s="31">
        <f t="shared" si="9"/>
        <v>142168</v>
      </c>
    </row>
    <row r="509" spans="1:9" ht="25.5" customHeight="1">
      <c r="A509" s="35" t="s">
        <v>38</v>
      </c>
      <c r="B509" s="29" t="s">
        <v>683</v>
      </c>
      <c r="C509" s="29" t="s">
        <v>109</v>
      </c>
      <c r="D509" s="29" t="s">
        <v>19</v>
      </c>
      <c r="E509" s="29" t="s">
        <v>764</v>
      </c>
      <c r="F509" s="30" t="s">
        <v>39</v>
      </c>
      <c r="G509" s="31">
        <v>142168</v>
      </c>
      <c r="H509" s="116"/>
      <c r="I509" s="31">
        <f t="shared" si="9"/>
        <v>142168</v>
      </c>
    </row>
    <row r="510" spans="1:9" ht="64.5" hidden="1">
      <c r="A510" s="15" t="s">
        <v>752</v>
      </c>
      <c r="B510" s="29" t="s">
        <v>683</v>
      </c>
      <c r="C510" s="29" t="s">
        <v>109</v>
      </c>
      <c r="D510" s="29" t="s">
        <v>19</v>
      </c>
      <c r="E510" s="29" t="s">
        <v>751</v>
      </c>
      <c r="F510" s="30"/>
      <c r="G510" s="31">
        <f>G511</f>
        <v>0</v>
      </c>
      <c r="H510" s="116"/>
      <c r="I510" s="31">
        <f t="shared" si="9"/>
        <v>0</v>
      </c>
    </row>
    <row r="511" spans="1:9" ht="51" hidden="1">
      <c r="A511" s="10" t="s">
        <v>753</v>
      </c>
      <c r="B511" s="29" t="s">
        <v>683</v>
      </c>
      <c r="C511" s="29" t="s">
        <v>109</v>
      </c>
      <c r="D511" s="29" t="s">
        <v>19</v>
      </c>
      <c r="E511" s="29" t="s">
        <v>754</v>
      </c>
      <c r="F511" s="30"/>
      <c r="G511" s="31">
        <f>G512</f>
        <v>0</v>
      </c>
      <c r="H511" s="116"/>
      <c r="I511" s="31">
        <f t="shared" si="9"/>
        <v>0</v>
      </c>
    </row>
    <row r="512" spans="1:9" ht="25.5" hidden="1">
      <c r="A512" s="10" t="s">
        <v>201</v>
      </c>
      <c r="B512" s="29" t="s">
        <v>683</v>
      </c>
      <c r="C512" s="29" t="s">
        <v>109</v>
      </c>
      <c r="D512" s="29" t="s">
        <v>19</v>
      </c>
      <c r="E512" s="29" t="s">
        <v>755</v>
      </c>
      <c r="F512" s="30"/>
      <c r="G512" s="31">
        <f>G513</f>
        <v>0</v>
      </c>
      <c r="H512" s="116"/>
      <c r="I512" s="31">
        <f t="shared" si="8"/>
        <v>0</v>
      </c>
    </row>
    <row r="513" spans="1:9" ht="26.25" hidden="1">
      <c r="A513" s="35" t="s">
        <v>271</v>
      </c>
      <c r="B513" s="29" t="s">
        <v>683</v>
      </c>
      <c r="C513" s="29" t="s">
        <v>109</v>
      </c>
      <c r="D513" s="29" t="s">
        <v>19</v>
      </c>
      <c r="E513" s="29" t="s">
        <v>755</v>
      </c>
      <c r="F513" s="30" t="s">
        <v>272</v>
      </c>
      <c r="G513" s="31">
        <f>6120000-6120000</f>
        <v>0</v>
      </c>
      <c r="H513" s="116"/>
      <c r="I513" s="31">
        <f t="shared" si="8"/>
        <v>0</v>
      </c>
    </row>
    <row r="514" spans="1:9" ht="51.75" hidden="1">
      <c r="A514" s="75" t="s">
        <v>379</v>
      </c>
      <c r="B514" s="29" t="s">
        <v>683</v>
      </c>
      <c r="C514" s="29" t="s">
        <v>109</v>
      </c>
      <c r="D514" s="29" t="s">
        <v>19</v>
      </c>
      <c r="E514" s="50" t="s">
        <v>295</v>
      </c>
      <c r="F514" s="30"/>
      <c r="G514" s="31">
        <f>G515</f>
        <v>0</v>
      </c>
      <c r="H514" s="116"/>
      <c r="I514" s="31">
        <f t="shared" si="8"/>
        <v>0</v>
      </c>
    </row>
    <row r="515" spans="1:9" ht="37.5" customHeight="1" hidden="1">
      <c r="A515" s="73" t="s">
        <v>380</v>
      </c>
      <c r="B515" s="29" t="s">
        <v>683</v>
      </c>
      <c r="C515" s="29" t="s">
        <v>109</v>
      </c>
      <c r="D515" s="29" t="s">
        <v>19</v>
      </c>
      <c r="E515" s="50" t="s">
        <v>381</v>
      </c>
      <c r="F515" s="30"/>
      <c r="G515" s="31">
        <f>G516</f>
        <v>0</v>
      </c>
      <c r="H515" s="116"/>
      <c r="I515" s="31">
        <f t="shared" si="8"/>
        <v>0</v>
      </c>
    </row>
    <row r="516" spans="1:9" ht="25.5" hidden="1">
      <c r="A516" s="10" t="s">
        <v>382</v>
      </c>
      <c r="B516" s="29" t="s">
        <v>683</v>
      </c>
      <c r="C516" s="29" t="s">
        <v>109</v>
      </c>
      <c r="D516" s="29" t="s">
        <v>19</v>
      </c>
      <c r="E516" s="47" t="s">
        <v>299</v>
      </c>
      <c r="F516" s="30"/>
      <c r="G516" s="31">
        <f>G517</f>
        <v>0</v>
      </c>
      <c r="H516" s="116"/>
      <c r="I516" s="31">
        <f t="shared" si="8"/>
        <v>0</v>
      </c>
    </row>
    <row r="517" spans="1:9" ht="15" hidden="1">
      <c r="A517" s="80" t="s">
        <v>300</v>
      </c>
      <c r="B517" s="29" t="s">
        <v>683</v>
      </c>
      <c r="C517" s="29" t="s">
        <v>109</v>
      </c>
      <c r="D517" s="29" t="s">
        <v>19</v>
      </c>
      <c r="E517" s="47" t="s">
        <v>301</v>
      </c>
      <c r="F517" s="30"/>
      <c r="G517" s="31">
        <f>G518</f>
        <v>0</v>
      </c>
      <c r="H517" s="116"/>
      <c r="I517" s="31">
        <f>G517+H517</f>
        <v>0</v>
      </c>
    </row>
    <row r="518" spans="1:9" ht="26.25" hidden="1">
      <c r="A518" s="35" t="s">
        <v>38</v>
      </c>
      <c r="B518" s="29" t="s">
        <v>683</v>
      </c>
      <c r="C518" s="29" t="s">
        <v>109</v>
      </c>
      <c r="D518" s="29" t="s">
        <v>19</v>
      </c>
      <c r="E518" s="47" t="s">
        <v>301</v>
      </c>
      <c r="F518" s="30" t="s">
        <v>39</v>
      </c>
      <c r="G518" s="31"/>
      <c r="H518" s="116"/>
      <c r="I518" s="31">
        <f>G518+H518</f>
        <v>0</v>
      </c>
    </row>
    <row r="519" spans="1:9" ht="20.25" customHeight="1" hidden="1">
      <c r="A519" s="77" t="s">
        <v>333</v>
      </c>
      <c r="B519" s="29" t="s">
        <v>683</v>
      </c>
      <c r="C519" s="29" t="s">
        <v>109</v>
      </c>
      <c r="D519" s="29" t="s">
        <v>19</v>
      </c>
      <c r="E519" s="50" t="s">
        <v>303</v>
      </c>
      <c r="F519" s="30"/>
      <c r="G519" s="31">
        <f>G520</f>
        <v>0</v>
      </c>
      <c r="H519" s="116"/>
      <c r="I519" s="31">
        <f aca="true" t="shared" si="10" ref="I519:I525">G519+H519</f>
        <v>0</v>
      </c>
    </row>
    <row r="520" spans="1:9" ht="90" hidden="1">
      <c r="A520" s="73" t="s">
        <v>334</v>
      </c>
      <c r="B520" s="29" t="s">
        <v>683</v>
      </c>
      <c r="C520" s="29" t="s">
        <v>109</v>
      </c>
      <c r="D520" s="29" t="s">
        <v>19</v>
      </c>
      <c r="E520" s="50" t="s">
        <v>335</v>
      </c>
      <c r="F520" s="30"/>
      <c r="G520" s="31">
        <f>G521</f>
        <v>0</v>
      </c>
      <c r="H520" s="116"/>
      <c r="I520" s="31">
        <f t="shared" si="10"/>
        <v>0</v>
      </c>
    </row>
    <row r="521" spans="1:9" ht="38.25" hidden="1">
      <c r="A521" s="10" t="s">
        <v>424</v>
      </c>
      <c r="B521" s="29" t="s">
        <v>683</v>
      </c>
      <c r="C521" s="29" t="s">
        <v>109</v>
      </c>
      <c r="D521" s="29" t="s">
        <v>19</v>
      </c>
      <c r="E521" s="50" t="s">
        <v>425</v>
      </c>
      <c r="F521" s="30"/>
      <c r="G521" s="31">
        <f>G522+G524+G526</f>
        <v>0</v>
      </c>
      <c r="H521" s="116"/>
      <c r="I521" s="31">
        <f t="shared" si="10"/>
        <v>0</v>
      </c>
    </row>
    <row r="522" spans="1:9" ht="24" hidden="1">
      <c r="A522" s="80" t="s">
        <v>426</v>
      </c>
      <c r="B522" s="29" t="s">
        <v>683</v>
      </c>
      <c r="C522" s="29" t="s">
        <v>109</v>
      </c>
      <c r="D522" s="29" t="s">
        <v>19</v>
      </c>
      <c r="E522" s="47" t="s">
        <v>427</v>
      </c>
      <c r="F522" s="30"/>
      <c r="G522" s="31">
        <f>G523</f>
        <v>0</v>
      </c>
      <c r="H522" s="116"/>
      <c r="I522" s="31">
        <f t="shared" si="10"/>
        <v>0</v>
      </c>
    </row>
    <row r="523" spans="1:9" ht="26.25" hidden="1">
      <c r="A523" s="16" t="s">
        <v>271</v>
      </c>
      <c r="B523" s="29" t="s">
        <v>683</v>
      </c>
      <c r="C523" s="29" t="s">
        <v>109</v>
      </c>
      <c r="D523" s="29" t="s">
        <v>19</v>
      </c>
      <c r="E523" s="47" t="s">
        <v>427</v>
      </c>
      <c r="F523" s="30" t="s">
        <v>272</v>
      </c>
      <c r="G523" s="31"/>
      <c r="H523" s="116"/>
      <c r="I523" s="31">
        <f t="shared" si="10"/>
        <v>0</v>
      </c>
    </row>
    <row r="524" spans="1:9" ht="31.5" customHeight="1" hidden="1">
      <c r="A524" s="80" t="s">
        <v>428</v>
      </c>
      <c r="B524" s="29" t="s">
        <v>683</v>
      </c>
      <c r="C524" s="29" t="s">
        <v>109</v>
      </c>
      <c r="D524" s="29" t="s">
        <v>19</v>
      </c>
      <c r="E524" s="47" t="s">
        <v>429</v>
      </c>
      <c r="F524" s="30"/>
      <c r="G524" s="31">
        <f>G525</f>
        <v>0</v>
      </c>
      <c r="H524" s="116"/>
      <c r="I524" s="31">
        <f t="shared" si="10"/>
        <v>0</v>
      </c>
    </row>
    <row r="525" spans="1:9" ht="26.25" hidden="1">
      <c r="A525" s="16" t="s">
        <v>271</v>
      </c>
      <c r="B525" s="29" t="s">
        <v>683</v>
      </c>
      <c r="C525" s="29" t="s">
        <v>109</v>
      </c>
      <c r="D525" s="29" t="s">
        <v>19</v>
      </c>
      <c r="E525" s="47" t="s">
        <v>429</v>
      </c>
      <c r="F525" s="30" t="s">
        <v>272</v>
      </c>
      <c r="G525" s="31"/>
      <c r="H525" s="116"/>
      <c r="I525" s="31">
        <f t="shared" si="10"/>
        <v>0</v>
      </c>
    </row>
    <row r="526" spans="1:9" ht="48" hidden="1">
      <c r="A526" s="80" t="s">
        <v>430</v>
      </c>
      <c r="B526" s="29" t="s">
        <v>683</v>
      </c>
      <c r="C526" s="29" t="s">
        <v>109</v>
      </c>
      <c r="D526" s="29" t="s">
        <v>19</v>
      </c>
      <c r="E526" s="47" t="s">
        <v>431</v>
      </c>
      <c r="F526" s="30"/>
      <c r="G526" s="31">
        <f>G527</f>
        <v>0</v>
      </c>
      <c r="H526" s="116"/>
      <c r="I526" s="31">
        <f>G526+H526</f>
        <v>0</v>
      </c>
    </row>
    <row r="527" spans="1:9" ht="26.25" hidden="1">
      <c r="A527" s="16" t="s">
        <v>271</v>
      </c>
      <c r="B527" s="29" t="s">
        <v>683</v>
      </c>
      <c r="C527" s="29" t="s">
        <v>109</v>
      </c>
      <c r="D527" s="29" t="s">
        <v>19</v>
      </c>
      <c r="E527" s="47" t="s">
        <v>431</v>
      </c>
      <c r="F527" s="30" t="s">
        <v>272</v>
      </c>
      <c r="G527" s="31"/>
      <c r="H527" s="116"/>
      <c r="I527" s="31">
        <f>G527+H527</f>
        <v>0</v>
      </c>
    </row>
    <row r="528" spans="1:9" ht="54.75" customHeight="1">
      <c r="A528" s="62" t="s">
        <v>157</v>
      </c>
      <c r="B528" s="29" t="s">
        <v>683</v>
      </c>
      <c r="C528" s="29" t="s">
        <v>109</v>
      </c>
      <c r="D528" s="29" t="s">
        <v>19</v>
      </c>
      <c r="E528" s="50" t="s">
        <v>158</v>
      </c>
      <c r="F528" s="30"/>
      <c r="G528" s="31">
        <f>G529</f>
        <v>36960</v>
      </c>
      <c r="H528" s="116"/>
      <c r="I528" s="31">
        <f t="shared" si="8"/>
        <v>36960</v>
      </c>
    </row>
    <row r="529" spans="1:9" ht="90.75" customHeight="1">
      <c r="A529" s="67" t="s">
        <v>159</v>
      </c>
      <c r="B529" s="29" t="s">
        <v>683</v>
      </c>
      <c r="C529" s="29" t="s">
        <v>109</v>
      </c>
      <c r="D529" s="29" t="s">
        <v>19</v>
      </c>
      <c r="E529" s="50" t="s">
        <v>160</v>
      </c>
      <c r="F529" s="30"/>
      <c r="G529" s="31">
        <f>G530+G533</f>
        <v>36960</v>
      </c>
      <c r="H529" s="116"/>
      <c r="I529" s="31">
        <f t="shared" si="8"/>
        <v>36960</v>
      </c>
    </row>
    <row r="530" spans="1:9" ht="38.25" hidden="1">
      <c r="A530" s="74" t="s">
        <v>161</v>
      </c>
      <c r="B530" s="29" t="s">
        <v>683</v>
      </c>
      <c r="C530" s="29" t="s">
        <v>109</v>
      </c>
      <c r="D530" s="29" t="s">
        <v>19</v>
      </c>
      <c r="E530" s="50" t="s">
        <v>162</v>
      </c>
      <c r="F530" s="30"/>
      <c r="G530" s="31">
        <f>G531</f>
        <v>0</v>
      </c>
      <c r="H530" s="116"/>
      <c r="I530" s="31">
        <f t="shared" si="8"/>
        <v>0</v>
      </c>
    </row>
    <row r="531" spans="1:9" ht="25.5" hidden="1">
      <c r="A531" s="10" t="s">
        <v>163</v>
      </c>
      <c r="B531" s="29" t="s">
        <v>683</v>
      </c>
      <c r="C531" s="29" t="s">
        <v>109</v>
      </c>
      <c r="D531" s="29" t="s">
        <v>19</v>
      </c>
      <c r="E531" s="50" t="s">
        <v>164</v>
      </c>
      <c r="F531" s="30"/>
      <c r="G531" s="31">
        <f>G532</f>
        <v>0</v>
      </c>
      <c r="H531" s="116"/>
      <c r="I531" s="31">
        <f t="shared" si="8"/>
        <v>0</v>
      </c>
    </row>
    <row r="532" spans="1:9" ht="26.25" hidden="1">
      <c r="A532" s="35" t="s">
        <v>38</v>
      </c>
      <c r="B532" s="29" t="s">
        <v>683</v>
      </c>
      <c r="C532" s="29" t="s">
        <v>109</v>
      </c>
      <c r="D532" s="29" t="s">
        <v>19</v>
      </c>
      <c r="E532" s="50" t="s">
        <v>164</v>
      </c>
      <c r="F532" s="30" t="s">
        <v>39</v>
      </c>
      <c r="G532" s="31"/>
      <c r="H532" s="116"/>
      <c r="I532" s="31">
        <f t="shared" si="8"/>
        <v>0</v>
      </c>
    </row>
    <row r="533" spans="1:9" ht="73.5" customHeight="1">
      <c r="A533" s="74" t="s">
        <v>432</v>
      </c>
      <c r="B533" s="29" t="s">
        <v>683</v>
      </c>
      <c r="C533" s="29" t="s">
        <v>109</v>
      </c>
      <c r="D533" s="29" t="s">
        <v>19</v>
      </c>
      <c r="E533" s="50" t="s">
        <v>433</v>
      </c>
      <c r="F533" s="30"/>
      <c r="G533" s="31">
        <f>G534</f>
        <v>36960</v>
      </c>
      <c r="H533" s="116"/>
      <c r="I533" s="31">
        <f t="shared" si="8"/>
        <v>36960</v>
      </c>
    </row>
    <row r="534" spans="1:9" ht="30.75" customHeight="1">
      <c r="A534" s="10" t="s">
        <v>163</v>
      </c>
      <c r="B534" s="29" t="s">
        <v>683</v>
      </c>
      <c r="C534" s="29" t="s">
        <v>109</v>
      </c>
      <c r="D534" s="29" t="s">
        <v>19</v>
      </c>
      <c r="E534" s="50" t="s">
        <v>434</v>
      </c>
      <c r="F534" s="30"/>
      <c r="G534" s="31">
        <f>G535</f>
        <v>36960</v>
      </c>
      <c r="H534" s="116"/>
      <c r="I534" s="31">
        <f t="shared" si="8"/>
        <v>36960</v>
      </c>
    </row>
    <row r="535" spans="1:9" ht="34.5" customHeight="1">
      <c r="A535" s="35" t="s">
        <v>38</v>
      </c>
      <c r="B535" s="29" t="s">
        <v>683</v>
      </c>
      <c r="C535" s="29" t="s">
        <v>109</v>
      </c>
      <c r="D535" s="29" t="s">
        <v>19</v>
      </c>
      <c r="E535" s="50" t="s">
        <v>434</v>
      </c>
      <c r="F535" s="30" t="s">
        <v>39</v>
      </c>
      <c r="G535" s="31">
        <v>36960</v>
      </c>
      <c r="H535" s="116"/>
      <c r="I535" s="31">
        <f t="shared" si="8"/>
        <v>36960</v>
      </c>
    </row>
    <row r="536" spans="1:9" ht="42" customHeight="1">
      <c r="A536" s="121" t="s">
        <v>435</v>
      </c>
      <c r="B536" s="29" t="s">
        <v>683</v>
      </c>
      <c r="C536" s="29" t="s">
        <v>109</v>
      </c>
      <c r="D536" s="29" t="s">
        <v>19</v>
      </c>
      <c r="E536" s="29" t="s">
        <v>436</v>
      </c>
      <c r="F536" s="37"/>
      <c r="G536" s="31">
        <f>G537</f>
        <v>20000</v>
      </c>
      <c r="H536" s="116"/>
      <c r="I536" s="31">
        <f t="shared" si="8"/>
        <v>20000</v>
      </c>
    </row>
    <row r="537" spans="1:13" s="42" customFormat="1" ht="72.75" customHeight="1">
      <c r="A537" s="13" t="s">
        <v>437</v>
      </c>
      <c r="B537" s="29" t="s">
        <v>683</v>
      </c>
      <c r="C537" s="29" t="s">
        <v>109</v>
      </c>
      <c r="D537" s="29" t="s">
        <v>19</v>
      </c>
      <c r="E537" s="29" t="s">
        <v>438</v>
      </c>
      <c r="F537" s="37"/>
      <c r="G537" s="31">
        <f>G538</f>
        <v>20000</v>
      </c>
      <c r="H537" s="116"/>
      <c r="I537" s="31">
        <f t="shared" si="8"/>
        <v>20000</v>
      </c>
      <c r="J537" s="69"/>
      <c r="K537" s="69"/>
      <c r="L537" s="69"/>
      <c r="M537" s="69"/>
    </row>
    <row r="538" spans="1:9" ht="25.5">
      <c r="A538" s="59" t="s">
        <v>439</v>
      </c>
      <c r="B538" s="29" t="s">
        <v>683</v>
      </c>
      <c r="C538" s="29" t="s">
        <v>109</v>
      </c>
      <c r="D538" s="29" t="s">
        <v>19</v>
      </c>
      <c r="E538" s="29" t="s">
        <v>440</v>
      </c>
      <c r="F538" s="37"/>
      <c r="G538" s="31">
        <f>G539</f>
        <v>20000</v>
      </c>
      <c r="H538" s="116"/>
      <c r="I538" s="31">
        <f t="shared" si="8"/>
        <v>20000</v>
      </c>
    </row>
    <row r="539" spans="1:9" ht="25.5">
      <c r="A539" s="59" t="s">
        <v>441</v>
      </c>
      <c r="B539" s="29" t="s">
        <v>683</v>
      </c>
      <c r="C539" s="29" t="s">
        <v>109</v>
      </c>
      <c r="D539" s="29" t="s">
        <v>19</v>
      </c>
      <c r="E539" s="29" t="s">
        <v>442</v>
      </c>
      <c r="F539" s="37"/>
      <c r="G539" s="31">
        <f>G540</f>
        <v>20000</v>
      </c>
      <c r="H539" s="116"/>
      <c r="I539" s="31">
        <f t="shared" si="8"/>
        <v>20000</v>
      </c>
    </row>
    <row r="540" spans="1:9" ht="31.5" customHeight="1">
      <c r="A540" s="35" t="s">
        <v>38</v>
      </c>
      <c r="B540" s="29" t="s">
        <v>683</v>
      </c>
      <c r="C540" s="29" t="s">
        <v>109</v>
      </c>
      <c r="D540" s="29" t="s">
        <v>19</v>
      </c>
      <c r="E540" s="29" t="s">
        <v>442</v>
      </c>
      <c r="F540" s="30" t="s">
        <v>39</v>
      </c>
      <c r="G540" s="31">
        <v>20000</v>
      </c>
      <c r="H540" s="116"/>
      <c r="I540" s="31">
        <f t="shared" si="8"/>
        <v>20000</v>
      </c>
    </row>
    <row r="541" spans="1:9" ht="63.75" hidden="1">
      <c r="A541" s="60" t="s">
        <v>443</v>
      </c>
      <c r="B541" s="29" t="s">
        <v>683</v>
      </c>
      <c r="C541" s="29" t="s">
        <v>109</v>
      </c>
      <c r="D541" s="29" t="s">
        <v>19</v>
      </c>
      <c r="E541" s="29" t="s">
        <v>444</v>
      </c>
      <c r="F541" s="30"/>
      <c r="G541" s="31">
        <f>G542</f>
        <v>0</v>
      </c>
      <c r="H541" s="116"/>
      <c r="I541" s="31">
        <f t="shared" si="8"/>
        <v>0</v>
      </c>
    </row>
    <row r="542" spans="1:9" ht="90" hidden="1">
      <c r="A542" s="35" t="s">
        <v>445</v>
      </c>
      <c r="B542" s="29" t="s">
        <v>683</v>
      </c>
      <c r="C542" s="29" t="s">
        <v>109</v>
      </c>
      <c r="D542" s="29" t="s">
        <v>19</v>
      </c>
      <c r="E542" s="29" t="s">
        <v>446</v>
      </c>
      <c r="F542" s="30"/>
      <c r="G542" s="31">
        <f>G543</f>
        <v>0</v>
      </c>
      <c r="H542" s="116"/>
      <c r="I542" s="31">
        <f t="shared" si="8"/>
        <v>0</v>
      </c>
    </row>
    <row r="543" spans="1:9" ht="39" hidden="1">
      <c r="A543" s="35" t="s">
        <v>696</v>
      </c>
      <c r="B543" s="29" t="s">
        <v>683</v>
      </c>
      <c r="C543" s="29" t="s">
        <v>109</v>
      </c>
      <c r="D543" s="29" t="s">
        <v>19</v>
      </c>
      <c r="E543" s="29" t="s">
        <v>448</v>
      </c>
      <c r="F543" s="30"/>
      <c r="G543" s="31">
        <f>G544</f>
        <v>0</v>
      </c>
      <c r="H543" s="116"/>
      <c r="I543" s="31">
        <f t="shared" si="8"/>
        <v>0</v>
      </c>
    </row>
    <row r="544" spans="1:9" ht="25.5" hidden="1">
      <c r="A544" s="10" t="s">
        <v>163</v>
      </c>
      <c r="B544" s="29" t="s">
        <v>683</v>
      </c>
      <c r="C544" s="29" t="s">
        <v>109</v>
      </c>
      <c r="D544" s="29" t="s">
        <v>19</v>
      </c>
      <c r="E544" s="29" t="s">
        <v>449</v>
      </c>
      <c r="F544" s="30"/>
      <c r="G544" s="31">
        <f>G545</f>
        <v>0</v>
      </c>
      <c r="H544" s="116"/>
      <c r="I544" s="31">
        <f t="shared" si="8"/>
        <v>0</v>
      </c>
    </row>
    <row r="545" spans="1:9" ht="26.25" hidden="1">
      <c r="A545" s="35" t="s">
        <v>38</v>
      </c>
      <c r="B545" s="29" t="s">
        <v>683</v>
      </c>
      <c r="C545" s="29" t="s">
        <v>109</v>
      </c>
      <c r="D545" s="29" t="s">
        <v>19</v>
      </c>
      <c r="E545" s="29" t="s">
        <v>449</v>
      </c>
      <c r="F545" s="30" t="s">
        <v>39</v>
      </c>
      <c r="G545" s="31"/>
      <c r="H545" s="116"/>
      <c r="I545" s="31">
        <f t="shared" si="8"/>
        <v>0</v>
      </c>
    </row>
    <row r="546" spans="1:9" ht="24.75" customHeight="1">
      <c r="A546" s="35" t="s">
        <v>450</v>
      </c>
      <c r="B546" s="29" t="s">
        <v>683</v>
      </c>
      <c r="C546" s="29" t="s">
        <v>109</v>
      </c>
      <c r="D546" s="29" t="s">
        <v>29</v>
      </c>
      <c r="E546" s="29"/>
      <c r="F546" s="30"/>
      <c r="G546" s="31">
        <f>G547</f>
        <v>23353512</v>
      </c>
      <c r="H546" s="116"/>
      <c r="I546" s="31">
        <f t="shared" si="8"/>
        <v>23353512</v>
      </c>
    </row>
    <row r="547" spans="1:9" ht="38.25" customHeight="1">
      <c r="A547" s="16" t="s">
        <v>370</v>
      </c>
      <c r="B547" s="29" t="s">
        <v>683</v>
      </c>
      <c r="C547" s="29" t="s">
        <v>109</v>
      </c>
      <c r="D547" s="29" t="s">
        <v>29</v>
      </c>
      <c r="E547" s="29" t="s">
        <v>371</v>
      </c>
      <c r="F547" s="30"/>
      <c r="G547" s="31">
        <f>G552+G548</f>
        <v>23353512</v>
      </c>
      <c r="H547" s="116"/>
      <c r="I547" s="31">
        <f>G547+H547</f>
        <v>23353512</v>
      </c>
    </row>
    <row r="548" spans="1:9" ht="51" customHeight="1" hidden="1">
      <c r="A548" s="15" t="s">
        <v>372</v>
      </c>
      <c r="B548" s="29" t="s">
        <v>683</v>
      </c>
      <c r="C548" s="29" t="s">
        <v>109</v>
      </c>
      <c r="D548" s="29" t="s">
        <v>29</v>
      </c>
      <c r="E548" s="29" t="s">
        <v>373</v>
      </c>
      <c r="F548" s="30"/>
      <c r="G548" s="31">
        <f>G549</f>
        <v>0</v>
      </c>
      <c r="H548" s="116"/>
      <c r="I548" s="31">
        <f t="shared" si="8"/>
        <v>0</v>
      </c>
    </row>
    <row r="549" spans="1:9" ht="24.75" customHeight="1" hidden="1">
      <c r="A549" s="10" t="s">
        <v>451</v>
      </c>
      <c r="B549" s="29" t="s">
        <v>683</v>
      </c>
      <c r="C549" s="29" t="s">
        <v>109</v>
      </c>
      <c r="D549" s="29" t="s">
        <v>29</v>
      </c>
      <c r="E549" s="29" t="s">
        <v>389</v>
      </c>
      <c r="F549" s="30"/>
      <c r="G549" s="31">
        <f>G550</f>
        <v>0</v>
      </c>
      <c r="H549" s="116"/>
      <c r="I549" s="31">
        <f t="shared" si="8"/>
        <v>0</v>
      </c>
    </row>
    <row r="550" spans="1:9" ht="45" customHeight="1" hidden="1">
      <c r="A550" s="59" t="s">
        <v>452</v>
      </c>
      <c r="B550" s="29" t="s">
        <v>683</v>
      </c>
      <c r="C550" s="29" t="s">
        <v>109</v>
      </c>
      <c r="D550" s="29" t="s">
        <v>29</v>
      </c>
      <c r="E550" s="29" t="s">
        <v>453</v>
      </c>
      <c r="F550" s="30"/>
      <c r="G550" s="31">
        <f>G551</f>
        <v>0</v>
      </c>
      <c r="H550" s="116"/>
      <c r="I550" s="31">
        <f t="shared" si="8"/>
        <v>0</v>
      </c>
    </row>
    <row r="551" spans="1:9" ht="28.5" customHeight="1" hidden="1">
      <c r="A551" s="35" t="s">
        <v>38</v>
      </c>
      <c r="B551" s="29" t="s">
        <v>683</v>
      </c>
      <c r="C551" s="29" t="s">
        <v>109</v>
      </c>
      <c r="D551" s="29" t="s">
        <v>29</v>
      </c>
      <c r="E551" s="29" t="s">
        <v>453</v>
      </c>
      <c r="F551" s="30" t="s">
        <v>39</v>
      </c>
      <c r="G551" s="31"/>
      <c r="H551" s="116"/>
      <c r="I551" s="31">
        <f t="shared" si="8"/>
        <v>0</v>
      </c>
    </row>
    <row r="552" spans="1:13" s="42" customFormat="1" ht="40.5" customHeight="1">
      <c r="A552" s="35" t="s">
        <v>454</v>
      </c>
      <c r="B552" s="29" t="s">
        <v>683</v>
      </c>
      <c r="C552" s="29" t="s">
        <v>109</v>
      </c>
      <c r="D552" s="29" t="s">
        <v>29</v>
      </c>
      <c r="E552" s="29" t="s">
        <v>455</v>
      </c>
      <c r="F552" s="30"/>
      <c r="G552" s="31">
        <f>G553+G564+G559</f>
        <v>23353512</v>
      </c>
      <c r="H552" s="116"/>
      <c r="I552" s="31">
        <f t="shared" si="8"/>
        <v>23353512</v>
      </c>
      <c r="J552" s="69"/>
      <c r="K552" s="69"/>
      <c r="L552" s="69"/>
      <c r="M552" s="69"/>
    </row>
    <row r="553" spans="1:9" ht="38.25">
      <c r="A553" s="10" t="s">
        <v>456</v>
      </c>
      <c r="B553" s="29" t="s">
        <v>683</v>
      </c>
      <c r="C553" s="29" t="s">
        <v>109</v>
      </c>
      <c r="D553" s="29" t="s">
        <v>29</v>
      </c>
      <c r="E553" s="29" t="s">
        <v>457</v>
      </c>
      <c r="F553" s="30"/>
      <c r="G553" s="31">
        <f>G554</f>
        <v>11064839</v>
      </c>
      <c r="H553" s="116"/>
      <c r="I553" s="31">
        <f t="shared" si="8"/>
        <v>11064839</v>
      </c>
    </row>
    <row r="554" spans="1:9" ht="25.5">
      <c r="A554" s="10" t="s">
        <v>201</v>
      </c>
      <c r="B554" s="29" t="s">
        <v>683</v>
      </c>
      <c r="C554" s="29" t="s">
        <v>109</v>
      </c>
      <c r="D554" s="29" t="s">
        <v>29</v>
      </c>
      <c r="E554" s="29" t="s">
        <v>458</v>
      </c>
      <c r="F554" s="30"/>
      <c r="G554" s="31">
        <f>G555+G556+G557+G558</f>
        <v>11064839</v>
      </c>
      <c r="H554" s="116"/>
      <c r="I554" s="31">
        <f t="shared" si="8"/>
        <v>11064839</v>
      </c>
    </row>
    <row r="555" spans="1:9" ht="75.75" customHeight="1" hidden="1">
      <c r="A555" s="35" t="s">
        <v>26</v>
      </c>
      <c r="B555" s="29" t="s">
        <v>683</v>
      </c>
      <c r="C555" s="29" t="s">
        <v>109</v>
      </c>
      <c r="D555" s="29" t="s">
        <v>29</v>
      </c>
      <c r="E555" s="29" t="s">
        <v>458</v>
      </c>
      <c r="F555" s="30" t="s">
        <v>27</v>
      </c>
      <c r="G555" s="31"/>
      <c r="H555" s="116"/>
      <c r="I555" s="31">
        <f t="shared" si="8"/>
        <v>0</v>
      </c>
    </row>
    <row r="556" spans="1:9" ht="24.75" customHeight="1" hidden="1">
      <c r="A556" s="35" t="s">
        <v>38</v>
      </c>
      <c r="B556" s="29" t="s">
        <v>683</v>
      </c>
      <c r="C556" s="29" t="s">
        <v>109</v>
      </c>
      <c r="D556" s="29" t="s">
        <v>29</v>
      </c>
      <c r="E556" s="29" t="s">
        <v>458</v>
      </c>
      <c r="F556" s="30" t="s">
        <v>39</v>
      </c>
      <c r="G556" s="31"/>
      <c r="H556" s="116"/>
      <c r="I556" s="31">
        <f t="shared" si="8"/>
        <v>0</v>
      </c>
    </row>
    <row r="557" spans="1:9" ht="26.25" hidden="1">
      <c r="A557" s="16" t="s">
        <v>271</v>
      </c>
      <c r="B557" s="29" t="s">
        <v>683</v>
      </c>
      <c r="C557" s="29" t="s">
        <v>109</v>
      </c>
      <c r="D557" s="29" t="s">
        <v>29</v>
      </c>
      <c r="E557" s="29" t="s">
        <v>458</v>
      </c>
      <c r="F557" s="30" t="s">
        <v>272</v>
      </c>
      <c r="G557" s="31"/>
      <c r="H557" s="116"/>
      <c r="I557" s="31">
        <f>G557+H557</f>
        <v>0</v>
      </c>
    </row>
    <row r="558" spans="1:9" ht="26.25">
      <c r="A558" s="16" t="s">
        <v>140</v>
      </c>
      <c r="B558" s="29" t="s">
        <v>683</v>
      </c>
      <c r="C558" s="29" t="s">
        <v>109</v>
      </c>
      <c r="D558" s="29" t="s">
        <v>29</v>
      </c>
      <c r="E558" s="29" t="s">
        <v>458</v>
      </c>
      <c r="F558" s="30" t="s">
        <v>141</v>
      </c>
      <c r="G558" s="31">
        <f>9509015+1498574+12950+44300</f>
        <v>11064839</v>
      </c>
      <c r="H558" s="116"/>
      <c r="I558" s="31">
        <f>G558+H558</f>
        <v>11064839</v>
      </c>
    </row>
    <row r="559" spans="1:9" ht="25.5">
      <c r="A559" s="9" t="s">
        <v>574</v>
      </c>
      <c r="B559" s="29" t="s">
        <v>683</v>
      </c>
      <c r="C559" s="29" t="s">
        <v>109</v>
      </c>
      <c r="D559" s="29" t="s">
        <v>29</v>
      </c>
      <c r="E559" s="29" t="s">
        <v>575</v>
      </c>
      <c r="F559" s="30"/>
      <c r="G559" s="31">
        <f>G560+G562</f>
        <v>845023</v>
      </c>
      <c r="H559" s="116"/>
      <c r="I559" s="31">
        <f aca="true" t="shared" si="11" ref="I559:I564">G559+H559</f>
        <v>845023</v>
      </c>
    </row>
    <row r="560" spans="1:9" ht="63.75">
      <c r="A560" s="10" t="s">
        <v>760</v>
      </c>
      <c r="B560" s="29" t="s">
        <v>683</v>
      </c>
      <c r="C560" s="29" t="s">
        <v>109</v>
      </c>
      <c r="D560" s="29" t="s">
        <v>29</v>
      </c>
      <c r="E560" s="29" t="s">
        <v>766</v>
      </c>
      <c r="F560" s="30"/>
      <c r="G560" s="31">
        <f>G561</f>
        <v>778515</v>
      </c>
      <c r="H560" s="116"/>
      <c r="I560" s="31">
        <f t="shared" si="11"/>
        <v>778515</v>
      </c>
    </row>
    <row r="561" spans="1:9" ht="38.25" customHeight="1">
      <c r="A561" s="10" t="s">
        <v>140</v>
      </c>
      <c r="B561" s="29" t="s">
        <v>683</v>
      </c>
      <c r="C561" s="29" t="s">
        <v>109</v>
      </c>
      <c r="D561" s="29" t="s">
        <v>29</v>
      </c>
      <c r="E561" s="29" t="s">
        <v>766</v>
      </c>
      <c r="F561" s="30" t="s">
        <v>141</v>
      </c>
      <c r="G561" s="31">
        <v>778515</v>
      </c>
      <c r="H561" s="116"/>
      <c r="I561" s="31">
        <f t="shared" si="11"/>
        <v>778515</v>
      </c>
    </row>
    <row r="562" spans="1:9" ht="113.25" customHeight="1">
      <c r="A562" s="10" t="s">
        <v>765</v>
      </c>
      <c r="B562" s="29" t="s">
        <v>683</v>
      </c>
      <c r="C562" s="29" t="s">
        <v>109</v>
      </c>
      <c r="D562" s="29" t="s">
        <v>29</v>
      </c>
      <c r="E562" s="29" t="s">
        <v>767</v>
      </c>
      <c r="F562" s="30"/>
      <c r="G562" s="31">
        <f>G563</f>
        <v>66508</v>
      </c>
      <c r="H562" s="116"/>
      <c r="I562" s="31">
        <f>G562+H562</f>
        <v>66508</v>
      </c>
    </row>
    <row r="563" spans="1:9" ht="38.25" customHeight="1">
      <c r="A563" s="10" t="s">
        <v>140</v>
      </c>
      <c r="B563" s="29" t="s">
        <v>683</v>
      </c>
      <c r="C563" s="29" t="s">
        <v>109</v>
      </c>
      <c r="D563" s="29" t="s">
        <v>29</v>
      </c>
      <c r="E563" s="29" t="s">
        <v>767</v>
      </c>
      <c r="F563" s="30" t="s">
        <v>141</v>
      </c>
      <c r="G563" s="31">
        <v>66508</v>
      </c>
      <c r="H563" s="116"/>
      <c r="I563" s="31">
        <f>G563+H563</f>
        <v>66508</v>
      </c>
    </row>
    <row r="564" spans="1:9" ht="38.25">
      <c r="A564" s="10" t="s">
        <v>459</v>
      </c>
      <c r="B564" s="29" t="s">
        <v>683</v>
      </c>
      <c r="C564" s="29" t="s">
        <v>109</v>
      </c>
      <c r="D564" s="29" t="s">
        <v>29</v>
      </c>
      <c r="E564" s="29" t="s">
        <v>460</v>
      </c>
      <c r="F564" s="30"/>
      <c r="G564" s="31">
        <f>G565</f>
        <v>11443650</v>
      </c>
      <c r="H564" s="116"/>
      <c r="I564" s="31">
        <f t="shared" si="11"/>
        <v>11443650</v>
      </c>
    </row>
    <row r="565" spans="1:9" ht="25.5">
      <c r="A565" s="10" t="s">
        <v>201</v>
      </c>
      <c r="B565" s="29" t="s">
        <v>683</v>
      </c>
      <c r="C565" s="29" t="s">
        <v>109</v>
      </c>
      <c r="D565" s="29" t="s">
        <v>29</v>
      </c>
      <c r="E565" s="29" t="s">
        <v>461</v>
      </c>
      <c r="F565" s="30"/>
      <c r="G565" s="31">
        <f>G566</f>
        <v>11443650</v>
      </c>
      <c r="H565" s="116"/>
      <c r="I565" s="31">
        <f t="shared" si="8"/>
        <v>11443650</v>
      </c>
    </row>
    <row r="566" spans="1:9" ht="25.5" customHeight="1">
      <c r="A566" s="16" t="s">
        <v>140</v>
      </c>
      <c r="B566" s="29" t="s">
        <v>683</v>
      </c>
      <c r="C566" s="29" t="s">
        <v>109</v>
      </c>
      <c r="D566" s="29" t="s">
        <v>29</v>
      </c>
      <c r="E566" s="29" t="s">
        <v>461</v>
      </c>
      <c r="F566" s="30" t="s">
        <v>141</v>
      </c>
      <c r="G566" s="31">
        <f>9783224+1660426</f>
        <v>11443650</v>
      </c>
      <c r="H566" s="116"/>
      <c r="I566" s="31">
        <f t="shared" si="8"/>
        <v>11443650</v>
      </c>
    </row>
    <row r="567" spans="1:9" ht="15">
      <c r="A567" s="16" t="s">
        <v>679</v>
      </c>
      <c r="B567" s="29" t="s">
        <v>683</v>
      </c>
      <c r="C567" s="29" t="s">
        <v>109</v>
      </c>
      <c r="D567" s="29" t="s">
        <v>109</v>
      </c>
      <c r="E567" s="29"/>
      <c r="F567" s="30"/>
      <c r="G567" s="31">
        <f>G568</f>
        <v>1881476</v>
      </c>
      <c r="H567" s="116">
        <f>H568</f>
        <v>0</v>
      </c>
      <c r="I567" s="31">
        <f t="shared" si="8"/>
        <v>1881476</v>
      </c>
    </row>
    <row r="568" spans="1:9" ht="67.5" customHeight="1">
      <c r="A568" s="10" t="s">
        <v>463</v>
      </c>
      <c r="B568" s="29" t="s">
        <v>683</v>
      </c>
      <c r="C568" s="29" t="s">
        <v>109</v>
      </c>
      <c r="D568" s="29" t="s">
        <v>109</v>
      </c>
      <c r="E568" s="50" t="s">
        <v>464</v>
      </c>
      <c r="F568" s="30"/>
      <c r="G568" s="31">
        <f>G569</f>
        <v>1881476</v>
      </c>
      <c r="H568" s="116">
        <f>H569</f>
        <v>0</v>
      </c>
      <c r="I568" s="31">
        <f t="shared" si="8"/>
        <v>1881476</v>
      </c>
    </row>
    <row r="569" spans="1:9" ht="86.25" customHeight="1">
      <c r="A569" s="63" t="s">
        <v>471</v>
      </c>
      <c r="B569" s="29" t="s">
        <v>683</v>
      </c>
      <c r="C569" s="29" t="s">
        <v>109</v>
      </c>
      <c r="D569" s="29" t="s">
        <v>109</v>
      </c>
      <c r="E569" s="50" t="s">
        <v>472</v>
      </c>
      <c r="F569" s="56"/>
      <c r="G569" s="31">
        <f>G570+G580+G577</f>
        <v>1881476</v>
      </c>
      <c r="H569" s="116">
        <f>H571+H585</f>
        <v>0</v>
      </c>
      <c r="I569" s="31">
        <f t="shared" si="8"/>
        <v>1881476</v>
      </c>
    </row>
    <row r="570" spans="1:9" ht="31.5" customHeight="1">
      <c r="A570" s="10" t="s">
        <v>473</v>
      </c>
      <c r="B570" s="29" t="s">
        <v>683</v>
      </c>
      <c r="C570" s="29" t="s">
        <v>109</v>
      </c>
      <c r="D570" s="29" t="s">
        <v>109</v>
      </c>
      <c r="E570" s="50" t="s">
        <v>474</v>
      </c>
      <c r="F570" s="56"/>
      <c r="G570" s="31">
        <f>G571+G574</f>
        <v>1152000</v>
      </c>
      <c r="H570" s="116"/>
      <c r="I570" s="31">
        <f t="shared" si="8"/>
        <v>1152000</v>
      </c>
    </row>
    <row r="571" spans="1:9" ht="15">
      <c r="A571" s="16" t="s">
        <v>475</v>
      </c>
      <c r="B571" s="29" t="s">
        <v>683</v>
      </c>
      <c r="C571" s="29" t="s">
        <v>109</v>
      </c>
      <c r="D571" s="29" t="s">
        <v>109</v>
      </c>
      <c r="E571" s="50" t="s">
        <v>476</v>
      </c>
      <c r="F571" s="30"/>
      <c r="G571" s="31">
        <f>G572+G573</f>
        <v>458835</v>
      </c>
      <c r="H571" s="116"/>
      <c r="I571" s="31">
        <f t="shared" si="8"/>
        <v>458835</v>
      </c>
    </row>
    <row r="572" spans="1:9" ht="24.75" customHeight="1">
      <c r="A572" s="35" t="s">
        <v>38</v>
      </c>
      <c r="B572" s="29" t="s">
        <v>683</v>
      </c>
      <c r="C572" s="29" t="s">
        <v>109</v>
      </c>
      <c r="D572" s="29" t="s">
        <v>109</v>
      </c>
      <c r="E572" s="50" t="s">
        <v>476</v>
      </c>
      <c r="F572" s="56" t="s">
        <v>39</v>
      </c>
      <c r="G572" s="31">
        <f>458835-458835</f>
        <v>0</v>
      </c>
      <c r="H572" s="116"/>
      <c r="I572" s="31">
        <f t="shared" si="8"/>
        <v>0</v>
      </c>
    </row>
    <row r="573" spans="1:9" ht="15">
      <c r="A573" s="88" t="s">
        <v>211</v>
      </c>
      <c r="B573" s="29" t="s">
        <v>683</v>
      </c>
      <c r="C573" s="29" t="s">
        <v>109</v>
      </c>
      <c r="D573" s="29" t="s">
        <v>109</v>
      </c>
      <c r="E573" s="50" t="s">
        <v>476</v>
      </c>
      <c r="F573" s="56" t="s">
        <v>212</v>
      </c>
      <c r="G573" s="31">
        <v>458835</v>
      </c>
      <c r="H573" s="116"/>
      <c r="I573" s="31">
        <f t="shared" si="8"/>
        <v>458835</v>
      </c>
    </row>
    <row r="574" spans="1:9" ht="31.5" customHeight="1">
      <c r="A574" s="118" t="s">
        <v>477</v>
      </c>
      <c r="B574" s="29" t="s">
        <v>683</v>
      </c>
      <c r="C574" s="29" t="s">
        <v>109</v>
      </c>
      <c r="D574" s="29" t="s">
        <v>109</v>
      </c>
      <c r="E574" s="50" t="s">
        <v>478</v>
      </c>
      <c r="F574" s="30"/>
      <c r="G574" s="31">
        <f>G575+G576</f>
        <v>693165</v>
      </c>
      <c r="H574" s="116"/>
      <c r="I574" s="31">
        <f t="shared" si="8"/>
        <v>693165</v>
      </c>
    </row>
    <row r="575" spans="1:9" ht="30" customHeight="1">
      <c r="A575" s="35" t="s">
        <v>38</v>
      </c>
      <c r="B575" s="29" t="s">
        <v>683</v>
      </c>
      <c r="C575" s="29" t="s">
        <v>109</v>
      </c>
      <c r="D575" s="29" t="s">
        <v>109</v>
      </c>
      <c r="E575" s="50" t="s">
        <v>478</v>
      </c>
      <c r="F575" s="56" t="s">
        <v>39</v>
      </c>
      <c r="G575" s="31">
        <f>693165-693165</f>
        <v>0</v>
      </c>
      <c r="H575" s="116"/>
      <c r="I575" s="31">
        <f t="shared" si="8"/>
        <v>0</v>
      </c>
    </row>
    <row r="576" spans="1:9" ht="15">
      <c r="A576" s="88" t="s">
        <v>211</v>
      </c>
      <c r="B576" s="29" t="s">
        <v>683</v>
      </c>
      <c r="C576" s="29" t="s">
        <v>109</v>
      </c>
      <c r="D576" s="29" t="s">
        <v>109</v>
      </c>
      <c r="E576" s="50" t="s">
        <v>478</v>
      </c>
      <c r="F576" s="56" t="s">
        <v>212</v>
      </c>
      <c r="G576" s="31">
        <f>693165</f>
        <v>693165</v>
      </c>
      <c r="H576" s="116"/>
      <c r="I576" s="31">
        <f t="shared" si="8"/>
        <v>693165</v>
      </c>
    </row>
    <row r="577" spans="1:9" ht="25.5" hidden="1">
      <c r="A577" s="10" t="s">
        <v>481</v>
      </c>
      <c r="B577" s="29" t="s">
        <v>683</v>
      </c>
      <c r="C577" s="29" t="s">
        <v>109</v>
      </c>
      <c r="D577" s="29" t="s">
        <v>109</v>
      </c>
      <c r="E577" s="50" t="s">
        <v>482</v>
      </c>
      <c r="F577" s="56"/>
      <c r="G577" s="31">
        <f>G578</f>
        <v>0</v>
      </c>
      <c r="H577" s="116"/>
      <c r="I577" s="31">
        <f t="shared" si="8"/>
        <v>0</v>
      </c>
    </row>
    <row r="578" spans="1:9" ht="15" hidden="1">
      <c r="A578" s="35" t="s">
        <v>479</v>
      </c>
      <c r="B578" s="29" t="s">
        <v>683</v>
      </c>
      <c r="C578" s="29" t="s">
        <v>109</v>
      </c>
      <c r="D578" s="29" t="s">
        <v>109</v>
      </c>
      <c r="E578" s="50" t="s">
        <v>483</v>
      </c>
      <c r="F578" s="56"/>
      <c r="G578" s="31">
        <f>G579</f>
        <v>0</v>
      </c>
      <c r="H578" s="116"/>
      <c r="I578" s="31">
        <f t="shared" si="8"/>
        <v>0</v>
      </c>
    </row>
    <row r="579" spans="1:9" ht="26.25" hidden="1">
      <c r="A579" s="35" t="s">
        <v>38</v>
      </c>
      <c r="B579" s="29" t="s">
        <v>683</v>
      </c>
      <c r="C579" s="29" t="s">
        <v>109</v>
      </c>
      <c r="D579" s="29" t="s">
        <v>109</v>
      </c>
      <c r="E579" s="50" t="s">
        <v>483</v>
      </c>
      <c r="F579" s="56" t="s">
        <v>39</v>
      </c>
      <c r="G579" s="31"/>
      <c r="H579" s="116"/>
      <c r="I579" s="31">
        <f t="shared" si="8"/>
        <v>0</v>
      </c>
    </row>
    <row r="580" spans="1:9" ht="55.5" customHeight="1">
      <c r="A580" s="10" t="s">
        <v>484</v>
      </c>
      <c r="B580" s="29" t="s">
        <v>683</v>
      </c>
      <c r="C580" s="29" t="s">
        <v>109</v>
      </c>
      <c r="D580" s="29" t="s">
        <v>109</v>
      </c>
      <c r="E580" s="50" t="s">
        <v>485</v>
      </c>
      <c r="F580" s="56"/>
      <c r="G580" s="31">
        <f>G585+G583+G581+G590</f>
        <v>729476</v>
      </c>
      <c r="H580" s="31">
        <f>H585+H583+H581+H590</f>
        <v>0</v>
      </c>
      <c r="I580" s="31">
        <f t="shared" si="8"/>
        <v>729476</v>
      </c>
    </row>
    <row r="581" spans="1:9" ht="30" customHeight="1" hidden="1">
      <c r="A581" s="10" t="s">
        <v>486</v>
      </c>
      <c r="B581" s="29" t="s">
        <v>683</v>
      </c>
      <c r="C581" s="29" t="s">
        <v>109</v>
      </c>
      <c r="D581" s="29" t="s">
        <v>109</v>
      </c>
      <c r="E581" s="50" t="s">
        <v>487</v>
      </c>
      <c r="F581" s="56"/>
      <c r="G581" s="31">
        <f>G582</f>
        <v>0</v>
      </c>
      <c r="H581" s="116"/>
      <c r="I581" s="31">
        <f t="shared" si="8"/>
        <v>0</v>
      </c>
    </row>
    <row r="582" spans="1:9" ht="35.25" customHeight="1" hidden="1">
      <c r="A582" s="35" t="s">
        <v>38</v>
      </c>
      <c r="B582" s="29" t="s">
        <v>683</v>
      </c>
      <c r="C582" s="29" t="s">
        <v>109</v>
      </c>
      <c r="D582" s="29" t="s">
        <v>109</v>
      </c>
      <c r="E582" s="50" t="s">
        <v>487</v>
      </c>
      <c r="F582" s="56" t="s">
        <v>39</v>
      </c>
      <c r="G582" s="31"/>
      <c r="H582" s="116"/>
      <c r="I582" s="31">
        <f t="shared" si="8"/>
        <v>0</v>
      </c>
    </row>
    <row r="583" spans="1:9" ht="33" customHeight="1" hidden="1">
      <c r="A583" s="10" t="s">
        <v>488</v>
      </c>
      <c r="B583" s="29" t="s">
        <v>683</v>
      </c>
      <c r="C583" s="29" t="s">
        <v>109</v>
      </c>
      <c r="D583" s="29" t="s">
        <v>109</v>
      </c>
      <c r="E583" s="50" t="s">
        <v>489</v>
      </c>
      <c r="F583" s="56"/>
      <c r="G583" s="31">
        <f>G584</f>
        <v>0</v>
      </c>
      <c r="H583" s="116"/>
      <c r="I583" s="31">
        <f aca="true" t="shared" si="12" ref="I583:I679">G583+H583</f>
        <v>0</v>
      </c>
    </row>
    <row r="584" spans="1:9" ht="31.5" customHeight="1" hidden="1">
      <c r="A584" s="35" t="s">
        <v>38</v>
      </c>
      <c r="B584" s="29" t="s">
        <v>683</v>
      </c>
      <c r="C584" s="29" t="s">
        <v>109</v>
      </c>
      <c r="D584" s="29" t="s">
        <v>109</v>
      </c>
      <c r="E584" s="50" t="s">
        <v>489</v>
      </c>
      <c r="F584" s="56" t="s">
        <v>39</v>
      </c>
      <c r="G584" s="31"/>
      <c r="H584" s="116"/>
      <c r="I584" s="31">
        <f t="shared" si="12"/>
        <v>0</v>
      </c>
    </row>
    <row r="585" spans="1:9" ht="28.5" customHeight="1">
      <c r="A585" s="8" t="s">
        <v>201</v>
      </c>
      <c r="B585" s="29" t="s">
        <v>683</v>
      </c>
      <c r="C585" s="29" t="s">
        <v>109</v>
      </c>
      <c r="D585" s="29" t="s">
        <v>109</v>
      </c>
      <c r="E585" s="50" t="s">
        <v>490</v>
      </c>
      <c r="F585" s="56"/>
      <c r="G585" s="31">
        <f>G586+G587+G589+G588</f>
        <v>729476</v>
      </c>
      <c r="H585" s="116">
        <f>H586+H587+H589</f>
        <v>0</v>
      </c>
      <c r="I585" s="31">
        <f t="shared" si="12"/>
        <v>729476</v>
      </c>
    </row>
    <row r="586" spans="1:9" ht="47.25" customHeight="1" hidden="1">
      <c r="A586" s="16" t="s">
        <v>491</v>
      </c>
      <c r="B586" s="29" t="s">
        <v>683</v>
      </c>
      <c r="C586" s="29" t="s">
        <v>109</v>
      </c>
      <c r="D586" s="29" t="s">
        <v>109</v>
      </c>
      <c r="E586" s="50" t="s">
        <v>490</v>
      </c>
      <c r="F586" s="30" t="s">
        <v>27</v>
      </c>
      <c r="G586" s="31"/>
      <c r="H586" s="116"/>
      <c r="I586" s="31">
        <f t="shared" si="12"/>
        <v>0</v>
      </c>
    </row>
    <row r="587" spans="1:9" ht="29.25" customHeight="1" hidden="1">
      <c r="A587" s="35" t="s">
        <v>38</v>
      </c>
      <c r="B587" s="29" t="s">
        <v>683</v>
      </c>
      <c r="C587" s="29" t="s">
        <v>109</v>
      </c>
      <c r="D587" s="29" t="s">
        <v>109</v>
      </c>
      <c r="E587" s="50" t="s">
        <v>490</v>
      </c>
      <c r="F587" s="56" t="s">
        <v>39</v>
      </c>
      <c r="G587" s="31"/>
      <c r="H587" s="116">
        <f>596673+11217.06-11217.06-596673</f>
        <v>0</v>
      </c>
      <c r="I587" s="31">
        <f t="shared" si="12"/>
        <v>0</v>
      </c>
    </row>
    <row r="588" spans="1:9" ht="26.25">
      <c r="A588" s="16" t="s">
        <v>140</v>
      </c>
      <c r="B588" s="29" t="s">
        <v>683</v>
      </c>
      <c r="C588" s="29" t="s">
        <v>109</v>
      </c>
      <c r="D588" s="29" t="s">
        <v>109</v>
      </c>
      <c r="E588" s="50" t="s">
        <v>490</v>
      </c>
      <c r="F588" s="56" t="s">
        <v>141</v>
      </c>
      <c r="G588" s="31">
        <f>925276+6000-201800</f>
        <v>729476</v>
      </c>
      <c r="H588" s="116"/>
      <c r="I588" s="31">
        <f>G588+H588</f>
        <v>729476</v>
      </c>
    </row>
    <row r="589" spans="1:9" ht="15" hidden="1">
      <c r="A589" s="10" t="s">
        <v>84</v>
      </c>
      <c r="B589" s="29" t="s">
        <v>683</v>
      </c>
      <c r="C589" s="29" t="s">
        <v>109</v>
      </c>
      <c r="D589" s="29" t="s">
        <v>109</v>
      </c>
      <c r="E589" s="50" t="s">
        <v>490</v>
      </c>
      <c r="F589" s="56" t="s">
        <v>85</v>
      </c>
      <c r="G589" s="31">
        <f>113+51000-113-51000</f>
        <v>0</v>
      </c>
      <c r="H589" s="116"/>
      <c r="I589" s="31">
        <f t="shared" si="12"/>
        <v>0</v>
      </c>
    </row>
    <row r="590" spans="1:9" ht="38.25" hidden="1">
      <c r="A590" s="84" t="s">
        <v>236</v>
      </c>
      <c r="B590" s="29" t="s">
        <v>683</v>
      </c>
      <c r="C590" s="29" t="s">
        <v>109</v>
      </c>
      <c r="D590" s="29" t="s">
        <v>109</v>
      </c>
      <c r="E590" s="50" t="s">
        <v>492</v>
      </c>
      <c r="F590" s="56"/>
      <c r="G590" s="31">
        <f>G591+G592</f>
        <v>0</v>
      </c>
      <c r="H590" s="116"/>
      <c r="I590" s="31">
        <f t="shared" si="12"/>
        <v>0</v>
      </c>
    </row>
    <row r="591" spans="1:9" ht="26.25" hidden="1">
      <c r="A591" s="35" t="s">
        <v>38</v>
      </c>
      <c r="B591" s="29" t="s">
        <v>683</v>
      </c>
      <c r="C591" s="29" t="s">
        <v>109</v>
      </c>
      <c r="D591" s="29" t="s">
        <v>109</v>
      </c>
      <c r="E591" s="50" t="s">
        <v>492</v>
      </c>
      <c r="F591" s="56" t="s">
        <v>39</v>
      </c>
      <c r="G591" s="31">
        <f>137740-137740</f>
        <v>0</v>
      </c>
      <c r="H591" s="116"/>
      <c r="I591" s="31">
        <f t="shared" si="12"/>
        <v>0</v>
      </c>
    </row>
    <row r="592" spans="1:9" ht="26.25" hidden="1">
      <c r="A592" s="16" t="s">
        <v>140</v>
      </c>
      <c r="B592" s="29" t="s">
        <v>683</v>
      </c>
      <c r="C592" s="29" t="s">
        <v>109</v>
      </c>
      <c r="D592" s="29" t="s">
        <v>109</v>
      </c>
      <c r="E592" s="50" t="s">
        <v>492</v>
      </c>
      <c r="F592" s="56" t="s">
        <v>141</v>
      </c>
      <c r="G592" s="31"/>
      <c r="H592" s="116"/>
      <c r="I592" s="31">
        <f>G592+H592</f>
        <v>0</v>
      </c>
    </row>
    <row r="593" spans="1:9" ht="15">
      <c r="A593" s="16" t="s">
        <v>493</v>
      </c>
      <c r="B593" s="29" t="s">
        <v>683</v>
      </c>
      <c r="C593" s="29" t="s">
        <v>109</v>
      </c>
      <c r="D593" s="29" t="s">
        <v>248</v>
      </c>
      <c r="E593" s="29"/>
      <c r="F593" s="30"/>
      <c r="G593" s="31">
        <f>G594</f>
        <v>10031225</v>
      </c>
      <c r="H593" s="31">
        <f>H594+H608+H601</f>
        <v>49800</v>
      </c>
      <c r="I593" s="31">
        <f t="shared" si="12"/>
        <v>10081025</v>
      </c>
    </row>
    <row r="594" spans="1:9" ht="36" customHeight="1">
      <c r="A594" s="16" t="s">
        <v>370</v>
      </c>
      <c r="B594" s="29" t="s">
        <v>683</v>
      </c>
      <c r="C594" s="29" t="s">
        <v>109</v>
      </c>
      <c r="D594" s="29" t="s">
        <v>248</v>
      </c>
      <c r="E594" s="29" t="s">
        <v>371</v>
      </c>
      <c r="F594" s="30"/>
      <c r="G594" s="31">
        <f>G595</f>
        <v>10031225</v>
      </c>
      <c r="H594" s="31">
        <f>H595</f>
        <v>49800</v>
      </c>
      <c r="I594" s="31">
        <f t="shared" si="12"/>
        <v>10081025</v>
      </c>
    </row>
    <row r="595" spans="1:9" ht="66.75" customHeight="1">
      <c r="A595" s="121" t="s">
        <v>494</v>
      </c>
      <c r="B595" s="29" t="s">
        <v>683</v>
      </c>
      <c r="C595" s="29" t="s">
        <v>109</v>
      </c>
      <c r="D595" s="29" t="s">
        <v>248</v>
      </c>
      <c r="E595" s="29" t="s">
        <v>495</v>
      </c>
      <c r="F595" s="30"/>
      <c r="G595" s="31">
        <f>G596+G603</f>
        <v>10031225</v>
      </c>
      <c r="H595" s="31">
        <f>H596+H603</f>
        <v>49800</v>
      </c>
      <c r="I595" s="31">
        <f t="shared" si="12"/>
        <v>10081025</v>
      </c>
    </row>
    <row r="596" spans="1:9" ht="32.25" customHeight="1">
      <c r="A596" s="10" t="s">
        <v>496</v>
      </c>
      <c r="B596" s="29" t="s">
        <v>683</v>
      </c>
      <c r="C596" s="29" t="s">
        <v>109</v>
      </c>
      <c r="D596" s="29" t="s">
        <v>248</v>
      </c>
      <c r="E596" s="29" t="s">
        <v>497</v>
      </c>
      <c r="F596" s="30"/>
      <c r="G596" s="31">
        <f>G597+G601</f>
        <v>9741350</v>
      </c>
      <c r="H596" s="31">
        <f>H597</f>
        <v>49800</v>
      </c>
      <c r="I596" s="31">
        <f t="shared" si="12"/>
        <v>9791150</v>
      </c>
    </row>
    <row r="597" spans="1:9" ht="28.5" customHeight="1">
      <c r="A597" s="10" t="s">
        <v>201</v>
      </c>
      <c r="B597" s="29" t="s">
        <v>683</v>
      </c>
      <c r="C597" s="29" t="s">
        <v>109</v>
      </c>
      <c r="D597" s="29" t="s">
        <v>248</v>
      </c>
      <c r="E597" s="29" t="s">
        <v>498</v>
      </c>
      <c r="F597" s="30"/>
      <c r="G597" s="31">
        <f>G598+G599+G600</f>
        <v>9741350</v>
      </c>
      <c r="H597" s="31">
        <f>H598+H599+H600</f>
        <v>49800</v>
      </c>
      <c r="I597" s="31">
        <f t="shared" si="12"/>
        <v>9791150</v>
      </c>
    </row>
    <row r="598" spans="1:9" ht="75" customHeight="1">
      <c r="A598" s="35" t="s">
        <v>26</v>
      </c>
      <c r="B598" s="29" t="s">
        <v>683</v>
      </c>
      <c r="C598" s="29" t="s">
        <v>109</v>
      </c>
      <c r="D598" s="29" t="s">
        <v>248</v>
      </c>
      <c r="E598" s="29" t="s">
        <v>498</v>
      </c>
      <c r="F598" s="30" t="s">
        <v>27</v>
      </c>
      <c r="G598" s="31">
        <v>8473000</v>
      </c>
      <c r="H598" s="116"/>
      <c r="I598" s="31">
        <f t="shared" si="12"/>
        <v>8473000</v>
      </c>
    </row>
    <row r="599" spans="1:9" ht="26.25">
      <c r="A599" s="35" t="s">
        <v>38</v>
      </c>
      <c r="B599" s="29" t="s">
        <v>683</v>
      </c>
      <c r="C599" s="29" t="s">
        <v>109</v>
      </c>
      <c r="D599" s="29" t="s">
        <v>248</v>
      </c>
      <c r="E599" s="29" t="s">
        <v>498</v>
      </c>
      <c r="F599" s="30" t="s">
        <v>39</v>
      </c>
      <c r="G599" s="31">
        <f>1155422+88200</f>
        <v>1243622</v>
      </c>
      <c r="H599" s="116">
        <f>49800</f>
        <v>49800</v>
      </c>
      <c r="I599" s="31">
        <f t="shared" si="12"/>
        <v>1293422</v>
      </c>
    </row>
    <row r="600" spans="1:9" ht="14.25" customHeight="1">
      <c r="A600" s="10" t="s">
        <v>84</v>
      </c>
      <c r="B600" s="29" t="s">
        <v>683</v>
      </c>
      <c r="C600" s="29" t="s">
        <v>109</v>
      </c>
      <c r="D600" s="29" t="s">
        <v>248</v>
      </c>
      <c r="E600" s="29" t="s">
        <v>498</v>
      </c>
      <c r="F600" s="30" t="s">
        <v>85</v>
      </c>
      <c r="G600" s="31">
        <v>24728</v>
      </c>
      <c r="H600" s="116"/>
      <c r="I600" s="31">
        <f t="shared" si="12"/>
        <v>24728</v>
      </c>
    </row>
    <row r="601" spans="1:9" ht="43.5" customHeight="1" hidden="1">
      <c r="A601" s="10" t="s">
        <v>236</v>
      </c>
      <c r="B601" s="29" t="s">
        <v>683</v>
      </c>
      <c r="C601" s="29" t="s">
        <v>109</v>
      </c>
      <c r="D601" s="29" t="s">
        <v>248</v>
      </c>
      <c r="E601" s="29" t="s">
        <v>657</v>
      </c>
      <c r="F601" s="30"/>
      <c r="G601" s="31">
        <f>G602</f>
        <v>0</v>
      </c>
      <c r="H601" s="116"/>
      <c r="I601" s="31">
        <f t="shared" si="12"/>
        <v>0</v>
      </c>
    </row>
    <row r="602" spans="1:9" ht="32.25" customHeight="1" hidden="1">
      <c r="A602" s="35" t="s">
        <v>38</v>
      </c>
      <c r="B602" s="29" t="s">
        <v>683</v>
      </c>
      <c r="C602" s="29" t="s">
        <v>109</v>
      </c>
      <c r="D602" s="29" t="s">
        <v>248</v>
      </c>
      <c r="E602" s="29" t="s">
        <v>657</v>
      </c>
      <c r="F602" s="30" t="s">
        <v>39</v>
      </c>
      <c r="G602" s="31"/>
      <c r="H602" s="116"/>
      <c r="I602" s="31">
        <f>G602+H602</f>
        <v>0</v>
      </c>
    </row>
    <row r="603" spans="1:9" ht="29.25" customHeight="1">
      <c r="A603" s="10" t="s">
        <v>499</v>
      </c>
      <c r="B603" s="29" t="s">
        <v>683</v>
      </c>
      <c r="C603" s="29" t="s">
        <v>109</v>
      </c>
      <c r="D603" s="29" t="s">
        <v>248</v>
      </c>
      <c r="E603" s="29" t="s">
        <v>500</v>
      </c>
      <c r="F603" s="30"/>
      <c r="G603" s="31">
        <f>G604+G606</f>
        <v>289875</v>
      </c>
      <c r="H603" s="116"/>
      <c r="I603" s="31">
        <f t="shared" si="12"/>
        <v>289875</v>
      </c>
    </row>
    <row r="604" spans="1:9" ht="53.25" customHeight="1">
      <c r="A604" s="8" t="s">
        <v>501</v>
      </c>
      <c r="B604" s="29" t="s">
        <v>683</v>
      </c>
      <c r="C604" s="29" t="s">
        <v>109</v>
      </c>
      <c r="D604" s="29" t="s">
        <v>248</v>
      </c>
      <c r="E604" s="29" t="s">
        <v>502</v>
      </c>
      <c r="F604" s="30"/>
      <c r="G604" s="31">
        <f>G605</f>
        <v>289875</v>
      </c>
      <c r="H604" s="116"/>
      <c r="I604" s="31">
        <f t="shared" si="12"/>
        <v>289875</v>
      </c>
    </row>
    <row r="605" spans="1:9" ht="71.25" customHeight="1">
      <c r="A605" s="35" t="s">
        <v>26</v>
      </c>
      <c r="B605" s="29" t="s">
        <v>683</v>
      </c>
      <c r="C605" s="29" t="s">
        <v>109</v>
      </c>
      <c r="D605" s="29" t="s">
        <v>248</v>
      </c>
      <c r="E605" s="29" t="s">
        <v>502</v>
      </c>
      <c r="F605" s="30" t="s">
        <v>27</v>
      </c>
      <c r="G605" s="31">
        <v>289875</v>
      </c>
      <c r="H605" s="116"/>
      <c r="I605" s="31">
        <f t="shared" si="12"/>
        <v>289875</v>
      </c>
    </row>
    <row r="606" spans="1:9" ht="15" hidden="1">
      <c r="A606" s="35" t="s">
        <v>421</v>
      </c>
      <c r="B606" s="29" t="s">
        <v>683</v>
      </c>
      <c r="C606" s="29" t="s">
        <v>109</v>
      </c>
      <c r="D606" s="29" t="s">
        <v>248</v>
      </c>
      <c r="E606" s="29" t="s">
        <v>503</v>
      </c>
      <c r="F606" s="30"/>
      <c r="G606" s="31">
        <f>G607</f>
        <v>0</v>
      </c>
      <c r="H606" s="116"/>
      <c r="I606" s="31">
        <f t="shared" si="12"/>
        <v>0</v>
      </c>
    </row>
    <row r="607" spans="1:9" ht="26.25" hidden="1">
      <c r="A607" s="35" t="s">
        <v>38</v>
      </c>
      <c r="B607" s="29" t="s">
        <v>683</v>
      </c>
      <c r="C607" s="29" t="s">
        <v>109</v>
      </c>
      <c r="D607" s="29" t="s">
        <v>248</v>
      </c>
      <c r="E607" s="29" t="s">
        <v>503</v>
      </c>
      <c r="F607" s="30" t="s">
        <v>39</v>
      </c>
      <c r="G607" s="31"/>
      <c r="H607" s="116"/>
      <c r="I607" s="31">
        <f t="shared" si="12"/>
        <v>0</v>
      </c>
    </row>
    <row r="608" spans="1:9" ht="25.5" hidden="1">
      <c r="A608" s="10" t="s">
        <v>504</v>
      </c>
      <c r="B608" s="29" t="s">
        <v>683</v>
      </c>
      <c r="C608" s="29" t="s">
        <v>109</v>
      </c>
      <c r="D608" s="29" t="s">
        <v>248</v>
      </c>
      <c r="E608" s="36" t="s">
        <v>505</v>
      </c>
      <c r="F608" s="30"/>
      <c r="G608" s="31">
        <f>G609</f>
        <v>0</v>
      </c>
      <c r="H608" s="116"/>
      <c r="I608" s="31">
        <f t="shared" si="12"/>
        <v>0</v>
      </c>
    </row>
    <row r="609" spans="1:9" ht="26.25" customHeight="1" hidden="1">
      <c r="A609" s="10" t="s">
        <v>506</v>
      </c>
      <c r="B609" s="29" t="s">
        <v>683</v>
      </c>
      <c r="C609" s="29" t="s">
        <v>109</v>
      </c>
      <c r="D609" s="29" t="s">
        <v>248</v>
      </c>
      <c r="E609" s="36" t="s">
        <v>507</v>
      </c>
      <c r="F609" s="30"/>
      <c r="G609" s="31">
        <f>G610</f>
        <v>0</v>
      </c>
      <c r="H609" s="116"/>
      <c r="I609" s="31">
        <f t="shared" si="12"/>
        <v>0</v>
      </c>
    </row>
    <row r="610" spans="1:9" ht="17.25" customHeight="1" hidden="1">
      <c r="A610" s="10" t="s">
        <v>508</v>
      </c>
      <c r="B610" s="29" t="s">
        <v>683</v>
      </c>
      <c r="C610" s="29" t="s">
        <v>109</v>
      </c>
      <c r="D610" s="29" t="s">
        <v>248</v>
      </c>
      <c r="E610" s="85" t="s">
        <v>509</v>
      </c>
      <c r="F610" s="30"/>
      <c r="G610" s="31">
        <f>G611</f>
        <v>0</v>
      </c>
      <c r="H610" s="116"/>
      <c r="I610" s="31">
        <f t="shared" si="12"/>
        <v>0</v>
      </c>
    </row>
    <row r="611" spans="1:9" ht="26.25" hidden="1">
      <c r="A611" s="35" t="s">
        <v>38</v>
      </c>
      <c r="B611" s="29" t="s">
        <v>683</v>
      </c>
      <c r="C611" s="29" t="s">
        <v>109</v>
      </c>
      <c r="D611" s="29" t="s">
        <v>248</v>
      </c>
      <c r="E611" s="36" t="s">
        <v>509</v>
      </c>
      <c r="F611" s="30" t="s">
        <v>39</v>
      </c>
      <c r="G611" s="31"/>
      <c r="H611" s="116"/>
      <c r="I611" s="31">
        <f t="shared" si="12"/>
        <v>0</v>
      </c>
    </row>
    <row r="612" spans="1:9" ht="17.25" customHeight="1">
      <c r="A612" s="16" t="s">
        <v>544</v>
      </c>
      <c r="B612" s="29" t="s">
        <v>683</v>
      </c>
      <c r="C612" s="29">
        <v>10</v>
      </c>
      <c r="D612" s="29"/>
      <c r="E612" s="29"/>
      <c r="F612" s="30"/>
      <c r="G612" s="31">
        <f>G613+G625</f>
        <v>23921872</v>
      </c>
      <c r="H612" s="116"/>
      <c r="I612" s="31">
        <f t="shared" si="12"/>
        <v>23921872</v>
      </c>
    </row>
    <row r="613" spans="1:9" ht="16.5" customHeight="1">
      <c r="A613" s="16" t="s">
        <v>553</v>
      </c>
      <c r="B613" s="29" t="s">
        <v>683</v>
      </c>
      <c r="C613" s="29">
        <v>10</v>
      </c>
      <c r="D613" s="29" t="s">
        <v>29</v>
      </c>
      <c r="E613" s="29"/>
      <c r="F613" s="30"/>
      <c r="G613" s="31">
        <f>G614</f>
        <v>4924900</v>
      </c>
      <c r="H613" s="116"/>
      <c r="I613" s="31">
        <f t="shared" si="12"/>
        <v>4924900</v>
      </c>
    </row>
    <row r="614" spans="1:9" ht="27.75" customHeight="1">
      <c r="A614" s="16" t="s">
        <v>370</v>
      </c>
      <c r="B614" s="29" t="s">
        <v>683</v>
      </c>
      <c r="C614" s="29">
        <v>10</v>
      </c>
      <c r="D614" s="29" t="s">
        <v>29</v>
      </c>
      <c r="E614" s="29" t="s">
        <v>371</v>
      </c>
      <c r="F614" s="30"/>
      <c r="G614" s="31">
        <f>G615+G620</f>
        <v>4924900</v>
      </c>
      <c r="H614" s="116"/>
      <c r="I614" s="31">
        <f t="shared" si="12"/>
        <v>4924900</v>
      </c>
    </row>
    <row r="615" spans="1:9" ht="61.5" customHeight="1">
      <c r="A615" s="81" t="s">
        <v>372</v>
      </c>
      <c r="B615" s="29" t="s">
        <v>683</v>
      </c>
      <c r="C615" s="29">
        <v>10</v>
      </c>
      <c r="D615" s="29" t="s">
        <v>29</v>
      </c>
      <c r="E615" s="29" t="s">
        <v>373</v>
      </c>
      <c r="F615" s="30"/>
      <c r="G615" s="31">
        <f>G616</f>
        <v>4527890</v>
      </c>
      <c r="H615" s="116"/>
      <c r="I615" s="31">
        <f t="shared" si="12"/>
        <v>4527890</v>
      </c>
    </row>
    <row r="616" spans="1:9" ht="40.5" customHeight="1">
      <c r="A616" s="10" t="s">
        <v>570</v>
      </c>
      <c r="B616" s="29" t="s">
        <v>683</v>
      </c>
      <c r="C616" s="29">
        <v>10</v>
      </c>
      <c r="D616" s="29" t="s">
        <v>29</v>
      </c>
      <c r="E616" s="29" t="s">
        <v>571</v>
      </c>
      <c r="F616" s="30"/>
      <c r="G616" s="31">
        <f>G617</f>
        <v>4527890</v>
      </c>
      <c r="H616" s="116"/>
      <c r="I616" s="31">
        <f t="shared" si="12"/>
        <v>4527890</v>
      </c>
    </row>
    <row r="617" spans="1:9" ht="94.5" customHeight="1">
      <c r="A617" s="118" t="s">
        <v>572</v>
      </c>
      <c r="B617" s="29" t="s">
        <v>683</v>
      </c>
      <c r="C617" s="29">
        <v>10</v>
      </c>
      <c r="D617" s="29" t="s">
        <v>29</v>
      </c>
      <c r="E617" s="29" t="s">
        <v>573</v>
      </c>
      <c r="F617" s="30"/>
      <c r="G617" s="31">
        <f>G618+G619</f>
        <v>4527890</v>
      </c>
      <c r="H617" s="116"/>
      <c r="I617" s="31">
        <f t="shared" si="12"/>
        <v>4527890</v>
      </c>
    </row>
    <row r="618" spans="1:9" ht="26.25" hidden="1">
      <c r="A618" s="35" t="s">
        <v>38</v>
      </c>
      <c r="B618" s="29" t="s">
        <v>683</v>
      </c>
      <c r="C618" s="29">
        <v>10</v>
      </c>
      <c r="D618" s="29" t="s">
        <v>29</v>
      </c>
      <c r="E618" s="29" t="s">
        <v>573</v>
      </c>
      <c r="F618" s="30" t="s">
        <v>39</v>
      </c>
      <c r="G618" s="31"/>
      <c r="H618" s="116"/>
      <c r="I618" s="31">
        <f>G618+H618</f>
        <v>0</v>
      </c>
    </row>
    <row r="619" spans="1:9" ht="19.5" customHeight="1">
      <c r="A619" s="88" t="s">
        <v>211</v>
      </c>
      <c r="B619" s="29" t="s">
        <v>683</v>
      </c>
      <c r="C619" s="29">
        <v>10</v>
      </c>
      <c r="D619" s="29" t="s">
        <v>29</v>
      </c>
      <c r="E619" s="29" t="s">
        <v>573</v>
      </c>
      <c r="F619" s="30" t="s">
        <v>212</v>
      </c>
      <c r="G619" s="31">
        <f>22448624-12546584-5374150</f>
        <v>4527890</v>
      </c>
      <c r="H619" s="116"/>
      <c r="I619" s="31">
        <f t="shared" si="12"/>
        <v>4527890</v>
      </c>
    </row>
    <row r="620" spans="1:9" ht="76.5" customHeight="1">
      <c r="A620" s="35" t="s">
        <v>454</v>
      </c>
      <c r="B620" s="29" t="s">
        <v>683</v>
      </c>
      <c r="C620" s="29">
        <v>10</v>
      </c>
      <c r="D620" s="29" t="s">
        <v>29</v>
      </c>
      <c r="E620" s="29" t="s">
        <v>455</v>
      </c>
      <c r="F620" s="30"/>
      <c r="G620" s="31">
        <f>G621</f>
        <v>397010</v>
      </c>
      <c r="H620" s="116"/>
      <c r="I620" s="31">
        <f>G620+H620</f>
        <v>397010</v>
      </c>
    </row>
    <row r="621" spans="1:9" ht="29.25" customHeight="1">
      <c r="A621" s="9" t="s">
        <v>574</v>
      </c>
      <c r="B621" s="29" t="s">
        <v>683</v>
      </c>
      <c r="C621" s="29">
        <v>10</v>
      </c>
      <c r="D621" s="29" t="s">
        <v>29</v>
      </c>
      <c r="E621" s="29" t="s">
        <v>575</v>
      </c>
      <c r="F621" s="30"/>
      <c r="G621" s="31">
        <f>G622</f>
        <v>397010</v>
      </c>
      <c r="H621" s="116"/>
      <c r="I621" s="31">
        <f>G621+H621</f>
        <v>397010</v>
      </c>
    </row>
    <row r="622" spans="1:9" ht="86.25" customHeight="1">
      <c r="A622" s="73" t="s">
        <v>576</v>
      </c>
      <c r="B622" s="29" t="s">
        <v>683</v>
      </c>
      <c r="C622" s="29">
        <v>10</v>
      </c>
      <c r="D622" s="29" t="s">
        <v>29</v>
      </c>
      <c r="E622" s="29" t="s">
        <v>577</v>
      </c>
      <c r="F622" s="30"/>
      <c r="G622" s="31">
        <f>G624</f>
        <v>397010</v>
      </c>
      <c r="H622" s="116"/>
      <c r="I622" s="31">
        <f>G622+H622</f>
        <v>397010</v>
      </c>
    </row>
    <row r="623" spans="1:9" ht="26.25" hidden="1">
      <c r="A623" s="35" t="s">
        <v>38</v>
      </c>
      <c r="B623" s="29" t="s">
        <v>683</v>
      </c>
      <c r="C623" s="29">
        <v>10</v>
      </c>
      <c r="D623" s="29" t="s">
        <v>29</v>
      </c>
      <c r="E623" s="29" t="s">
        <v>578</v>
      </c>
      <c r="F623" s="30" t="s">
        <v>39</v>
      </c>
      <c r="G623" s="31"/>
      <c r="H623" s="116"/>
      <c r="I623" s="31">
        <f>G623+H623</f>
        <v>0</v>
      </c>
    </row>
    <row r="624" spans="1:9" ht="19.5" customHeight="1">
      <c r="A624" s="88" t="s">
        <v>211</v>
      </c>
      <c r="B624" s="29" t="s">
        <v>683</v>
      </c>
      <c r="C624" s="29">
        <v>10</v>
      </c>
      <c r="D624" s="29" t="s">
        <v>29</v>
      </c>
      <c r="E624" s="29" t="s">
        <v>577</v>
      </c>
      <c r="F624" s="30" t="s">
        <v>212</v>
      </c>
      <c r="G624" s="65">
        <f>700000-302990</f>
        <v>397010</v>
      </c>
      <c r="H624" s="116"/>
      <c r="I624" s="31">
        <f>G624+H624</f>
        <v>397010</v>
      </c>
    </row>
    <row r="625" spans="1:9" ht="19.5" customHeight="1">
      <c r="A625" s="16" t="s">
        <v>579</v>
      </c>
      <c r="B625" s="29" t="s">
        <v>683</v>
      </c>
      <c r="C625" s="29">
        <v>10</v>
      </c>
      <c r="D625" s="29" t="s">
        <v>42</v>
      </c>
      <c r="E625" s="29"/>
      <c r="F625" s="30"/>
      <c r="G625" s="31">
        <f>G631+G626</f>
        <v>18996972</v>
      </c>
      <c r="H625" s="116"/>
      <c r="I625" s="31">
        <f t="shared" si="12"/>
        <v>18996972</v>
      </c>
    </row>
    <row r="626" spans="1:9" ht="56.25" customHeight="1">
      <c r="A626" s="16" t="s">
        <v>697</v>
      </c>
      <c r="B626" s="29" t="s">
        <v>683</v>
      </c>
      <c r="C626" s="29">
        <v>10</v>
      </c>
      <c r="D626" s="29" t="s">
        <v>42</v>
      </c>
      <c r="E626" s="90" t="s">
        <v>44</v>
      </c>
      <c r="F626" s="30"/>
      <c r="G626" s="31">
        <f>G627</f>
        <v>16676179</v>
      </c>
      <c r="H626" s="116"/>
      <c r="I626" s="31">
        <f t="shared" si="12"/>
        <v>16676179</v>
      </c>
    </row>
    <row r="627" spans="1:9" ht="81" customHeight="1">
      <c r="A627" s="63" t="s">
        <v>588</v>
      </c>
      <c r="B627" s="29" t="s">
        <v>683</v>
      </c>
      <c r="C627" s="29">
        <v>10</v>
      </c>
      <c r="D627" s="29" t="s">
        <v>42</v>
      </c>
      <c r="E627" s="29" t="s">
        <v>46</v>
      </c>
      <c r="F627" s="30"/>
      <c r="G627" s="31">
        <f>G629</f>
        <v>16676179</v>
      </c>
      <c r="H627" s="116"/>
      <c r="I627" s="31">
        <f t="shared" si="12"/>
        <v>16676179</v>
      </c>
    </row>
    <row r="628" spans="1:9" ht="53.25" customHeight="1">
      <c r="A628" s="10" t="s">
        <v>589</v>
      </c>
      <c r="B628" s="29" t="s">
        <v>683</v>
      </c>
      <c r="C628" s="29">
        <v>10</v>
      </c>
      <c r="D628" s="29" t="s">
        <v>42</v>
      </c>
      <c r="E628" s="29" t="s">
        <v>590</v>
      </c>
      <c r="F628" s="30"/>
      <c r="G628" s="31">
        <f>G629</f>
        <v>16676179</v>
      </c>
      <c r="H628" s="116"/>
      <c r="I628" s="31">
        <f t="shared" si="12"/>
        <v>16676179</v>
      </c>
    </row>
    <row r="629" spans="1:9" ht="45.75" customHeight="1">
      <c r="A629" s="8" t="s">
        <v>591</v>
      </c>
      <c r="B629" s="29" t="s">
        <v>683</v>
      </c>
      <c r="C629" s="29">
        <v>10</v>
      </c>
      <c r="D629" s="29" t="s">
        <v>42</v>
      </c>
      <c r="E629" s="29" t="s">
        <v>592</v>
      </c>
      <c r="F629" s="30"/>
      <c r="G629" s="31">
        <f>G630</f>
        <v>16676179</v>
      </c>
      <c r="H629" s="116"/>
      <c r="I629" s="31">
        <f t="shared" si="12"/>
        <v>16676179</v>
      </c>
    </row>
    <row r="630" spans="1:9" ht="19.5" customHeight="1">
      <c r="A630" s="88" t="s">
        <v>211</v>
      </c>
      <c r="B630" s="29" t="s">
        <v>683</v>
      </c>
      <c r="C630" s="29">
        <v>10</v>
      </c>
      <c r="D630" s="29" t="s">
        <v>42</v>
      </c>
      <c r="E630" s="29" t="s">
        <v>592</v>
      </c>
      <c r="F630" s="30" t="s">
        <v>212</v>
      </c>
      <c r="G630" s="31">
        <f>16092874+583305</f>
        <v>16676179</v>
      </c>
      <c r="H630" s="116"/>
      <c r="I630" s="31">
        <f t="shared" si="12"/>
        <v>16676179</v>
      </c>
    </row>
    <row r="631" spans="1:9" ht="45.75" customHeight="1">
      <c r="A631" s="16" t="s">
        <v>593</v>
      </c>
      <c r="B631" s="29" t="s">
        <v>683</v>
      </c>
      <c r="C631" s="29">
        <v>10</v>
      </c>
      <c r="D631" s="29" t="s">
        <v>42</v>
      </c>
      <c r="E631" s="90" t="s">
        <v>371</v>
      </c>
      <c r="F631" s="30"/>
      <c r="G631" s="31">
        <f>G632+G639</f>
        <v>2320793</v>
      </c>
      <c r="H631" s="116"/>
      <c r="I631" s="31">
        <f t="shared" si="12"/>
        <v>2320793</v>
      </c>
    </row>
    <row r="632" spans="1:9" ht="63.75" customHeight="1">
      <c r="A632" s="81" t="s">
        <v>372</v>
      </c>
      <c r="B632" s="29" t="s">
        <v>683</v>
      </c>
      <c r="C632" s="29">
        <v>10</v>
      </c>
      <c r="D632" s="29" t="s">
        <v>42</v>
      </c>
      <c r="E632" s="90" t="s">
        <v>373</v>
      </c>
      <c r="F632" s="30"/>
      <c r="G632" s="31">
        <f>G636+G633</f>
        <v>2320643</v>
      </c>
      <c r="H632" s="116"/>
      <c r="I632" s="31">
        <f t="shared" si="12"/>
        <v>2320643</v>
      </c>
    </row>
    <row r="633" spans="1:9" ht="30" customHeight="1" hidden="1">
      <c r="A633" s="10" t="s">
        <v>201</v>
      </c>
      <c r="B633" s="29" t="s">
        <v>683</v>
      </c>
      <c r="C633" s="29">
        <v>10</v>
      </c>
      <c r="D633" s="29" t="s">
        <v>42</v>
      </c>
      <c r="E633" s="90" t="s">
        <v>594</v>
      </c>
      <c r="F633" s="30"/>
      <c r="G633" s="31">
        <f>G634</f>
        <v>0</v>
      </c>
      <c r="H633" s="116"/>
      <c r="I633" s="31">
        <f t="shared" si="12"/>
        <v>0</v>
      </c>
    </row>
    <row r="634" spans="1:9" ht="24.75" customHeight="1" hidden="1">
      <c r="A634" s="35" t="s">
        <v>26</v>
      </c>
      <c r="B634" s="29" t="s">
        <v>683</v>
      </c>
      <c r="C634" s="29">
        <v>10</v>
      </c>
      <c r="D634" s="29" t="s">
        <v>42</v>
      </c>
      <c r="E634" s="90" t="s">
        <v>594</v>
      </c>
      <c r="F634" s="30" t="s">
        <v>27</v>
      </c>
      <c r="G634" s="31"/>
      <c r="H634" s="116"/>
      <c r="I634" s="31">
        <f t="shared" si="12"/>
        <v>0</v>
      </c>
    </row>
    <row r="635" spans="1:9" ht="29.25" customHeight="1">
      <c r="A635" s="10" t="s">
        <v>374</v>
      </c>
      <c r="B635" s="29" t="s">
        <v>683</v>
      </c>
      <c r="C635" s="29">
        <v>10</v>
      </c>
      <c r="D635" s="29" t="s">
        <v>42</v>
      </c>
      <c r="E635" s="90" t="s">
        <v>375</v>
      </c>
      <c r="F635" s="30"/>
      <c r="G635" s="31">
        <f>G636</f>
        <v>2320643</v>
      </c>
      <c r="H635" s="116"/>
      <c r="I635" s="31">
        <f t="shared" si="12"/>
        <v>2320643</v>
      </c>
    </row>
    <row r="636" spans="1:9" ht="16.5" customHeight="1">
      <c r="A636" s="8" t="s">
        <v>595</v>
      </c>
      <c r="B636" s="29" t="s">
        <v>683</v>
      </c>
      <c r="C636" s="29">
        <v>10</v>
      </c>
      <c r="D636" s="29" t="s">
        <v>42</v>
      </c>
      <c r="E636" s="90" t="s">
        <v>596</v>
      </c>
      <c r="F636" s="30"/>
      <c r="G636" s="31">
        <f>G638+G637</f>
        <v>2320643</v>
      </c>
      <c r="H636" s="116"/>
      <c r="I636" s="31">
        <f t="shared" si="12"/>
        <v>2320643</v>
      </c>
    </row>
    <row r="637" spans="1:9" ht="26.25" hidden="1">
      <c r="A637" s="35" t="s">
        <v>38</v>
      </c>
      <c r="B637" s="29" t="s">
        <v>683</v>
      </c>
      <c r="C637" s="29">
        <v>10</v>
      </c>
      <c r="D637" s="29" t="s">
        <v>42</v>
      </c>
      <c r="E637" s="90" t="s">
        <v>596</v>
      </c>
      <c r="F637" s="30" t="s">
        <v>39</v>
      </c>
      <c r="G637" s="31"/>
      <c r="H637" s="116"/>
      <c r="I637" s="31">
        <f t="shared" si="12"/>
        <v>0</v>
      </c>
    </row>
    <row r="638" spans="1:9" ht="16.5" customHeight="1">
      <c r="A638" s="88" t="s">
        <v>211</v>
      </c>
      <c r="B638" s="29" t="s">
        <v>683</v>
      </c>
      <c r="C638" s="29">
        <v>10</v>
      </c>
      <c r="D638" s="29" t="s">
        <v>42</v>
      </c>
      <c r="E638" s="90" t="s">
        <v>596</v>
      </c>
      <c r="F638" s="30" t="s">
        <v>212</v>
      </c>
      <c r="G638" s="31">
        <v>2320643</v>
      </c>
      <c r="H638" s="116"/>
      <c r="I638" s="31">
        <f t="shared" si="12"/>
        <v>2320643</v>
      </c>
    </row>
    <row r="639" spans="1:9" ht="45" customHeight="1">
      <c r="A639" s="10" t="s">
        <v>396</v>
      </c>
      <c r="B639" s="29" t="s">
        <v>683</v>
      </c>
      <c r="C639" s="29" t="s">
        <v>216</v>
      </c>
      <c r="D639" s="29" t="s">
        <v>42</v>
      </c>
      <c r="E639" s="29" t="s">
        <v>397</v>
      </c>
      <c r="F639" s="30"/>
      <c r="G639" s="31">
        <f>G640</f>
        <v>150</v>
      </c>
      <c r="H639" s="116"/>
      <c r="I639" s="31">
        <f t="shared" si="12"/>
        <v>150</v>
      </c>
    </row>
    <row r="640" spans="1:9" ht="108.75" customHeight="1">
      <c r="A640" s="44" t="s">
        <v>406</v>
      </c>
      <c r="B640" s="29" t="s">
        <v>683</v>
      </c>
      <c r="C640" s="29">
        <v>10</v>
      </c>
      <c r="D640" s="29" t="s">
        <v>42</v>
      </c>
      <c r="E640" s="90" t="s">
        <v>407</v>
      </c>
      <c r="F640" s="30"/>
      <c r="G640" s="31">
        <f>G641</f>
        <v>150</v>
      </c>
      <c r="H640" s="116"/>
      <c r="I640" s="31">
        <f t="shared" si="12"/>
        <v>150</v>
      </c>
    </row>
    <row r="641" spans="1:9" ht="39" customHeight="1">
      <c r="A641" s="35" t="s">
        <v>26</v>
      </c>
      <c r="B641" s="29" t="s">
        <v>683</v>
      </c>
      <c r="C641" s="29">
        <v>10</v>
      </c>
      <c r="D641" s="29" t="s">
        <v>42</v>
      </c>
      <c r="E641" s="90" t="s">
        <v>407</v>
      </c>
      <c r="F641" s="30" t="s">
        <v>27</v>
      </c>
      <c r="G641" s="31">
        <v>150</v>
      </c>
      <c r="H641" s="116"/>
      <c r="I641" s="31">
        <f t="shared" si="12"/>
        <v>150</v>
      </c>
    </row>
    <row r="642" spans="1:9" ht="15">
      <c r="A642" s="16" t="s">
        <v>600</v>
      </c>
      <c r="B642" s="29" t="s">
        <v>683</v>
      </c>
      <c r="C642" s="29" t="s">
        <v>115</v>
      </c>
      <c r="D642" s="29"/>
      <c r="E642" s="29"/>
      <c r="F642" s="30"/>
      <c r="G642" s="31">
        <f>G643</f>
        <v>7901440</v>
      </c>
      <c r="H642" s="116"/>
      <c r="I642" s="31">
        <f t="shared" si="12"/>
        <v>7901440</v>
      </c>
    </row>
    <row r="643" spans="1:9" ht="15">
      <c r="A643" s="16" t="s">
        <v>601</v>
      </c>
      <c r="B643" s="29" t="s">
        <v>683</v>
      </c>
      <c r="C643" s="29" t="s">
        <v>115</v>
      </c>
      <c r="D643" s="29" t="s">
        <v>17</v>
      </c>
      <c r="E643" s="29"/>
      <c r="F643" s="30"/>
      <c r="G643" s="31">
        <f>G644</f>
        <v>7901440</v>
      </c>
      <c r="H643" s="116"/>
      <c r="I643" s="31">
        <f t="shared" si="12"/>
        <v>7901440</v>
      </c>
    </row>
    <row r="644" spans="1:9" ht="72" customHeight="1">
      <c r="A644" s="10" t="s">
        <v>463</v>
      </c>
      <c r="B644" s="29" t="s">
        <v>683</v>
      </c>
      <c r="C644" s="29" t="s">
        <v>115</v>
      </c>
      <c r="D644" s="29" t="s">
        <v>17</v>
      </c>
      <c r="E644" s="50" t="s">
        <v>464</v>
      </c>
      <c r="F644" s="30"/>
      <c r="G644" s="31">
        <f>G645</f>
        <v>7901440</v>
      </c>
      <c r="H644" s="116"/>
      <c r="I644" s="31">
        <f t="shared" si="12"/>
        <v>7901440</v>
      </c>
    </row>
    <row r="645" spans="1:9" ht="107.25" customHeight="1">
      <c r="A645" s="63" t="s">
        <v>602</v>
      </c>
      <c r="B645" s="29" t="s">
        <v>683</v>
      </c>
      <c r="C645" s="29" t="s">
        <v>115</v>
      </c>
      <c r="D645" s="29" t="s">
        <v>17</v>
      </c>
      <c r="E645" s="50" t="s">
        <v>603</v>
      </c>
      <c r="F645" s="30"/>
      <c r="G645" s="31">
        <f>G646+G650</f>
        <v>7901440</v>
      </c>
      <c r="H645" s="116"/>
      <c r="I645" s="31">
        <f t="shared" si="12"/>
        <v>7901440</v>
      </c>
    </row>
    <row r="646" spans="1:9" ht="44.25" customHeight="1" hidden="1">
      <c r="A646" s="63" t="s">
        <v>604</v>
      </c>
      <c r="B646" s="29" t="s">
        <v>683</v>
      </c>
      <c r="C646" s="29" t="s">
        <v>115</v>
      </c>
      <c r="D646" s="29" t="s">
        <v>17</v>
      </c>
      <c r="E646" s="50" t="s">
        <v>605</v>
      </c>
      <c r="F646" s="30"/>
      <c r="G646" s="31">
        <f>G647</f>
        <v>0</v>
      </c>
      <c r="H646" s="116"/>
      <c r="I646" s="31">
        <f t="shared" si="12"/>
        <v>0</v>
      </c>
    </row>
    <row r="647" spans="1:9" ht="39.75" customHeight="1" hidden="1">
      <c r="A647" s="16" t="s">
        <v>606</v>
      </c>
      <c r="B647" s="29" t="s">
        <v>683</v>
      </c>
      <c r="C647" s="29" t="s">
        <v>115</v>
      </c>
      <c r="D647" s="29" t="s">
        <v>17</v>
      </c>
      <c r="E647" s="50" t="s">
        <v>607</v>
      </c>
      <c r="F647" s="30"/>
      <c r="G647" s="31">
        <f>G649+G648</f>
        <v>0</v>
      </c>
      <c r="H647" s="116"/>
      <c r="I647" s="31">
        <f t="shared" si="12"/>
        <v>0</v>
      </c>
    </row>
    <row r="648" spans="1:9" ht="43.5" customHeight="1" hidden="1">
      <c r="A648" s="35" t="s">
        <v>26</v>
      </c>
      <c r="B648" s="29" t="s">
        <v>683</v>
      </c>
      <c r="C648" s="29" t="s">
        <v>115</v>
      </c>
      <c r="D648" s="29" t="s">
        <v>17</v>
      </c>
      <c r="E648" s="50" t="s">
        <v>607</v>
      </c>
      <c r="F648" s="30" t="s">
        <v>27</v>
      </c>
      <c r="G648" s="31">
        <f>3195-3195</f>
        <v>0</v>
      </c>
      <c r="H648" s="116"/>
      <c r="I648" s="31">
        <f t="shared" si="12"/>
        <v>0</v>
      </c>
    </row>
    <row r="649" spans="1:9" ht="26.25" hidden="1">
      <c r="A649" s="35" t="s">
        <v>38</v>
      </c>
      <c r="B649" s="29" t="s">
        <v>683</v>
      </c>
      <c r="C649" s="29" t="s">
        <v>115</v>
      </c>
      <c r="D649" s="29" t="s">
        <v>17</v>
      </c>
      <c r="E649" s="50" t="s">
        <v>607</v>
      </c>
      <c r="F649" s="30" t="s">
        <v>39</v>
      </c>
      <c r="G649" s="31"/>
      <c r="H649" s="116"/>
      <c r="I649" s="31">
        <f t="shared" si="12"/>
        <v>0</v>
      </c>
    </row>
    <row r="650" spans="1:9" ht="38.25">
      <c r="A650" s="53" t="s">
        <v>608</v>
      </c>
      <c r="B650" s="29" t="s">
        <v>683</v>
      </c>
      <c r="C650" s="29" t="s">
        <v>115</v>
      </c>
      <c r="D650" s="29" t="s">
        <v>17</v>
      </c>
      <c r="E650" s="50" t="s">
        <v>609</v>
      </c>
      <c r="F650" s="30"/>
      <c r="G650" s="31">
        <f>G651+G655</f>
        <v>7901440</v>
      </c>
      <c r="H650" s="116"/>
      <c r="I650" s="31">
        <f t="shared" si="12"/>
        <v>7901440</v>
      </c>
    </row>
    <row r="651" spans="1:9" ht="26.25">
      <c r="A651" s="16" t="s">
        <v>201</v>
      </c>
      <c r="B651" s="29" t="s">
        <v>683</v>
      </c>
      <c r="C651" s="29" t="s">
        <v>115</v>
      </c>
      <c r="D651" s="29" t="s">
        <v>17</v>
      </c>
      <c r="E651" s="50" t="s">
        <v>610</v>
      </c>
      <c r="F651" s="30"/>
      <c r="G651" s="31">
        <f>G653+G652+G654</f>
        <v>7901440</v>
      </c>
      <c r="H651" s="116"/>
      <c r="I651" s="31">
        <f t="shared" si="12"/>
        <v>7901440</v>
      </c>
    </row>
    <row r="652" spans="1:9" ht="81.75" customHeight="1">
      <c r="A652" s="35" t="s">
        <v>26</v>
      </c>
      <c r="B652" s="29" t="s">
        <v>683</v>
      </c>
      <c r="C652" s="29" t="s">
        <v>115</v>
      </c>
      <c r="D652" s="29" t="s">
        <v>17</v>
      </c>
      <c r="E652" s="50" t="s">
        <v>610</v>
      </c>
      <c r="F652" s="30" t="s">
        <v>27</v>
      </c>
      <c r="G652" s="31">
        <f>6275000+541000</f>
        <v>6816000</v>
      </c>
      <c r="H652" s="116"/>
      <c r="I652" s="31">
        <f t="shared" si="12"/>
        <v>6816000</v>
      </c>
    </row>
    <row r="653" spans="1:9" ht="26.25">
      <c r="A653" s="35" t="s">
        <v>38</v>
      </c>
      <c r="B653" s="29" t="s">
        <v>683</v>
      </c>
      <c r="C653" s="29" t="s">
        <v>115</v>
      </c>
      <c r="D653" s="29" t="s">
        <v>17</v>
      </c>
      <c r="E653" s="50" t="s">
        <v>610</v>
      </c>
      <c r="F653" s="30" t="s">
        <v>39</v>
      </c>
      <c r="G653" s="31">
        <f>942700+21000</f>
        <v>963700</v>
      </c>
      <c r="H653" s="116"/>
      <c r="I653" s="31">
        <f t="shared" si="12"/>
        <v>963700</v>
      </c>
    </row>
    <row r="654" spans="1:9" ht="18" customHeight="1">
      <c r="A654" s="48" t="s">
        <v>84</v>
      </c>
      <c r="B654" s="29" t="s">
        <v>683</v>
      </c>
      <c r="C654" s="29" t="s">
        <v>115</v>
      </c>
      <c r="D654" s="29" t="s">
        <v>17</v>
      </c>
      <c r="E654" s="50" t="s">
        <v>610</v>
      </c>
      <c r="F654" s="30" t="s">
        <v>85</v>
      </c>
      <c r="G654" s="31">
        <v>121740</v>
      </c>
      <c r="H654" s="116"/>
      <c r="I654" s="31">
        <f t="shared" si="12"/>
        <v>121740</v>
      </c>
    </row>
    <row r="655" spans="1:9" ht="30" customHeight="1" hidden="1">
      <c r="A655" s="10" t="s">
        <v>236</v>
      </c>
      <c r="B655" s="29" t="s">
        <v>683</v>
      </c>
      <c r="C655" s="29" t="s">
        <v>115</v>
      </c>
      <c r="D655" s="29" t="s">
        <v>17</v>
      </c>
      <c r="E655" s="50" t="s">
        <v>611</v>
      </c>
      <c r="F655" s="30"/>
      <c r="G655" s="31">
        <f>G656</f>
        <v>0</v>
      </c>
      <c r="H655" s="116"/>
      <c r="I655" s="31">
        <f t="shared" si="12"/>
        <v>0</v>
      </c>
    </row>
    <row r="656" spans="1:9" ht="30" customHeight="1" hidden="1">
      <c r="A656" s="35" t="s">
        <v>38</v>
      </c>
      <c r="B656" s="29" t="s">
        <v>683</v>
      </c>
      <c r="C656" s="29" t="s">
        <v>115</v>
      </c>
      <c r="D656" s="29" t="s">
        <v>17</v>
      </c>
      <c r="E656" s="50" t="s">
        <v>611</v>
      </c>
      <c r="F656" s="30" t="s">
        <v>39</v>
      </c>
      <c r="G656" s="31"/>
      <c r="H656" s="116"/>
      <c r="I656" s="31">
        <f t="shared" si="12"/>
        <v>0</v>
      </c>
    </row>
    <row r="657" spans="1:9" ht="33.75" customHeight="1">
      <c r="A657" s="15" t="s">
        <v>698</v>
      </c>
      <c r="B657" s="29" t="s">
        <v>699</v>
      </c>
      <c r="C657" s="29"/>
      <c r="D657" s="29"/>
      <c r="E657" s="29"/>
      <c r="F657" s="30"/>
      <c r="G657" s="31">
        <f>G668+G715+G658</f>
        <v>35096512.230000004</v>
      </c>
      <c r="H657" s="116">
        <f>H668+H715+H658</f>
        <v>695869.38</v>
      </c>
      <c r="I657" s="31">
        <f t="shared" si="12"/>
        <v>35792381.61000001</v>
      </c>
    </row>
    <row r="658" spans="1:9" ht="15" hidden="1">
      <c r="A658" s="16" t="s">
        <v>238</v>
      </c>
      <c r="B658" s="29" t="s">
        <v>699</v>
      </c>
      <c r="C658" s="29" t="s">
        <v>42</v>
      </c>
      <c r="D658" s="29"/>
      <c r="E658" s="29"/>
      <c r="F658" s="30"/>
      <c r="G658" s="31">
        <f>G659</f>
        <v>0</v>
      </c>
      <c r="H658" s="116">
        <f>H659</f>
        <v>0</v>
      </c>
      <c r="I658" s="31">
        <f t="shared" si="12"/>
        <v>0</v>
      </c>
    </row>
    <row r="659" spans="1:9" ht="15" hidden="1">
      <c r="A659" s="16" t="s">
        <v>282</v>
      </c>
      <c r="B659" s="29" t="s">
        <v>699</v>
      </c>
      <c r="C659" s="29" t="s">
        <v>42</v>
      </c>
      <c r="D659" s="29" t="s">
        <v>283</v>
      </c>
      <c r="E659" s="29"/>
      <c r="F659" s="30"/>
      <c r="G659" s="31">
        <f>G660</f>
        <v>0</v>
      </c>
      <c r="H659" s="116"/>
      <c r="I659" s="31">
        <f t="shared" si="12"/>
        <v>0</v>
      </c>
    </row>
    <row r="660" spans="1:9" ht="54" customHeight="1" hidden="1">
      <c r="A660" s="126" t="s">
        <v>294</v>
      </c>
      <c r="B660" s="29" t="s">
        <v>699</v>
      </c>
      <c r="C660" s="29" t="s">
        <v>42</v>
      </c>
      <c r="D660" s="29" t="s">
        <v>283</v>
      </c>
      <c r="E660" s="71" t="s">
        <v>295</v>
      </c>
      <c r="F660" s="30"/>
      <c r="G660" s="31">
        <f>G661</f>
        <v>0</v>
      </c>
      <c r="H660" s="116"/>
      <c r="I660" s="31">
        <f t="shared" si="12"/>
        <v>0</v>
      </c>
    </row>
    <row r="661" spans="1:9" ht="75.75" customHeight="1" hidden="1">
      <c r="A661" s="63" t="s">
        <v>671</v>
      </c>
      <c r="B661" s="29" t="s">
        <v>699</v>
      </c>
      <c r="C661" s="29" t="s">
        <v>42</v>
      </c>
      <c r="D661" s="29" t="s">
        <v>283</v>
      </c>
      <c r="E661" s="71" t="s">
        <v>297</v>
      </c>
      <c r="F661" s="30"/>
      <c r="G661" s="31">
        <f>G663</f>
        <v>0</v>
      </c>
      <c r="H661" s="116"/>
      <c r="I661" s="31">
        <f t="shared" si="12"/>
        <v>0</v>
      </c>
    </row>
    <row r="662" spans="1:9" ht="27" customHeight="1" hidden="1">
      <c r="A662" s="10" t="s">
        <v>298</v>
      </c>
      <c r="B662" s="29" t="s">
        <v>699</v>
      </c>
      <c r="C662" s="29" t="s">
        <v>42</v>
      </c>
      <c r="D662" s="29" t="s">
        <v>283</v>
      </c>
      <c r="E662" s="71" t="s">
        <v>299</v>
      </c>
      <c r="F662" s="30"/>
      <c r="G662" s="31"/>
      <c r="H662" s="116"/>
      <c r="I662" s="31">
        <f>I663</f>
        <v>0</v>
      </c>
    </row>
    <row r="663" spans="1:9" ht="15.75" hidden="1">
      <c r="A663" s="15" t="s">
        <v>300</v>
      </c>
      <c r="B663" s="29" t="s">
        <v>699</v>
      </c>
      <c r="C663" s="29" t="s">
        <v>42</v>
      </c>
      <c r="D663" s="29" t="s">
        <v>283</v>
      </c>
      <c r="E663" s="71" t="s">
        <v>301</v>
      </c>
      <c r="F663" s="30"/>
      <c r="G663" s="31">
        <f>G664</f>
        <v>0</v>
      </c>
      <c r="H663" s="116"/>
      <c r="I663" s="31">
        <f>G663+H663</f>
        <v>0</v>
      </c>
    </row>
    <row r="664" spans="1:9" ht="28.5" customHeight="1" hidden="1">
      <c r="A664" s="35" t="s">
        <v>38</v>
      </c>
      <c r="B664" s="29" t="s">
        <v>699</v>
      </c>
      <c r="C664" s="29" t="s">
        <v>42</v>
      </c>
      <c r="D664" s="29" t="s">
        <v>283</v>
      </c>
      <c r="E664" s="71" t="s">
        <v>301</v>
      </c>
      <c r="F664" s="30" t="s">
        <v>39</v>
      </c>
      <c r="G664" s="31"/>
      <c r="H664" s="116"/>
      <c r="I664" s="31">
        <f>G664+H664</f>
        <v>0</v>
      </c>
    </row>
    <row r="665" spans="1:9" ht="15" customHeight="1" hidden="1">
      <c r="A665" s="10" t="s">
        <v>700</v>
      </c>
      <c r="B665" s="29" t="s">
        <v>699</v>
      </c>
      <c r="C665" s="29" t="s">
        <v>109</v>
      </c>
      <c r="D665" s="29" t="s">
        <v>19</v>
      </c>
      <c r="E665" s="29" t="s">
        <v>701</v>
      </c>
      <c r="F665" s="30"/>
      <c r="G665" s="31">
        <f>G667+G666</f>
        <v>0</v>
      </c>
      <c r="H665" s="116">
        <f>H667+H666</f>
        <v>0</v>
      </c>
      <c r="I665" s="31">
        <f t="shared" si="12"/>
        <v>0</v>
      </c>
    </row>
    <row r="666" spans="1:9" ht="39.75" customHeight="1" hidden="1">
      <c r="A666" s="35" t="s">
        <v>26</v>
      </c>
      <c r="B666" s="29" t="s">
        <v>699</v>
      </c>
      <c r="C666" s="29" t="s">
        <v>109</v>
      </c>
      <c r="D666" s="29" t="s">
        <v>19</v>
      </c>
      <c r="E666" s="29" t="s">
        <v>701</v>
      </c>
      <c r="F666" s="30" t="s">
        <v>27</v>
      </c>
      <c r="G666" s="31"/>
      <c r="H666" s="116"/>
      <c r="I666" s="31">
        <f t="shared" si="12"/>
        <v>0</v>
      </c>
    </row>
    <row r="667" spans="1:9" ht="15" customHeight="1" hidden="1">
      <c r="A667" s="35" t="s">
        <v>92</v>
      </c>
      <c r="B667" s="29" t="s">
        <v>699</v>
      </c>
      <c r="C667" s="29" t="s">
        <v>109</v>
      </c>
      <c r="D667" s="29" t="s">
        <v>19</v>
      </c>
      <c r="E667" s="29" t="s">
        <v>701</v>
      </c>
      <c r="F667" s="30" t="s">
        <v>39</v>
      </c>
      <c r="G667" s="31"/>
      <c r="H667" s="116"/>
      <c r="I667" s="31">
        <f t="shared" si="12"/>
        <v>0</v>
      </c>
    </row>
    <row r="668" spans="1:9" ht="15.75" customHeight="1">
      <c r="A668" s="16" t="s">
        <v>510</v>
      </c>
      <c r="B668" s="29" t="s">
        <v>699</v>
      </c>
      <c r="C668" s="29" t="s">
        <v>240</v>
      </c>
      <c r="D668" s="29"/>
      <c r="E668" s="29"/>
      <c r="F668" s="30"/>
      <c r="G668" s="31">
        <f>G669+G704</f>
        <v>34401363.230000004</v>
      </c>
      <c r="H668" s="116">
        <f>H669+H704</f>
        <v>695869.38</v>
      </c>
      <c r="I668" s="31">
        <f t="shared" si="12"/>
        <v>35097232.61000001</v>
      </c>
    </row>
    <row r="669" spans="1:9" ht="15">
      <c r="A669" s="16" t="s">
        <v>702</v>
      </c>
      <c r="B669" s="29" t="s">
        <v>699</v>
      </c>
      <c r="C669" s="29" t="s">
        <v>240</v>
      </c>
      <c r="D669" s="29" t="s">
        <v>17</v>
      </c>
      <c r="E669" s="29"/>
      <c r="F669" s="30"/>
      <c r="G669" s="31">
        <f>G670+G690+G699</f>
        <v>30445512.23</v>
      </c>
      <c r="H669" s="31">
        <f>H670+H690+H699</f>
        <v>695869.38</v>
      </c>
      <c r="I669" s="31">
        <f t="shared" si="12"/>
        <v>31141381.61</v>
      </c>
    </row>
    <row r="670" spans="1:9" ht="49.5" customHeight="1">
      <c r="A670" s="16" t="s">
        <v>512</v>
      </c>
      <c r="B670" s="29" t="s">
        <v>699</v>
      </c>
      <c r="C670" s="29" t="s">
        <v>240</v>
      </c>
      <c r="D670" s="29" t="s">
        <v>17</v>
      </c>
      <c r="E670" s="29" t="s">
        <v>513</v>
      </c>
      <c r="F670" s="30"/>
      <c r="G670" s="31">
        <f>G671+G684+G694</f>
        <v>30435512.23</v>
      </c>
      <c r="H670" s="31">
        <f>H671+H684+H694</f>
        <v>695869.38</v>
      </c>
      <c r="I670" s="31">
        <f t="shared" si="12"/>
        <v>31131381.61</v>
      </c>
    </row>
    <row r="671" spans="1:13" s="42" customFormat="1" ht="45.75" customHeight="1">
      <c r="A671" s="16" t="s">
        <v>514</v>
      </c>
      <c r="B671" s="29" t="s">
        <v>699</v>
      </c>
      <c r="C671" s="29" t="s">
        <v>515</v>
      </c>
      <c r="D671" s="29" t="s">
        <v>17</v>
      </c>
      <c r="E671" s="29" t="s">
        <v>516</v>
      </c>
      <c r="F671" s="30"/>
      <c r="G671" s="31">
        <f>G672</f>
        <v>16653311.23</v>
      </c>
      <c r="H671" s="31">
        <f>H672</f>
        <v>695869.38</v>
      </c>
      <c r="I671" s="31">
        <f t="shared" si="12"/>
        <v>17349180.61</v>
      </c>
      <c r="J671" s="69"/>
      <c r="K671" s="69"/>
      <c r="L671" s="69"/>
      <c r="M671" s="69"/>
    </row>
    <row r="672" spans="1:9" ht="58.5" customHeight="1">
      <c r="A672" s="13" t="s">
        <v>517</v>
      </c>
      <c r="B672" s="29" t="s">
        <v>699</v>
      </c>
      <c r="C672" s="29" t="s">
        <v>515</v>
      </c>
      <c r="D672" s="29" t="s">
        <v>17</v>
      </c>
      <c r="E672" s="29" t="s">
        <v>518</v>
      </c>
      <c r="F672" s="30"/>
      <c r="G672" s="31">
        <f>G673+G677+G675+G682</f>
        <v>16653311.23</v>
      </c>
      <c r="H672" s="31">
        <f>H673+H677+H675+H682</f>
        <v>695869.38</v>
      </c>
      <c r="I672" s="31">
        <f t="shared" si="12"/>
        <v>17349180.61</v>
      </c>
    </row>
    <row r="673" spans="1:9" ht="15" hidden="1">
      <c r="A673" s="10" t="s">
        <v>703</v>
      </c>
      <c r="B673" s="29" t="s">
        <v>699</v>
      </c>
      <c r="C673" s="29" t="s">
        <v>515</v>
      </c>
      <c r="D673" s="29" t="s">
        <v>17</v>
      </c>
      <c r="E673" s="29" t="s">
        <v>704</v>
      </c>
      <c r="F673" s="30"/>
      <c r="G673" s="31">
        <f>G674</f>
        <v>0</v>
      </c>
      <c r="H673" s="31">
        <f>H674</f>
        <v>0</v>
      </c>
      <c r="I673" s="31">
        <f t="shared" si="12"/>
        <v>0</v>
      </c>
    </row>
    <row r="674" spans="1:9" ht="26.25" hidden="1">
      <c r="A674" s="35" t="s">
        <v>38</v>
      </c>
      <c r="B674" s="29" t="s">
        <v>699</v>
      </c>
      <c r="C674" s="29" t="s">
        <v>515</v>
      </c>
      <c r="D674" s="29" t="s">
        <v>17</v>
      </c>
      <c r="E674" s="29" t="s">
        <v>704</v>
      </c>
      <c r="F674" s="30" t="s">
        <v>39</v>
      </c>
      <c r="G674" s="31"/>
      <c r="H674" s="31"/>
      <c r="I674" s="31">
        <f t="shared" si="12"/>
        <v>0</v>
      </c>
    </row>
    <row r="675" spans="1:9" ht="26.25" hidden="1">
      <c r="A675" s="118" t="s">
        <v>705</v>
      </c>
      <c r="B675" s="29" t="s">
        <v>699</v>
      </c>
      <c r="C675" s="29" t="s">
        <v>515</v>
      </c>
      <c r="D675" s="29" t="s">
        <v>17</v>
      </c>
      <c r="E675" s="29" t="s">
        <v>706</v>
      </c>
      <c r="F675" s="30"/>
      <c r="G675" s="31">
        <f>G676</f>
        <v>0</v>
      </c>
      <c r="H675" s="31">
        <f>H676</f>
        <v>0</v>
      </c>
      <c r="I675" s="31">
        <f t="shared" si="12"/>
        <v>0</v>
      </c>
    </row>
    <row r="676" spans="1:9" ht="26.25" hidden="1">
      <c r="A676" s="35" t="s">
        <v>38</v>
      </c>
      <c r="B676" s="29" t="s">
        <v>699</v>
      </c>
      <c r="C676" s="29" t="s">
        <v>515</v>
      </c>
      <c r="D676" s="29" t="s">
        <v>17</v>
      </c>
      <c r="E676" s="29" t="s">
        <v>706</v>
      </c>
      <c r="F676" s="30" t="s">
        <v>39</v>
      </c>
      <c r="G676" s="31"/>
      <c r="H676" s="31"/>
      <c r="I676" s="31">
        <f t="shared" si="12"/>
        <v>0</v>
      </c>
    </row>
    <row r="677" spans="1:9" ht="32.25" customHeight="1">
      <c r="A677" s="16" t="s">
        <v>201</v>
      </c>
      <c r="B677" s="29" t="s">
        <v>699</v>
      </c>
      <c r="C677" s="29" t="s">
        <v>515</v>
      </c>
      <c r="D677" s="29" t="s">
        <v>17</v>
      </c>
      <c r="E677" s="29" t="s">
        <v>519</v>
      </c>
      <c r="F677" s="30"/>
      <c r="G677" s="31">
        <f>G678+G679+G681+G680</f>
        <v>16653311.23</v>
      </c>
      <c r="H677" s="31">
        <f>H678+H679+H681+H680</f>
        <v>695869.38</v>
      </c>
      <c r="I677" s="31">
        <f t="shared" si="12"/>
        <v>17349180.61</v>
      </c>
    </row>
    <row r="678" spans="1:9" ht="70.5" customHeight="1">
      <c r="A678" s="35" t="s">
        <v>26</v>
      </c>
      <c r="B678" s="29" t="s">
        <v>699</v>
      </c>
      <c r="C678" s="29" t="s">
        <v>515</v>
      </c>
      <c r="D678" s="29" t="s">
        <v>17</v>
      </c>
      <c r="E678" s="29" t="s">
        <v>519</v>
      </c>
      <c r="F678" s="30" t="s">
        <v>27</v>
      </c>
      <c r="G678" s="31">
        <f>13477300+767879</f>
        <v>14245179</v>
      </c>
      <c r="H678" s="116"/>
      <c r="I678" s="31">
        <f t="shared" si="12"/>
        <v>14245179</v>
      </c>
    </row>
    <row r="679" spans="1:9" ht="27" customHeight="1">
      <c r="A679" s="35" t="s">
        <v>38</v>
      </c>
      <c r="B679" s="29" t="s">
        <v>699</v>
      </c>
      <c r="C679" s="29" t="s">
        <v>515</v>
      </c>
      <c r="D679" s="29" t="s">
        <v>17</v>
      </c>
      <c r="E679" s="29" t="s">
        <v>519</v>
      </c>
      <c r="F679" s="30" t="s">
        <v>39</v>
      </c>
      <c r="G679" s="31">
        <f>1013900+380000+319198.23+61500+200000</f>
        <v>1974598.23</v>
      </c>
      <c r="H679" s="116">
        <f>512700+174769.38+8400</f>
        <v>695869.38</v>
      </c>
      <c r="I679" s="31">
        <f t="shared" si="12"/>
        <v>2670467.61</v>
      </c>
    </row>
    <row r="680" spans="1:9" ht="26.25">
      <c r="A680" s="16" t="s">
        <v>271</v>
      </c>
      <c r="B680" s="29" t="s">
        <v>699</v>
      </c>
      <c r="C680" s="29" t="s">
        <v>515</v>
      </c>
      <c r="D680" s="29" t="s">
        <v>17</v>
      </c>
      <c r="E680" s="29" t="s">
        <v>519</v>
      </c>
      <c r="F680" s="30" t="s">
        <v>272</v>
      </c>
      <c r="G680" s="31"/>
      <c r="H680" s="116"/>
      <c r="I680" s="31">
        <f aca="true" t="shared" si="13" ref="I680:I716">G680+H680</f>
        <v>0</v>
      </c>
    </row>
    <row r="681" spans="1:9" ht="15">
      <c r="A681" s="48" t="s">
        <v>84</v>
      </c>
      <c r="B681" s="29" t="s">
        <v>699</v>
      </c>
      <c r="C681" s="29" t="s">
        <v>515</v>
      </c>
      <c r="D681" s="29" t="s">
        <v>17</v>
      </c>
      <c r="E681" s="29" t="s">
        <v>519</v>
      </c>
      <c r="F681" s="30" t="s">
        <v>85</v>
      </c>
      <c r="G681" s="31">
        <v>433534</v>
      </c>
      <c r="H681" s="116"/>
      <c r="I681" s="31">
        <f t="shared" si="13"/>
        <v>433534</v>
      </c>
    </row>
    <row r="682" spans="1:9" ht="39" hidden="1">
      <c r="A682" s="35" t="s">
        <v>520</v>
      </c>
      <c r="B682" s="29" t="s">
        <v>699</v>
      </c>
      <c r="C682" s="29" t="s">
        <v>240</v>
      </c>
      <c r="D682" s="29" t="s">
        <v>17</v>
      </c>
      <c r="E682" s="29" t="s">
        <v>521</v>
      </c>
      <c r="F682" s="30"/>
      <c r="G682" s="31">
        <f>G683</f>
        <v>0</v>
      </c>
      <c r="H682" s="116"/>
      <c r="I682" s="31">
        <f t="shared" si="13"/>
        <v>0</v>
      </c>
    </row>
    <row r="683" spans="1:9" ht="26.25" hidden="1">
      <c r="A683" s="35" t="s">
        <v>38</v>
      </c>
      <c r="B683" s="29" t="s">
        <v>699</v>
      </c>
      <c r="C683" s="29" t="s">
        <v>240</v>
      </c>
      <c r="D683" s="29" t="s">
        <v>17</v>
      </c>
      <c r="E683" s="29" t="s">
        <v>521</v>
      </c>
      <c r="F683" s="30" t="s">
        <v>39</v>
      </c>
      <c r="G683" s="31"/>
      <c r="H683" s="116"/>
      <c r="I683" s="31">
        <f t="shared" si="13"/>
        <v>0</v>
      </c>
    </row>
    <row r="684" spans="1:9" ht="51.75" customHeight="1">
      <c r="A684" s="16" t="s">
        <v>522</v>
      </c>
      <c r="B684" s="29" t="s">
        <v>699</v>
      </c>
      <c r="C684" s="29" t="s">
        <v>515</v>
      </c>
      <c r="D684" s="29" t="s">
        <v>17</v>
      </c>
      <c r="E684" s="50" t="s">
        <v>523</v>
      </c>
      <c r="F684" s="30"/>
      <c r="G684" s="31">
        <f>G685</f>
        <v>12101381</v>
      </c>
      <c r="H684" s="116">
        <f>H686+H690</f>
        <v>0</v>
      </c>
      <c r="I684" s="31">
        <f t="shared" si="13"/>
        <v>12101381</v>
      </c>
    </row>
    <row r="685" spans="1:9" ht="32.25" customHeight="1">
      <c r="A685" s="10" t="s">
        <v>524</v>
      </c>
      <c r="B685" s="29" t="s">
        <v>699</v>
      </c>
      <c r="C685" s="29" t="s">
        <v>515</v>
      </c>
      <c r="D685" s="29" t="s">
        <v>17</v>
      </c>
      <c r="E685" s="50" t="s">
        <v>525</v>
      </c>
      <c r="F685" s="30"/>
      <c r="G685" s="31">
        <f>G686</f>
        <v>12101381</v>
      </c>
      <c r="H685" s="116"/>
      <c r="I685" s="31">
        <f t="shared" si="13"/>
        <v>12101381</v>
      </c>
    </row>
    <row r="686" spans="1:9" ht="26.25">
      <c r="A686" s="16" t="s">
        <v>201</v>
      </c>
      <c r="B686" s="29" t="s">
        <v>699</v>
      </c>
      <c r="C686" s="29" t="s">
        <v>515</v>
      </c>
      <c r="D686" s="29" t="s">
        <v>17</v>
      </c>
      <c r="E686" s="50" t="s">
        <v>526</v>
      </c>
      <c r="F686" s="30"/>
      <c r="G686" s="31">
        <f>G687+G688+G689</f>
        <v>12101381</v>
      </c>
      <c r="H686" s="116">
        <f>H687+H688+H689</f>
        <v>0</v>
      </c>
      <c r="I686" s="31">
        <f t="shared" si="13"/>
        <v>12101381</v>
      </c>
    </row>
    <row r="687" spans="1:9" ht="40.5" customHeight="1">
      <c r="A687" s="35" t="s">
        <v>26</v>
      </c>
      <c r="B687" s="29" t="s">
        <v>699</v>
      </c>
      <c r="C687" s="29" t="s">
        <v>515</v>
      </c>
      <c r="D687" s="29" t="s">
        <v>17</v>
      </c>
      <c r="E687" s="50" t="s">
        <v>526</v>
      </c>
      <c r="F687" s="30" t="s">
        <v>27</v>
      </c>
      <c r="G687" s="31">
        <f>10869500+705121</f>
        <v>11574621</v>
      </c>
      <c r="H687" s="116"/>
      <c r="I687" s="31">
        <f t="shared" si="13"/>
        <v>11574621</v>
      </c>
    </row>
    <row r="688" spans="1:9" ht="27" customHeight="1">
      <c r="A688" s="35" t="s">
        <v>38</v>
      </c>
      <c r="B688" s="29" t="s">
        <v>699</v>
      </c>
      <c r="C688" s="29" t="s">
        <v>515</v>
      </c>
      <c r="D688" s="29" t="s">
        <v>17</v>
      </c>
      <c r="E688" s="50" t="s">
        <v>526</v>
      </c>
      <c r="F688" s="30" t="s">
        <v>39</v>
      </c>
      <c r="G688" s="31">
        <f>236600+255960</f>
        <v>492560</v>
      </c>
      <c r="H688" s="116"/>
      <c r="I688" s="31">
        <f t="shared" si="13"/>
        <v>492560</v>
      </c>
    </row>
    <row r="689" spans="1:9" ht="21" customHeight="1">
      <c r="A689" s="48" t="s">
        <v>84</v>
      </c>
      <c r="B689" s="29" t="s">
        <v>699</v>
      </c>
      <c r="C689" s="29" t="s">
        <v>515</v>
      </c>
      <c r="D689" s="29" t="s">
        <v>17</v>
      </c>
      <c r="E689" s="50" t="s">
        <v>526</v>
      </c>
      <c r="F689" s="30" t="s">
        <v>85</v>
      </c>
      <c r="G689" s="31">
        <v>34200</v>
      </c>
      <c r="H689" s="116"/>
      <c r="I689" s="31">
        <f t="shared" si="13"/>
        <v>34200</v>
      </c>
    </row>
    <row r="690" spans="1:9" ht="25.5" hidden="1">
      <c r="A690" s="10" t="s">
        <v>504</v>
      </c>
      <c r="B690" s="29" t="s">
        <v>699</v>
      </c>
      <c r="C690" s="29" t="s">
        <v>515</v>
      </c>
      <c r="D690" s="29" t="s">
        <v>17</v>
      </c>
      <c r="E690" s="50" t="s">
        <v>505</v>
      </c>
      <c r="F690" s="30"/>
      <c r="G690" s="31">
        <f>G691</f>
        <v>0</v>
      </c>
      <c r="H690" s="116"/>
      <c r="I690" s="31">
        <f t="shared" si="13"/>
        <v>0</v>
      </c>
    </row>
    <row r="691" spans="1:9" ht="39" hidden="1">
      <c r="A691" s="35" t="s">
        <v>506</v>
      </c>
      <c r="B691" s="29" t="s">
        <v>699</v>
      </c>
      <c r="C691" s="29" t="s">
        <v>515</v>
      </c>
      <c r="D691" s="29" t="s">
        <v>17</v>
      </c>
      <c r="E691" s="50" t="s">
        <v>507</v>
      </c>
      <c r="F691" s="30"/>
      <c r="G691" s="31">
        <f>G692</f>
        <v>0</v>
      </c>
      <c r="H691" s="116"/>
      <c r="I691" s="31">
        <f t="shared" si="13"/>
        <v>0</v>
      </c>
    </row>
    <row r="692" spans="1:9" ht="26.25" hidden="1">
      <c r="A692" s="35" t="s">
        <v>528</v>
      </c>
      <c r="B692" s="29" t="s">
        <v>699</v>
      </c>
      <c r="C692" s="29" t="s">
        <v>515</v>
      </c>
      <c r="D692" s="29" t="s">
        <v>17</v>
      </c>
      <c r="E692" s="36" t="s">
        <v>529</v>
      </c>
      <c r="F692" s="30"/>
      <c r="G692" s="31">
        <f>G693</f>
        <v>0</v>
      </c>
      <c r="H692" s="116"/>
      <c r="I692" s="31">
        <f t="shared" si="13"/>
        <v>0</v>
      </c>
    </row>
    <row r="693" spans="1:9" ht="15" hidden="1">
      <c r="A693" s="16" t="s">
        <v>211</v>
      </c>
      <c r="B693" s="29" t="s">
        <v>699</v>
      </c>
      <c r="C693" s="29" t="s">
        <v>515</v>
      </c>
      <c r="D693" s="29" t="s">
        <v>17</v>
      </c>
      <c r="E693" s="36" t="s">
        <v>529</v>
      </c>
      <c r="F693" s="30" t="s">
        <v>212</v>
      </c>
      <c r="G693" s="31"/>
      <c r="H693" s="116"/>
      <c r="I693" s="31">
        <f t="shared" si="13"/>
        <v>0</v>
      </c>
    </row>
    <row r="694" spans="1:9" ht="75.75" customHeight="1">
      <c r="A694" s="16" t="s">
        <v>531</v>
      </c>
      <c r="B694" s="29" t="s">
        <v>699</v>
      </c>
      <c r="C694" s="29" t="s">
        <v>515</v>
      </c>
      <c r="D694" s="29" t="s">
        <v>17</v>
      </c>
      <c r="E694" s="29" t="s">
        <v>532</v>
      </c>
      <c r="F694" s="30"/>
      <c r="G694" s="31">
        <f>G695</f>
        <v>1680820</v>
      </c>
      <c r="H694" s="116"/>
      <c r="I694" s="31">
        <f t="shared" si="13"/>
        <v>1680820</v>
      </c>
    </row>
    <row r="695" spans="1:9" ht="38.25">
      <c r="A695" s="14" t="s">
        <v>554</v>
      </c>
      <c r="B695" s="29" t="s">
        <v>699</v>
      </c>
      <c r="C695" s="29" t="s">
        <v>515</v>
      </c>
      <c r="D695" s="29" t="s">
        <v>17</v>
      </c>
      <c r="E695" s="29" t="s">
        <v>761</v>
      </c>
      <c r="F695" s="30"/>
      <c r="G695" s="31">
        <f>G696</f>
        <v>1680820</v>
      </c>
      <c r="H695" s="31">
        <f>H696</f>
        <v>0</v>
      </c>
      <c r="I695" s="31">
        <f t="shared" si="13"/>
        <v>1680820</v>
      </c>
    </row>
    <row r="696" spans="1:9" ht="59.25" customHeight="1">
      <c r="A696" s="14" t="s">
        <v>763</v>
      </c>
      <c r="B696" s="29" t="s">
        <v>699</v>
      </c>
      <c r="C696" s="29" t="s">
        <v>515</v>
      </c>
      <c r="D696" s="29" t="s">
        <v>17</v>
      </c>
      <c r="E696" s="29" t="s">
        <v>762</v>
      </c>
      <c r="F696" s="30"/>
      <c r="G696" s="31">
        <f>G697+G698</f>
        <v>1680820</v>
      </c>
      <c r="H696" s="31">
        <f>H697+H698</f>
        <v>0</v>
      </c>
      <c r="I696" s="31">
        <f t="shared" si="13"/>
        <v>1680820</v>
      </c>
    </row>
    <row r="697" spans="1:9" ht="64.5">
      <c r="A697" s="35" t="s">
        <v>26</v>
      </c>
      <c r="B697" s="29" t="s">
        <v>699</v>
      </c>
      <c r="C697" s="29" t="s">
        <v>515</v>
      </c>
      <c r="D697" s="29" t="s">
        <v>17</v>
      </c>
      <c r="E697" s="29" t="s">
        <v>762</v>
      </c>
      <c r="F697" s="30" t="s">
        <v>27</v>
      </c>
      <c r="G697" s="31">
        <v>847020</v>
      </c>
      <c r="H697" s="116"/>
      <c r="I697" s="31">
        <f t="shared" si="13"/>
        <v>847020</v>
      </c>
    </row>
    <row r="698" spans="1:9" ht="15">
      <c r="A698" s="88" t="s">
        <v>211</v>
      </c>
      <c r="B698" s="29" t="s">
        <v>699</v>
      </c>
      <c r="C698" s="29" t="s">
        <v>515</v>
      </c>
      <c r="D698" s="29" t="s">
        <v>17</v>
      </c>
      <c r="E698" s="29" t="s">
        <v>762</v>
      </c>
      <c r="F698" s="30" t="s">
        <v>212</v>
      </c>
      <c r="G698" s="31">
        <v>833800</v>
      </c>
      <c r="H698" s="116"/>
      <c r="I698" s="31">
        <f t="shared" si="13"/>
        <v>833800</v>
      </c>
    </row>
    <row r="699" spans="1:9" ht="38.25">
      <c r="A699" s="121" t="s">
        <v>527</v>
      </c>
      <c r="B699" s="29" t="s">
        <v>699</v>
      </c>
      <c r="C699" s="29" t="s">
        <v>515</v>
      </c>
      <c r="D699" s="29" t="s">
        <v>17</v>
      </c>
      <c r="E699" s="29" t="s">
        <v>436</v>
      </c>
      <c r="F699" s="37"/>
      <c r="G699" s="31">
        <f>G700</f>
        <v>10000</v>
      </c>
      <c r="H699" s="116"/>
      <c r="I699" s="31">
        <f t="shared" si="13"/>
        <v>10000</v>
      </c>
    </row>
    <row r="700" spans="1:9" ht="77.25" customHeight="1">
      <c r="A700" s="13" t="s">
        <v>437</v>
      </c>
      <c r="B700" s="29" t="s">
        <v>699</v>
      </c>
      <c r="C700" s="29" t="s">
        <v>515</v>
      </c>
      <c r="D700" s="29" t="s">
        <v>17</v>
      </c>
      <c r="E700" s="29" t="s">
        <v>438</v>
      </c>
      <c r="F700" s="37"/>
      <c r="G700" s="31">
        <f>G701</f>
        <v>10000</v>
      </c>
      <c r="H700" s="116"/>
      <c r="I700" s="31">
        <f t="shared" si="13"/>
        <v>10000</v>
      </c>
    </row>
    <row r="701" spans="1:9" ht="45.75" customHeight="1">
      <c r="A701" s="59" t="s">
        <v>439</v>
      </c>
      <c r="B701" s="29" t="s">
        <v>699</v>
      </c>
      <c r="C701" s="29" t="s">
        <v>515</v>
      </c>
      <c r="D701" s="29" t="s">
        <v>17</v>
      </c>
      <c r="E701" s="29" t="s">
        <v>440</v>
      </c>
      <c r="F701" s="37"/>
      <c r="G701" s="31">
        <f>G702</f>
        <v>10000</v>
      </c>
      <c r="H701" s="116"/>
      <c r="I701" s="31">
        <f t="shared" si="13"/>
        <v>10000</v>
      </c>
    </row>
    <row r="702" spans="1:9" ht="42" customHeight="1">
      <c r="A702" s="59" t="s">
        <v>441</v>
      </c>
      <c r="B702" s="29" t="s">
        <v>699</v>
      </c>
      <c r="C702" s="29" t="s">
        <v>515</v>
      </c>
      <c r="D702" s="29" t="s">
        <v>17</v>
      </c>
      <c r="E702" s="29" t="s">
        <v>442</v>
      </c>
      <c r="F702" s="37"/>
      <c r="G702" s="31">
        <f>G703</f>
        <v>10000</v>
      </c>
      <c r="H702" s="116"/>
      <c r="I702" s="31">
        <f t="shared" si="13"/>
        <v>10000</v>
      </c>
    </row>
    <row r="703" spans="1:9" ht="26.25">
      <c r="A703" s="35" t="s">
        <v>38</v>
      </c>
      <c r="B703" s="29" t="s">
        <v>699</v>
      </c>
      <c r="C703" s="29" t="s">
        <v>515</v>
      </c>
      <c r="D703" s="29" t="s">
        <v>17</v>
      </c>
      <c r="E703" s="29" t="s">
        <v>442</v>
      </c>
      <c r="F703" s="30" t="s">
        <v>39</v>
      </c>
      <c r="G703" s="31">
        <v>10000</v>
      </c>
      <c r="H703" s="116"/>
      <c r="I703" s="31">
        <f t="shared" si="13"/>
        <v>10000</v>
      </c>
    </row>
    <row r="704" spans="1:9" ht="24" customHeight="1">
      <c r="A704" s="16" t="s">
        <v>530</v>
      </c>
      <c r="B704" s="29" t="s">
        <v>699</v>
      </c>
      <c r="C704" s="29" t="s">
        <v>240</v>
      </c>
      <c r="D704" s="29" t="s">
        <v>42</v>
      </c>
      <c r="E704" s="29"/>
      <c r="F704" s="30"/>
      <c r="G704" s="31">
        <f>G705</f>
        <v>3955851</v>
      </c>
      <c r="H704" s="116"/>
      <c r="I704" s="31">
        <f t="shared" si="13"/>
        <v>3955851</v>
      </c>
    </row>
    <row r="705" spans="1:9" ht="55.5" customHeight="1">
      <c r="A705" s="16" t="s">
        <v>512</v>
      </c>
      <c r="B705" s="29" t="s">
        <v>699</v>
      </c>
      <c r="C705" s="29" t="s">
        <v>240</v>
      </c>
      <c r="D705" s="29" t="s">
        <v>42</v>
      </c>
      <c r="E705" s="29" t="s">
        <v>513</v>
      </c>
      <c r="F705" s="30"/>
      <c r="G705" s="31">
        <f>G706</f>
        <v>3955851</v>
      </c>
      <c r="H705" s="116"/>
      <c r="I705" s="31">
        <f t="shared" si="13"/>
        <v>3955851</v>
      </c>
    </row>
    <row r="706" spans="1:9" ht="72" customHeight="1">
      <c r="A706" s="16" t="s">
        <v>531</v>
      </c>
      <c r="B706" s="29" t="s">
        <v>699</v>
      </c>
      <c r="C706" s="29" t="s">
        <v>240</v>
      </c>
      <c r="D706" s="29" t="s">
        <v>42</v>
      </c>
      <c r="E706" s="29" t="s">
        <v>532</v>
      </c>
      <c r="F706" s="30"/>
      <c r="G706" s="31">
        <f>G707+G712</f>
        <v>3955851</v>
      </c>
      <c r="H706" s="116"/>
      <c r="I706" s="31">
        <f t="shared" si="13"/>
        <v>3955851</v>
      </c>
    </row>
    <row r="707" spans="1:9" ht="46.5" customHeight="1">
      <c r="A707" s="86" t="s">
        <v>533</v>
      </c>
      <c r="B707" s="29" t="s">
        <v>699</v>
      </c>
      <c r="C707" s="29" t="s">
        <v>240</v>
      </c>
      <c r="D707" s="29" t="s">
        <v>42</v>
      </c>
      <c r="E707" s="29" t="s">
        <v>534</v>
      </c>
      <c r="F707" s="30"/>
      <c r="G707" s="31">
        <f>G708</f>
        <v>3945000</v>
      </c>
      <c r="H707" s="116"/>
      <c r="I707" s="31">
        <f t="shared" si="13"/>
        <v>3945000</v>
      </c>
    </row>
    <row r="708" spans="1:9" ht="32.25" customHeight="1">
      <c r="A708" s="16" t="s">
        <v>201</v>
      </c>
      <c r="B708" s="29" t="s">
        <v>699</v>
      </c>
      <c r="C708" s="29" t="s">
        <v>240</v>
      </c>
      <c r="D708" s="29" t="s">
        <v>42</v>
      </c>
      <c r="E708" s="29" t="s">
        <v>535</v>
      </c>
      <c r="F708" s="30"/>
      <c r="G708" s="31">
        <f>G709+G710+G711</f>
        <v>3945000</v>
      </c>
      <c r="H708" s="116"/>
      <c r="I708" s="31">
        <f t="shared" si="13"/>
        <v>3945000</v>
      </c>
    </row>
    <row r="709" spans="1:9" ht="69.75" customHeight="1">
      <c r="A709" s="35" t="s">
        <v>26</v>
      </c>
      <c r="B709" s="29" t="s">
        <v>699</v>
      </c>
      <c r="C709" s="29" t="s">
        <v>240</v>
      </c>
      <c r="D709" s="29" t="s">
        <v>42</v>
      </c>
      <c r="E709" s="29" t="s">
        <v>535</v>
      </c>
      <c r="F709" s="30" t="s">
        <v>27</v>
      </c>
      <c r="G709" s="31">
        <v>3632200</v>
      </c>
      <c r="H709" s="116"/>
      <c r="I709" s="31">
        <f t="shared" si="13"/>
        <v>3632200</v>
      </c>
    </row>
    <row r="710" spans="1:9" ht="25.5" customHeight="1">
      <c r="A710" s="35" t="s">
        <v>38</v>
      </c>
      <c r="B710" s="29" t="s">
        <v>699</v>
      </c>
      <c r="C710" s="29" t="s">
        <v>240</v>
      </c>
      <c r="D710" s="29" t="s">
        <v>42</v>
      </c>
      <c r="E710" s="29" t="s">
        <v>535</v>
      </c>
      <c r="F710" s="30" t="s">
        <v>39</v>
      </c>
      <c r="G710" s="31">
        <f>162800+50000+100000</f>
        <v>312800</v>
      </c>
      <c r="H710" s="116"/>
      <c r="I710" s="31">
        <f t="shared" si="13"/>
        <v>312800</v>
      </c>
    </row>
    <row r="711" spans="1:9" ht="16.5" customHeight="1" hidden="1">
      <c r="A711" s="48" t="s">
        <v>84</v>
      </c>
      <c r="B711" s="29" t="s">
        <v>699</v>
      </c>
      <c r="C711" s="29" t="s">
        <v>240</v>
      </c>
      <c r="D711" s="29" t="s">
        <v>42</v>
      </c>
      <c r="E711" s="29" t="s">
        <v>535</v>
      </c>
      <c r="F711" s="30" t="s">
        <v>85</v>
      </c>
      <c r="G711" s="31"/>
      <c r="H711" s="116"/>
      <c r="I711" s="31">
        <f t="shared" si="13"/>
        <v>0</v>
      </c>
    </row>
    <row r="712" spans="1:9" ht="60.75" customHeight="1">
      <c r="A712" s="87" t="s">
        <v>536</v>
      </c>
      <c r="B712" s="29" t="s">
        <v>699</v>
      </c>
      <c r="C712" s="29" t="s">
        <v>240</v>
      </c>
      <c r="D712" s="29" t="s">
        <v>42</v>
      </c>
      <c r="E712" s="29" t="s">
        <v>537</v>
      </c>
      <c r="F712" s="30"/>
      <c r="G712" s="31">
        <f>G713</f>
        <v>10851</v>
      </c>
      <c r="H712" s="116"/>
      <c r="I712" s="31">
        <f t="shared" si="13"/>
        <v>10851</v>
      </c>
    </row>
    <row r="713" spans="1:9" ht="59.25" customHeight="1">
      <c r="A713" s="8" t="s">
        <v>538</v>
      </c>
      <c r="B713" s="29" t="s">
        <v>699</v>
      </c>
      <c r="C713" s="29" t="s">
        <v>240</v>
      </c>
      <c r="D713" s="29" t="s">
        <v>42</v>
      </c>
      <c r="E713" s="29" t="s">
        <v>539</v>
      </c>
      <c r="F713" s="30"/>
      <c r="G713" s="31">
        <f>G714</f>
        <v>10851</v>
      </c>
      <c r="H713" s="116"/>
      <c r="I713" s="31">
        <f t="shared" si="13"/>
        <v>10851</v>
      </c>
    </row>
    <row r="714" spans="1:9" ht="70.5" customHeight="1">
      <c r="A714" s="35" t="s">
        <v>26</v>
      </c>
      <c r="B714" s="29" t="s">
        <v>699</v>
      </c>
      <c r="C714" s="29" t="s">
        <v>240</v>
      </c>
      <c r="D714" s="29" t="s">
        <v>42</v>
      </c>
      <c r="E714" s="29" t="s">
        <v>539</v>
      </c>
      <c r="F714" s="30" t="s">
        <v>27</v>
      </c>
      <c r="G714" s="31">
        <f>59958-49107</f>
        <v>10851</v>
      </c>
      <c r="H714" s="116"/>
      <c r="I714" s="31">
        <f t="shared" si="13"/>
        <v>10851</v>
      </c>
    </row>
    <row r="715" spans="1:9" ht="15">
      <c r="A715" s="16" t="s">
        <v>544</v>
      </c>
      <c r="B715" s="29" t="s">
        <v>699</v>
      </c>
      <c r="C715" s="29">
        <v>10</v>
      </c>
      <c r="D715" s="29"/>
      <c r="E715" s="29"/>
      <c r="F715" s="30"/>
      <c r="G715" s="31">
        <f aca="true" t="shared" si="14" ref="G715:G720">G716</f>
        <v>695149</v>
      </c>
      <c r="H715" s="116"/>
      <c r="I715" s="31">
        <f t="shared" si="13"/>
        <v>695149</v>
      </c>
    </row>
    <row r="716" spans="1:9" ht="15">
      <c r="A716" s="16" t="s">
        <v>553</v>
      </c>
      <c r="B716" s="29" t="s">
        <v>699</v>
      </c>
      <c r="C716" s="29">
        <v>10</v>
      </c>
      <c r="D716" s="29" t="s">
        <v>29</v>
      </c>
      <c r="E716" s="29"/>
      <c r="F716" s="30"/>
      <c r="G716" s="31">
        <f t="shared" si="14"/>
        <v>695149</v>
      </c>
      <c r="H716" s="116"/>
      <c r="I716" s="31">
        <f t="shared" si="13"/>
        <v>695149</v>
      </c>
    </row>
    <row r="717" spans="1:9" ht="44.25" customHeight="1">
      <c r="A717" s="16" t="s">
        <v>512</v>
      </c>
      <c r="B717" s="29" t="s">
        <v>699</v>
      </c>
      <c r="C717" s="29">
        <v>10</v>
      </c>
      <c r="D717" s="29" t="s">
        <v>29</v>
      </c>
      <c r="E717" s="29" t="s">
        <v>513</v>
      </c>
      <c r="F717" s="30"/>
      <c r="G717" s="31">
        <f t="shared" si="14"/>
        <v>695149</v>
      </c>
      <c r="H717" s="116"/>
      <c r="I717" s="31">
        <f>G717+H717</f>
        <v>695149</v>
      </c>
    </row>
    <row r="718" spans="1:9" ht="75.75" customHeight="1">
      <c r="A718" s="16" t="s">
        <v>531</v>
      </c>
      <c r="B718" s="29" t="s">
        <v>699</v>
      </c>
      <c r="C718" s="29">
        <v>10</v>
      </c>
      <c r="D718" s="29" t="s">
        <v>29</v>
      </c>
      <c r="E718" s="29" t="s">
        <v>532</v>
      </c>
      <c r="F718" s="30"/>
      <c r="G718" s="31">
        <f t="shared" si="14"/>
        <v>695149</v>
      </c>
      <c r="H718" s="116"/>
      <c r="I718" s="31">
        <f>G718+H718</f>
        <v>695149</v>
      </c>
    </row>
    <row r="719" spans="1:9" ht="45.75" customHeight="1">
      <c r="A719" s="14" t="s">
        <v>554</v>
      </c>
      <c r="B719" s="29" t="s">
        <v>699</v>
      </c>
      <c r="C719" s="29">
        <v>10</v>
      </c>
      <c r="D719" s="29" t="s">
        <v>29</v>
      </c>
      <c r="E719" s="29" t="s">
        <v>555</v>
      </c>
      <c r="F719" s="30"/>
      <c r="G719" s="31">
        <f t="shared" si="14"/>
        <v>695149</v>
      </c>
      <c r="H719" s="116"/>
      <c r="I719" s="31">
        <f>G719+H719</f>
        <v>695149</v>
      </c>
    </row>
    <row r="720" spans="1:9" ht="71.25" customHeight="1">
      <c r="A720" s="118" t="s">
        <v>556</v>
      </c>
      <c r="B720" s="29" t="s">
        <v>699</v>
      </c>
      <c r="C720" s="29">
        <v>10</v>
      </c>
      <c r="D720" s="29" t="s">
        <v>29</v>
      </c>
      <c r="E720" s="47" t="s">
        <v>557</v>
      </c>
      <c r="F720" s="30"/>
      <c r="G720" s="31">
        <f t="shared" si="14"/>
        <v>695149</v>
      </c>
      <c r="H720" s="116"/>
      <c r="I720" s="31">
        <f>G720+H720</f>
        <v>695149</v>
      </c>
    </row>
    <row r="721" spans="1:9" ht="18" customHeight="1">
      <c r="A721" s="48" t="s">
        <v>211</v>
      </c>
      <c r="B721" s="29" t="s">
        <v>699</v>
      </c>
      <c r="C721" s="29">
        <v>10</v>
      </c>
      <c r="D721" s="29" t="s">
        <v>29</v>
      </c>
      <c r="E721" s="47" t="s">
        <v>557</v>
      </c>
      <c r="F721" s="30" t="s">
        <v>212</v>
      </c>
      <c r="G721" s="31">
        <f>1665442+8-887585-82716</f>
        <v>695149</v>
      </c>
      <c r="H721" s="116"/>
      <c r="I721" s="31">
        <f>G721+H721</f>
        <v>695149</v>
      </c>
    </row>
    <row r="722" spans="2:6" ht="15">
      <c r="B722" s="92"/>
      <c r="C722" s="92"/>
      <c r="D722" s="92"/>
      <c r="E722" s="92"/>
      <c r="F722" s="93"/>
    </row>
    <row r="723" spans="2:6" ht="15">
      <c r="B723" s="92"/>
      <c r="C723" s="92"/>
      <c r="D723" s="92"/>
      <c r="E723" s="92"/>
      <c r="F723" s="93"/>
    </row>
    <row r="724" spans="2:6" ht="15">
      <c r="B724" s="92"/>
      <c r="C724" s="92"/>
      <c r="D724" s="92"/>
      <c r="E724" s="92"/>
      <c r="F724" s="93"/>
    </row>
    <row r="725" spans="2:6" ht="15">
      <c r="B725" s="92"/>
      <c r="C725" s="92"/>
      <c r="D725" s="92"/>
      <c r="E725" s="92"/>
      <c r="F725" s="93"/>
    </row>
    <row r="726" spans="2:6" ht="15">
      <c r="B726" s="92"/>
      <c r="C726" s="92"/>
      <c r="D726" s="92"/>
      <c r="E726" s="92"/>
      <c r="F726" s="93"/>
    </row>
    <row r="727" spans="2:6" ht="15">
      <c r="B727" s="92"/>
      <c r="C727" s="92"/>
      <c r="D727" s="92"/>
      <c r="E727" s="92"/>
      <c r="F727" s="93"/>
    </row>
    <row r="728" spans="2:6" ht="15">
      <c r="B728" s="92"/>
      <c r="C728" s="92"/>
      <c r="D728" s="92"/>
      <c r="E728" s="92"/>
      <c r="F728" s="93"/>
    </row>
    <row r="729" spans="2:6" ht="15">
      <c r="B729" s="92"/>
      <c r="C729" s="92"/>
      <c r="D729" s="92"/>
      <c r="E729" s="92"/>
      <c r="F729" s="93"/>
    </row>
    <row r="730" spans="2:6" ht="15">
      <c r="B730" s="92"/>
      <c r="C730" s="92"/>
      <c r="D730" s="92"/>
      <c r="E730" s="92"/>
      <c r="F730" s="93"/>
    </row>
    <row r="731" spans="2:6" ht="15">
      <c r="B731" s="92"/>
      <c r="C731" s="92"/>
      <c r="D731" s="92"/>
      <c r="E731" s="92"/>
      <c r="F731" s="93"/>
    </row>
    <row r="732" spans="2:6" ht="15">
      <c r="B732" s="92"/>
      <c r="C732" s="92"/>
      <c r="D732" s="92"/>
      <c r="E732" s="92"/>
      <c r="F732" s="93"/>
    </row>
    <row r="733" ht="15">
      <c r="B733" s="92"/>
    </row>
    <row r="734" ht="15">
      <c r="B734" s="92"/>
    </row>
    <row r="735" ht="15">
      <c r="B735" s="92"/>
    </row>
    <row r="736" ht="15">
      <c r="B736" s="92"/>
    </row>
    <row r="737" ht="15">
      <c r="B737" s="92"/>
    </row>
  </sheetData>
  <sheetProtection/>
  <mergeCells count="12">
    <mergeCell ref="D2:I2"/>
    <mergeCell ref="D3:I3"/>
    <mergeCell ref="A5:I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hyperlinks>
    <hyperlink ref="A293" r:id="rId1" display="consultantplus://offline/ref=C6EF3AE28B6C46D1117CBBA251A07B11C6C7C5768D606C8B0E322DA1BBA42282C9440EEF08E6CC43400230U6VFM"/>
  </hyperlinks>
  <printOptions/>
  <pageMargins left="0.7086614173228347" right="0.23" top="0.37" bottom="0.38" header="0.31496062992125984" footer="0.31496062992125984"/>
  <pageSetup horizontalDpi="600" verticalDpi="600" orientation="portrait" paperSize="9" scale="8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53"/>
  <sheetViews>
    <sheetView view="pageBreakPreview" zoomScale="60" zoomScalePageLayoutView="0" workbookViewId="0" topLeftCell="A1">
      <selection activeCell="E13" sqref="E13"/>
    </sheetView>
  </sheetViews>
  <sheetFormatPr defaultColWidth="9.00390625" defaultRowHeight="12.75"/>
  <cols>
    <col min="1" max="1" width="47.75390625" style="2" customWidth="1"/>
    <col min="2" max="2" width="5.125" style="18" customWidth="1"/>
    <col min="3" max="3" width="5.25390625" style="18" customWidth="1"/>
    <col min="4" max="4" width="5.00390625" style="18" customWidth="1"/>
    <col min="5" max="5" width="17.125" style="18" customWidth="1"/>
    <col min="6" max="6" width="4.75390625" style="95" customWidth="1"/>
    <col min="7" max="7" width="16.75390625" style="94" hidden="1" customWidth="1"/>
    <col min="8" max="8" width="12.25390625" style="108" hidden="1" customWidth="1"/>
    <col min="9" max="9" width="16.00390625" style="94" customWidth="1"/>
    <col min="10" max="10" width="16.75390625" style="94" hidden="1" customWidth="1"/>
    <col min="11" max="11" width="12.25390625" style="108" hidden="1" customWidth="1"/>
    <col min="12" max="12" width="18.25390625" style="94" customWidth="1"/>
    <col min="13" max="13" width="9.125" style="1" customWidth="1"/>
    <col min="14" max="14" width="15.625" style="1" customWidth="1"/>
    <col min="15" max="15" width="14.875" style="1" customWidth="1"/>
    <col min="16" max="16" width="13.75390625" style="1" customWidth="1"/>
    <col min="17" max="17" width="15.375" style="1" customWidth="1"/>
    <col min="18" max="18" width="14.875" style="1" customWidth="1"/>
    <col min="19" max="19" width="13.875" style="1" customWidth="1"/>
    <col min="20" max="16384" width="9.125" style="1" customWidth="1"/>
  </cols>
  <sheetData>
    <row r="1" spans="2:11" ht="15">
      <c r="B1" s="97"/>
      <c r="D1" s="97"/>
      <c r="E1" s="97" t="s">
        <v>707</v>
      </c>
      <c r="F1" s="98"/>
      <c r="H1" s="104"/>
      <c r="K1" s="104"/>
    </row>
    <row r="2" spans="2:12" ht="57" customHeight="1">
      <c r="B2" s="105"/>
      <c r="C2" s="97"/>
      <c r="D2" s="97"/>
      <c r="E2" s="237" t="s">
        <v>768</v>
      </c>
      <c r="F2" s="237"/>
      <c r="G2" s="237"/>
      <c r="H2" s="237"/>
      <c r="I2" s="237"/>
      <c r="J2" s="237"/>
      <c r="K2" s="237"/>
      <c r="L2" s="237"/>
    </row>
    <row r="3" spans="1:12" ht="30.75" customHeight="1">
      <c r="A3" s="106"/>
      <c r="B3" s="234"/>
      <c r="C3" s="234"/>
      <c r="D3" s="234"/>
      <c r="E3" s="238" t="s">
        <v>775</v>
      </c>
      <c r="F3" s="238"/>
      <c r="G3" s="238"/>
      <c r="H3" s="238"/>
      <c r="I3" s="238"/>
      <c r="J3" s="238"/>
      <c r="K3" s="238"/>
      <c r="L3" s="238"/>
    </row>
    <row r="4" spans="1:12" ht="12.75">
      <c r="A4" s="106"/>
      <c r="B4" s="99"/>
      <c r="C4" s="99"/>
      <c r="D4" s="99"/>
      <c r="E4" s="99"/>
      <c r="F4" s="99"/>
      <c r="G4" s="107"/>
      <c r="H4" s="99"/>
      <c r="I4" s="99"/>
      <c r="J4" s="107"/>
      <c r="K4" s="99"/>
      <c r="L4" s="99"/>
    </row>
    <row r="5" spans="1:12" ht="54" customHeight="1">
      <c r="A5" s="239" t="s">
        <v>708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2" ht="27.75" customHeight="1" thickBo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27.75" customHeight="1">
      <c r="A7" s="263" t="s">
        <v>5</v>
      </c>
      <c r="B7" s="249" t="s">
        <v>661</v>
      </c>
      <c r="C7" s="249" t="s">
        <v>6</v>
      </c>
      <c r="D7" s="249" t="s">
        <v>7</v>
      </c>
      <c r="E7" s="251" t="s">
        <v>8</v>
      </c>
      <c r="F7" s="251" t="s">
        <v>9</v>
      </c>
      <c r="G7" s="253" t="s">
        <v>709</v>
      </c>
      <c r="H7" s="255" t="s">
        <v>663</v>
      </c>
      <c r="I7" s="257" t="s">
        <v>710</v>
      </c>
      <c r="J7" s="259" t="s">
        <v>711</v>
      </c>
      <c r="K7" s="255" t="s">
        <v>663</v>
      </c>
      <c r="L7" s="261" t="s">
        <v>712</v>
      </c>
    </row>
    <row r="8" spans="1:12" ht="3.75" customHeight="1" thickBot="1">
      <c r="A8" s="264"/>
      <c r="B8" s="250"/>
      <c r="C8" s="250"/>
      <c r="D8" s="250"/>
      <c r="E8" s="252"/>
      <c r="F8" s="252"/>
      <c r="G8" s="254"/>
      <c r="H8" s="256"/>
      <c r="I8" s="258"/>
      <c r="J8" s="260"/>
      <c r="K8" s="256"/>
      <c r="L8" s="262"/>
    </row>
    <row r="9" spans="1:12" s="28" customFormat="1" ht="12.75" customHeight="1">
      <c r="A9" s="130">
        <v>1</v>
      </c>
      <c r="B9" s="131">
        <v>2</v>
      </c>
      <c r="C9" s="131" t="s">
        <v>12</v>
      </c>
      <c r="D9" s="131" t="s">
        <v>13</v>
      </c>
      <c r="E9" s="132" t="s">
        <v>14</v>
      </c>
      <c r="F9" s="132" t="s">
        <v>664</v>
      </c>
      <c r="G9" s="133"/>
      <c r="H9" s="133"/>
      <c r="I9" s="133" t="s">
        <v>665</v>
      </c>
      <c r="J9" s="133"/>
      <c r="K9" s="133"/>
      <c r="L9" s="134">
        <v>8</v>
      </c>
    </row>
    <row r="10" spans="1:15" s="34" customFormat="1" ht="20.25">
      <c r="A10" s="135" t="s">
        <v>15</v>
      </c>
      <c r="B10" s="29"/>
      <c r="C10" s="29"/>
      <c r="D10" s="29"/>
      <c r="E10" s="29"/>
      <c r="F10" s="30"/>
      <c r="G10" s="31">
        <f>G12+G398+G592+G11</f>
        <v>643389098</v>
      </c>
      <c r="H10" s="31">
        <f>H12+H398+H592</f>
        <v>8321800</v>
      </c>
      <c r="I10" s="31">
        <f>G10+H10</f>
        <v>651710898</v>
      </c>
      <c r="J10" s="31">
        <f>J12+J398+J592+J11</f>
        <v>645503756</v>
      </c>
      <c r="K10" s="31">
        <f>K12+K398+K592</f>
        <v>8321800</v>
      </c>
      <c r="L10" s="31">
        <f>J10+K10</f>
        <v>653825556</v>
      </c>
      <c r="N10" s="100"/>
      <c r="O10" s="100"/>
    </row>
    <row r="11" spans="1:15" s="34" customFormat="1" ht="20.25">
      <c r="A11" s="16" t="s">
        <v>640</v>
      </c>
      <c r="B11" s="29"/>
      <c r="C11" s="29"/>
      <c r="D11" s="29"/>
      <c r="E11" s="29"/>
      <c r="F11" s="30"/>
      <c r="G11" s="31">
        <v>4067500</v>
      </c>
      <c r="H11" s="31"/>
      <c r="I11" s="31">
        <f>G11+H11</f>
        <v>4067500</v>
      </c>
      <c r="J11" s="31">
        <v>8097300</v>
      </c>
      <c r="K11" s="31"/>
      <c r="L11" s="31">
        <f>J11+K11</f>
        <v>8097300</v>
      </c>
      <c r="N11" s="100"/>
      <c r="O11" s="100"/>
    </row>
    <row r="12" spans="1:12" ht="27" customHeight="1">
      <c r="A12" s="15" t="s">
        <v>666</v>
      </c>
      <c r="B12" s="29" t="s">
        <v>667</v>
      </c>
      <c r="C12" s="29"/>
      <c r="D12" s="29"/>
      <c r="E12" s="29"/>
      <c r="F12" s="30"/>
      <c r="G12" s="31">
        <f>G13+G179+G198+G272+G300+G316+G324+G391+G293+G368+G384</f>
        <v>132243001</v>
      </c>
      <c r="H12" s="31">
        <f>H13+H179+H198+H272+H300+H316+H324+H391+H293+H368+H384</f>
        <v>0</v>
      </c>
      <c r="I12" s="31">
        <f>G12+H12</f>
        <v>132243001</v>
      </c>
      <c r="J12" s="31">
        <f>J13+J179+J198+J272+J300+J316+J324+J391+J293+J368+J384</f>
        <v>130520923</v>
      </c>
      <c r="K12" s="31">
        <f>K13+K179+K198+K272+K300+K316+K324+K391+K293+K368+K384</f>
        <v>0</v>
      </c>
      <c r="L12" s="31">
        <f>J12+K12</f>
        <v>130520923</v>
      </c>
    </row>
    <row r="13" spans="1:12" ht="15">
      <c r="A13" s="16" t="s">
        <v>16</v>
      </c>
      <c r="B13" s="29" t="s">
        <v>667</v>
      </c>
      <c r="C13" s="29" t="s">
        <v>17</v>
      </c>
      <c r="D13" s="29"/>
      <c r="E13" s="29"/>
      <c r="F13" s="30"/>
      <c r="G13" s="31">
        <f>G14+G19+G28+G91+G96+G79+G74+G86</f>
        <v>34250701</v>
      </c>
      <c r="H13" s="116"/>
      <c r="I13" s="31">
        <f>G13+H13</f>
        <v>34250701</v>
      </c>
      <c r="J13" s="31">
        <f>J14+J19+J28+J91+J96+J79+J74+J86</f>
        <v>33319279</v>
      </c>
      <c r="K13" s="116"/>
      <c r="L13" s="31">
        <f>J13+K13</f>
        <v>33319279</v>
      </c>
    </row>
    <row r="14" spans="1:12" ht="28.5" customHeight="1">
      <c r="A14" s="8" t="s">
        <v>18</v>
      </c>
      <c r="B14" s="29" t="s">
        <v>667</v>
      </c>
      <c r="C14" s="29" t="s">
        <v>17</v>
      </c>
      <c r="D14" s="29" t="s">
        <v>19</v>
      </c>
      <c r="E14" s="29"/>
      <c r="F14" s="30"/>
      <c r="G14" s="31">
        <f>G16</f>
        <v>1280100</v>
      </c>
      <c r="H14" s="116"/>
      <c r="I14" s="31">
        <f>G14+H14</f>
        <v>1280100</v>
      </c>
      <c r="J14" s="31">
        <f>J16</f>
        <v>1229100</v>
      </c>
      <c r="K14" s="116"/>
      <c r="L14" s="31">
        <f>J14+K14</f>
        <v>1229100</v>
      </c>
    </row>
    <row r="15" spans="1:12" ht="27" customHeight="1">
      <c r="A15" s="35" t="s">
        <v>20</v>
      </c>
      <c r="B15" s="29" t="s">
        <v>667</v>
      </c>
      <c r="C15" s="29" t="s">
        <v>17</v>
      </c>
      <c r="D15" s="29" t="s">
        <v>19</v>
      </c>
      <c r="E15" s="36" t="s">
        <v>21</v>
      </c>
      <c r="F15" s="30"/>
      <c r="G15" s="31">
        <f>G16</f>
        <v>1280100</v>
      </c>
      <c r="H15" s="116"/>
      <c r="I15" s="31">
        <f aca="true" t="shared" si="0" ref="I15:I93">G15+H15</f>
        <v>1280100</v>
      </c>
      <c r="J15" s="31">
        <f>J16</f>
        <v>1229100</v>
      </c>
      <c r="K15" s="116"/>
      <c r="L15" s="31">
        <f aca="true" t="shared" si="1" ref="L15:L65">J15+K15</f>
        <v>1229100</v>
      </c>
    </row>
    <row r="16" spans="1:12" ht="17.25" customHeight="1">
      <c r="A16" s="16" t="s">
        <v>22</v>
      </c>
      <c r="B16" s="29" t="s">
        <v>667</v>
      </c>
      <c r="C16" s="29" t="s">
        <v>17</v>
      </c>
      <c r="D16" s="29" t="s">
        <v>19</v>
      </c>
      <c r="E16" s="36" t="s">
        <v>23</v>
      </c>
      <c r="F16" s="30"/>
      <c r="G16" s="31">
        <f>G18</f>
        <v>1280100</v>
      </c>
      <c r="H16" s="116"/>
      <c r="I16" s="31">
        <f t="shared" si="0"/>
        <v>1280100</v>
      </c>
      <c r="J16" s="31">
        <f>J18</f>
        <v>1229100</v>
      </c>
      <c r="K16" s="116"/>
      <c r="L16" s="31">
        <f t="shared" si="1"/>
        <v>1229100</v>
      </c>
    </row>
    <row r="17" spans="1:12" ht="30" customHeight="1">
      <c r="A17" s="8" t="s">
        <v>24</v>
      </c>
      <c r="B17" s="29" t="s">
        <v>667</v>
      </c>
      <c r="C17" s="29" t="s">
        <v>17</v>
      </c>
      <c r="D17" s="29" t="s">
        <v>19</v>
      </c>
      <c r="E17" s="36" t="s">
        <v>25</v>
      </c>
      <c r="F17" s="30"/>
      <c r="G17" s="31">
        <f>G18</f>
        <v>1280100</v>
      </c>
      <c r="H17" s="116"/>
      <c r="I17" s="31">
        <f t="shared" si="0"/>
        <v>1280100</v>
      </c>
      <c r="J17" s="31">
        <f>J18</f>
        <v>1229100</v>
      </c>
      <c r="K17" s="116"/>
      <c r="L17" s="31">
        <f t="shared" si="1"/>
        <v>1229100</v>
      </c>
    </row>
    <row r="18" spans="1:12" ht="41.25" customHeight="1">
      <c r="A18" s="35" t="s">
        <v>26</v>
      </c>
      <c r="B18" s="29" t="s">
        <v>667</v>
      </c>
      <c r="C18" s="29" t="s">
        <v>17</v>
      </c>
      <c r="D18" s="29" t="s">
        <v>19</v>
      </c>
      <c r="E18" s="36" t="s">
        <v>25</v>
      </c>
      <c r="F18" s="37" t="s">
        <v>27</v>
      </c>
      <c r="G18" s="31">
        <f>1639500-359400</f>
        <v>1280100</v>
      </c>
      <c r="H18" s="116"/>
      <c r="I18" s="31">
        <f t="shared" si="0"/>
        <v>1280100</v>
      </c>
      <c r="J18" s="31">
        <f>1639500-359400-51000</f>
        <v>1229100</v>
      </c>
      <c r="K18" s="116"/>
      <c r="L18" s="31">
        <f t="shared" si="1"/>
        <v>1229100</v>
      </c>
    </row>
    <row r="19" spans="1:12" ht="42" customHeight="1">
      <c r="A19" s="8" t="s">
        <v>28</v>
      </c>
      <c r="B19" s="29" t="s">
        <v>667</v>
      </c>
      <c r="C19" s="29" t="s">
        <v>17</v>
      </c>
      <c r="D19" s="29" t="s">
        <v>29</v>
      </c>
      <c r="E19" s="29"/>
      <c r="F19" s="30"/>
      <c r="G19" s="31">
        <f>G20</f>
        <v>1995800</v>
      </c>
      <c r="H19" s="116"/>
      <c r="I19" s="31">
        <f t="shared" si="0"/>
        <v>1995800</v>
      </c>
      <c r="J19" s="31">
        <f>J20</f>
        <v>1916200</v>
      </c>
      <c r="K19" s="116"/>
      <c r="L19" s="31">
        <f t="shared" si="1"/>
        <v>1916200</v>
      </c>
    </row>
    <row r="20" spans="1:12" ht="30.75" customHeight="1">
      <c r="A20" s="35" t="s">
        <v>30</v>
      </c>
      <c r="B20" s="29" t="s">
        <v>667</v>
      </c>
      <c r="C20" s="29" t="s">
        <v>17</v>
      </c>
      <c r="D20" s="29" t="s">
        <v>29</v>
      </c>
      <c r="E20" s="36" t="s">
        <v>31</v>
      </c>
      <c r="F20" s="30"/>
      <c r="G20" s="31">
        <f>G21+G24</f>
        <v>1995800</v>
      </c>
      <c r="H20" s="116"/>
      <c r="I20" s="31">
        <f t="shared" si="0"/>
        <v>1995800</v>
      </c>
      <c r="J20" s="31">
        <f>J21+J24</f>
        <v>1916200</v>
      </c>
      <c r="K20" s="116"/>
      <c r="L20" s="31">
        <f t="shared" si="1"/>
        <v>1916200</v>
      </c>
    </row>
    <row r="21" spans="1:12" ht="26.25" customHeight="1">
      <c r="A21" s="16" t="s">
        <v>32</v>
      </c>
      <c r="B21" s="29" t="s">
        <v>667</v>
      </c>
      <c r="C21" s="29" t="s">
        <v>17</v>
      </c>
      <c r="D21" s="29" t="s">
        <v>29</v>
      </c>
      <c r="E21" s="36" t="s">
        <v>33</v>
      </c>
      <c r="F21" s="30"/>
      <c r="G21" s="31">
        <f>G22</f>
        <v>716600</v>
      </c>
      <c r="H21" s="116"/>
      <c r="I21" s="31">
        <f t="shared" si="0"/>
        <v>716600</v>
      </c>
      <c r="J21" s="31">
        <f>J22</f>
        <v>688000</v>
      </c>
      <c r="K21" s="116"/>
      <c r="L21" s="31">
        <f t="shared" si="1"/>
        <v>688000</v>
      </c>
    </row>
    <row r="22" spans="1:12" ht="26.25">
      <c r="A22" s="8" t="s">
        <v>24</v>
      </c>
      <c r="B22" s="29" t="s">
        <v>667</v>
      </c>
      <c r="C22" s="29" t="s">
        <v>17</v>
      </c>
      <c r="D22" s="29" t="s">
        <v>29</v>
      </c>
      <c r="E22" s="36" t="s">
        <v>34</v>
      </c>
      <c r="F22" s="37"/>
      <c r="G22" s="31">
        <f>G23</f>
        <v>716600</v>
      </c>
      <c r="H22" s="116"/>
      <c r="I22" s="31">
        <f t="shared" si="0"/>
        <v>716600</v>
      </c>
      <c r="J22" s="31">
        <f>J23</f>
        <v>688000</v>
      </c>
      <c r="K22" s="116"/>
      <c r="L22" s="31">
        <f t="shared" si="1"/>
        <v>688000</v>
      </c>
    </row>
    <row r="23" spans="1:12" ht="72.75" customHeight="1">
      <c r="A23" s="35" t="s">
        <v>26</v>
      </c>
      <c r="B23" s="29" t="s">
        <v>667</v>
      </c>
      <c r="C23" s="29" t="s">
        <v>17</v>
      </c>
      <c r="D23" s="29" t="s">
        <v>29</v>
      </c>
      <c r="E23" s="36" t="s">
        <v>34</v>
      </c>
      <c r="F23" s="37" t="s">
        <v>27</v>
      </c>
      <c r="G23" s="31">
        <f>918600-202000</f>
        <v>716600</v>
      </c>
      <c r="H23" s="116"/>
      <c r="I23" s="31">
        <f t="shared" si="0"/>
        <v>716600</v>
      </c>
      <c r="J23" s="31">
        <f>918600-202000-28600</f>
        <v>688000</v>
      </c>
      <c r="K23" s="116"/>
      <c r="L23" s="31">
        <f t="shared" si="1"/>
        <v>688000</v>
      </c>
    </row>
    <row r="24" spans="1:12" ht="39" customHeight="1">
      <c r="A24" s="16" t="s">
        <v>35</v>
      </c>
      <c r="B24" s="29" t="s">
        <v>667</v>
      </c>
      <c r="C24" s="29" t="s">
        <v>17</v>
      </c>
      <c r="D24" s="29" t="s">
        <v>29</v>
      </c>
      <c r="E24" s="36" t="s">
        <v>36</v>
      </c>
      <c r="F24" s="37"/>
      <c r="G24" s="31">
        <f>G25</f>
        <v>1279200</v>
      </c>
      <c r="H24" s="116"/>
      <c r="I24" s="31">
        <f t="shared" si="0"/>
        <v>1279200</v>
      </c>
      <c r="J24" s="31">
        <f>J25</f>
        <v>1228200</v>
      </c>
      <c r="K24" s="116"/>
      <c r="L24" s="31">
        <f t="shared" si="1"/>
        <v>1228200</v>
      </c>
    </row>
    <row r="25" spans="1:12" ht="27.75" customHeight="1">
      <c r="A25" s="8" t="s">
        <v>24</v>
      </c>
      <c r="B25" s="29" t="s">
        <v>667</v>
      </c>
      <c r="C25" s="29" t="s">
        <v>17</v>
      </c>
      <c r="D25" s="29" t="s">
        <v>29</v>
      </c>
      <c r="E25" s="36" t="s">
        <v>37</v>
      </c>
      <c r="F25" s="37"/>
      <c r="G25" s="31">
        <f>G26+G27</f>
        <v>1279200</v>
      </c>
      <c r="H25" s="116"/>
      <c r="I25" s="31">
        <f t="shared" si="0"/>
        <v>1279200</v>
      </c>
      <c r="J25" s="31">
        <f>J26+J27</f>
        <v>1228200</v>
      </c>
      <c r="K25" s="116"/>
      <c r="L25" s="31">
        <f t="shared" si="1"/>
        <v>1228200</v>
      </c>
    </row>
    <row r="26" spans="1:12" ht="64.5">
      <c r="A26" s="35" t="s">
        <v>26</v>
      </c>
      <c r="B26" s="29" t="s">
        <v>667</v>
      </c>
      <c r="C26" s="29" t="s">
        <v>17</v>
      </c>
      <c r="D26" s="29" t="s">
        <v>29</v>
      </c>
      <c r="E26" s="36" t="s">
        <v>37</v>
      </c>
      <c r="F26" s="37" t="s">
        <v>27</v>
      </c>
      <c r="G26" s="31">
        <f>1638200-360000</f>
        <v>1278200</v>
      </c>
      <c r="H26" s="116"/>
      <c r="I26" s="31">
        <f t="shared" si="0"/>
        <v>1278200</v>
      </c>
      <c r="J26" s="31">
        <f>1638200-360000-51000</f>
        <v>1227200</v>
      </c>
      <c r="K26" s="116"/>
      <c r="L26" s="31">
        <f t="shared" si="1"/>
        <v>1227200</v>
      </c>
    </row>
    <row r="27" spans="1:12" ht="26.25">
      <c r="A27" s="35" t="s">
        <v>38</v>
      </c>
      <c r="B27" s="29" t="s">
        <v>667</v>
      </c>
      <c r="C27" s="29" t="s">
        <v>17</v>
      </c>
      <c r="D27" s="29" t="s">
        <v>29</v>
      </c>
      <c r="E27" s="36" t="s">
        <v>37</v>
      </c>
      <c r="F27" s="37" t="s">
        <v>39</v>
      </c>
      <c r="G27" s="31">
        <v>1000</v>
      </c>
      <c r="H27" s="116"/>
      <c r="I27" s="31">
        <f t="shared" si="0"/>
        <v>1000</v>
      </c>
      <c r="J27" s="31">
        <v>1000</v>
      </c>
      <c r="K27" s="116"/>
      <c r="L27" s="31">
        <f t="shared" si="1"/>
        <v>1000</v>
      </c>
    </row>
    <row r="28" spans="1:12" ht="51.75">
      <c r="A28" s="8" t="s">
        <v>40</v>
      </c>
      <c r="B28" s="29" t="s">
        <v>667</v>
      </c>
      <c r="C28" s="29" t="s">
        <v>41</v>
      </c>
      <c r="D28" s="29" t="s">
        <v>42</v>
      </c>
      <c r="E28" s="29"/>
      <c r="F28" s="30"/>
      <c r="G28" s="31">
        <f>G29+G49+G66+G58+G43</f>
        <v>20128917</v>
      </c>
      <c r="H28" s="116"/>
      <c r="I28" s="31">
        <f t="shared" si="0"/>
        <v>20128917</v>
      </c>
      <c r="J28" s="31">
        <f>J29+J49+J66+J58+J43</f>
        <v>19559316</v>
      </c>
      <c r="K28" s="116"/>
      <c r="L28" s="31">
        <f t="shared" si="1"/>
        <v>19559316</v>
      </c>
    </row>
    <row r="29" spans="1:12" ht="42" customHeight="1">
      <c r="A29" s="16" t="s">
        <v>43</v>
      </c>
      <c r="B29" s="29" t="s">
        <v>667</v>
      </c>
      <c r="C29" s="29" t="s">
        <v>41</v>
      </c>
      <c r="D29" s="29" t="s">
        <v>42</v>
      </c>
      <c r="E29" s="36" t="s">
        <v>44</v>
      </c>
      <c r="F29" s="37"/>
      <c r="G29" s="31">
        <f>G35+G30</f>
        <v>4441800</v>
      </c>
      <c r="H29" s="116"/>
      <c r="I29" s="31">
        <f t="shared" si="0"/>
        <v>4441800</v>
      </c>
      <c r="J29" s="31">
        <f>J35+J30</f>
        <v>4441800</v>
      </c>
      <c r="K29" s="116"/>
      <c r="L29" s="31">
        <f t="shared" si="1"/>
        <v>4441800</v>
      </c>
    </row>
    <row r="30" spans="1:12" ht="59.25" customHeight="1">
      <c r="A30" s="35" t="s">
        <v>45</v>
      </c>
      <c r="B30" s="29" t="s">
        <v>667</v>
      </c>
      <c r="C30" s="29" t="s">
        <v>17</v>
      </c>
      <c r="D30" s="29" t="s">
        <v>42</v>
      </c>
      <c r="E30" s="36" t="s">
        <v>46</v>
      </c>
      <c r="F30" s="37"/>
      <c r="G30" s="31">
        <f>G32</f>
        <v>1004100</v>
      </c>
      <c r="H30" s="116"/>
      <c r="I30" s="31">
        <f t="shared" si="0"/>
        <v>1004100</v>
      </c>
      <c r="J30" s="31">
        <f>J32</f>
        <v>1004100</v>
      </c>
      <c r="K30" s="116"/>
      <c r="L30" s="31">
        <f t="shared" si="1"/>
        <v>1004100</v>
      </c>
    </row>
    <row r="31" spans="1:12" ht="56.25" customHeight="1">
      <c r="A31" s="43" t="s">
        <v>47</v>
      </c>
      <c r="B31" s="29" t="s">
        <v>667</v>
      </c>
      <c r="C31" s="29" t="s">
        <v>17</v>
      </c>
      <c r="D31" s="29" t="s">
        <v>42</v>
      </c>
      <c r="E31" s="36" t="s">
        <v>48</v>
      </c>
      <c r="F31" s="37"/>
      <c r="G31" s="31">
        <f>G32</f>
        <v>1004100</v>
      </c>
      <c r="H31" s="116"/>
      <c r="I31" s="31">
        <f t="shared" si="0"/>
        <v>1004100</v>
      </c>
      <c r="J31" s="31">
        <f>J32</f>
        <v>1004100</v>
      </c>
      <c r="K31" s="116"/>
      <c r="L31" s="31">
        <f t="shared" si="1"/>
        <v>1004100</v>
      </c>
    </row>
    <row r="32" spans="1:12" ht="42" customHeight="1">
      <c r="A32" s="118" t="s">
        <v>49</v>
      </c>
      <c r="B32" s="29" t="s">
        <v>667</v>
      </c>
      <c r="C32" s="29" t="s">
        <v>17</v>
      </c>
      <c r="D32" s="29" t="s">
        <v>42</v>
      </c>
      <c r="E32" s="36" t="s">
        <v>50</v>
      </c>
      <c r="F32" s="37"/>
      <c r="G32" s="31">
        <f>G33+G34</f>
        <v>1004100</v>
      </c>
      <c r="H32" s="116"/>
      <c r="I32" s="31">
        <f t="shared" si="0"/>
        <v>1004100</v>
      </c>
      <c r="J32" s="31">
        <f>J33+J34</f>
        <v>1004100</v>
      </c>
      <c r="K32" s="116"/>
      <c r="L32" s="31">
        <f t="shared" si="1"/>
        <v>1004100</v>
      </c>
    </row>
    <row r="33" spans="1:12" ht="74.25" customHeight="1">
      <c r="A33" s="35" t="s">
        <v>26</v>
      </c>
      <c r="B33" s="29" t="s">
        <v>667</v>
      </c>
      <c r="C33" s="29" t="s">
        <v>17</v>
      </c>
      <c r="D33" s="29" t="s">
        <v>42</v>
      </c>
      <c r="E33" s="36" t="s">
        <v>50</v>
      </c>
      <c r="F33" s="37" t="s">
        <v>27</v>
      </c>
      <c r="G33" s="31">
        <v>938056</v>
      </c>
      <c r="H33" s="116"/>
      <c r="I33" s="31">
        <f t="shared" si="0"/>
        <v>938056</v>
      </c>
      <c r="J33" s="31">
        <v>938056</v>
      </c>
      <c r="K33" s="116"/>
      <c r="L33" s="31">
        <f t="shared" si="1"/>
        <v>938056</v>
      </c>
    </row>
    <row r="34" spans="1:12" ht="26.25">
      <c r="A34" s="35" t="s">
        <v>38</v>
      </c>
      <c r="B34" s="29" t="s">
        <v>667</v>
      </c>
      <c r="C34" s="29" t="s">
        <v>17</v>
      </c>
      <c r="D34" s="29" t="s">
        <v>42</v>
      </c>
      <c r="E34" s="36" t="s">
        <v>50</v>
      </c>
      <c r="F34" s="37" t="s">
        <v>39</v>
      </c>
      <c r="G34" s="31">
        <f>12000+54044</f>
        <v>66044</v>
      </c>
      <c r="H34" s="116"/>
      <c r="I34" s="31">
        <f t="shared" si="0"/>
        <v>66044</v>
      </c>
      <c r="J34" s="31">
        <f>12000+54044</f>
        <v>66044</v>
      </c>
      <c r="K34" s="116"/>
      <c r="L34" s="31">
        <f t="shared" si="1"/>
        <v>66044</v>
      </c>
    </row>
    <row r="35" spans="1:12" ht="68.25" customHeight="1">
      <c r="A35" s="8" t="s">
        <v>51</v>
      </c>
      <c r="B35" s="29" t="s">
        <v>667</v>
      </c>
      <c r="C35" s="29" t="s">
        <v>17</v>
      </c>
      <c r="D35" s="29" t="s">
        <v>42</v>
      </c>
      <c r="E35" s="36" t="s">
        <v>52</v>
      </c>
      <c r="F35" s="30"/>
      <c r="G35" s="31">
        <f>G36</f>
        <v>3437700</v>
      </c>
      <c r="H35" s="116"/>
      <c r="I35" s="31">
        <f t="shared" si="0"/>
        <v>3437700</v>
      </c>
      <c r="J35" s="31">
        <f>J36</f>
        <v>3437700</v>
      </c>
      <c r="K35" s="116"/>
      <c r="L35" s="31">
        <f t="shared" si="1"/>
        <v>3437700</v>
      </c>
    </row>
    <row r="36" spans="1:12" ht="43.5" customHeight="1">
      <c r="A36" s="13" t="s">
        <v>53</v>
      </c>
      <c r="B36" s="29" t="s">
        <v>667</v>
      </c>
      <c r="C36" s="29" t="s">
        <v>17</v>
      </c>
      <c r="D36" s="29" t="s">
        <v>42</v>
      </c>
      <c r="E36" s="36" t="s">
        <v>54</v>
      </c>
      <c r="F36" s="30"/>
      <c r="G36" s="31">
        <f>G37+G40</f>
        <v>3437700</v>
      </c>
      <c r="H36" s="116"/>
      <c r="I36" s="31">
        <f t="shared" si="0"/>
        <v>3437700</v>
      </c>
      <c r="J36" s="31">
        <f>J37+J40</f>
        <v>3437700</v>
      </c>
      <c r="K36" s="116"/>
      <c r="L36" s="31">
        <f t="shared" si="1"/>
        <v>3437700</v>
      </c>
    </row>
    <row r="37" spans="1:12" ht="45" customHeight="1">
      <c r="A37" s="8" t="s">
        <v>55</v>
      </c>
      <c r="B37" s="29" t="s">
        <v>667</v>
      </c>
      <c r="C37" s="29" t="s">
        <v>17</v>
      </c>
      <c r="D37" s="29" t="s">
        <v>42</v>
      </c>
      <c r="E37" s="36" t="s">
        <v>56</v>
      </c>
      <c r="F37" s="30"/>
      <c r="G37" s="31">
        <f>G38+G39</f>
        <v>2342900</v>
      </c>
      <c r="H37" s="116"/>
      <c r="I37" s="31">
        <f t="shared" si="0"/>
        <v>2342900</v>
      </c>
      <c r="J37" s="31">
        <f>J38+J39</f>
        <v>2342900</v>
      </c>
      <c r="K37" s="116"/>
      <c r="L37" s="31">
        <f t="shared" si="1"/>
        <v>2342900</v>
      </c>
    </row>
    <row r="38" spans="1:12" ht="55.5" customHeight="1">
      <c r="A38" s="35" t="s">
        <v>26</v>
      </c>
      <c r="B38" s="29" t="s">
        <v>667</v>
      </c>
      <c r="C38" s="29" t="s">
        <v>17</v>
      </c>
      <c r="D38" s="29" t="s">
        <v>42</v>
      </c>
      <c r="E38" s="36" t="s">
        <v>56</v>
      </c>
      <c r="F38" s="37" t="s">
        <v>27</v>
      </c>
      <c r="G38" s="31">
        <v>2307507</v>
      </c>
      <c r="H38" s="116"/>
      <c r="I38" s="31">
        <f t="shared" si="0"/>
        <v>2307507</v>
      </c>
      <c r="J38" s="31">
        <v>2307507</v>
      </c>
      <c r="K38" s="116"/>
      <c r="L38" s="31">
        <f t="shared" si="1"/>
        <v>2307507</v>
      </c>
    </row>
    <row r="39" spans="1:12" ht="26.25">
      <c r="A39" s="35" t="s">
        <v>38</v>
      </c>
      <c r="B39" s="29" t="s">
        <v>667</v>
      </c>
      <c r="C39" s="29" t="s">
        <v>17</v>
      </c>
      <c r="D39" s="29" t="s">
        <v>42</v>
      </c>
      <c r="E39" s="36" t="s">
        <v>56</v>
      </c>
      <c r="F39" s="37" t="s">
        <v>39</v>
      </c>
      <c r="G39" s="31">
        <v>35393</v>
      </c>
      <c r="H39" s="116"/>
      <c r="I39" s="31">
        <f t="shared" si="0"/>
        <v>35393</v>
      </c>
      <c r="J39" s="31">
        <v>35393</v>
      </c>
      <c r="K39" s="116"/>
      <c r="L39" s="31">
        <f t="shared" si="1"/>
        <v>35393</v>
      </c>
    </row>
    <row r="40" spans="1:12" ht="60.75" customHeight="1">
      <c r="A40" s="9" t="s">
        <v>57</v>
      </c>
      <c r="B40" s="29" t="s">
        <v>667</v>
      </c>
      <c r="C40" s="29" t="s">
        <v>17</v>
      </c>
      <c r="D40" s="29" t="s">
        <v>42</v>
      </c>
      <c r="E40" s="36" t="s">
        <v>58</v>
      </c>
      <c r="F40" s="30"/>
      <c r="G40" s="31">
        <f>G41+G42</f>
        <v>1094800</v>
      </c>
      <c r="H40" s="116"/>
      <c r="I40" s="31">
        <f t="shared" si="0"/>
        <v>1094800</v>
      </c>
      <c r="J40" s="31">
        <f>J41+J42</f>
        <v>1094800</v>
      </c>
      <c r="K40" s="116"/>
      <c r="L40" s="31">
        <f t="shared" si="1"/>
        <v>1094800</v>
      </c>
    </row>
    <row r="41" spans="1:12" ht="61.5" customHeight="1">
      <c r="A41" s="35" t="s">
        <v>26</v>
      </c>
      <c r="B41" s="29" t="s">
        <v>667</v>
      </c>
      <c r="C41" s="29" t="s">
        <v>17</v>
      </c>
      <c r="D41" s="29" t="s">
        <v>42</v>
      </c>
      <c r="E41" s="36" t="s">
        <v>58</v>
      </c>
      <c r="F41" s="37" t="s">
        <v>27</v>
      </c>
      <c r="G41" s="31">
        <v>1004100</v>
      </c>
      <c r="H41" s="116"/>
      <c r="I41" s="31">
        <f t="shared" si="0"/>
        <v>1004100</v>
      </c>
      <c r="J41" s="31">
        <v>1004100</v>
      </c>
      <c r="K41" s="116"/>
      <c r="L41" s="31">
        <f t="shared" si="1"/>
        <v>1004100</v>
      </c>
    </row>
    <row r="42" spans="1:12" ht="26.25">
      <c r="A42" s="35" t="s">
        <v>38</v>
      </c>
      <c r="B42" s="29" t="s">
        <v>667</v>
      </c>
      <c r="C42" s="29" t="s">
        <v>17</v>
      </c>
      <c r="D42" s="29" t="s">
        <v>42</v>
      </c>
      <c r="E42" s="36" t="s">
        <v>58</v>
      </c>
      <c r="F42" s="37" t="s">
        <v>39</v>
      </c>
      <c r="G42" s="31">
        <v>90700</v>
      </c>
      <c r="H42" s="116"/>
      <c r="I42" s="31">
        <f t="shared" si="0"/>
        <v>90700</v>
      </c>
      <c r="J42" s="31">
        <v>90700</v>
      </c>
      <c r="K42" s="116"/>
      <c r="L42" s="31">
        <f t="shared" si="1"/>
        <v>90700</v>
      </c>
    </row>
    <row r="43" spans="1:12" ht="45.75" customHeight="1">
      <c r="A43" s="15" t="s">
        <v>59</v>
      </c>
      <c r="B43" s="29" t="s">
        <v>667</v>
      </c>
      <c r="C43" s="29" t="s">
        <v>17</v>
      </c>
      <c r="D43" s="29" t="s">
        <v>42</v>
      </c>
      <c r="E43" s="36" t="s">
        <v>60</v>
      </c>
      <c r="F43" s="30"/>
      <c r="G43" s="31">
        <f>G44</f>
        <v>322552</v>
      </c>
      <c r="H43" s="116"/>
      <c r="I43" s="31">
        <f t="shared" si="0"/>
        <v>322552</v>
      </c>
      <c r="J43" s="31">
        <f>J44</f>
        <v>322552</v>
      </c>
      <c r="K43" s="116"/>
      <c r="L43" s="31">
        <f t="shared" si="1"/>
        <v>322552</v>
      </c>
    </row>
    <row r="44" spans="1:12" s="42" customFormat="1" ht="72" customHeight="1">
      <c r="A44" s="13" t="s">
        <v>61</v>
      </c>
      <c r="B44" s="29" t="s">
        <v>667</v>
      </c>
      <c r="C44" s="29" t="s">
        <v>17</v>
      </c>
      <c r="D44" s="29" t="s">
        <v>42</v>
      </c>
      <c r="E44" s="36" t="s">
        <v>62</v>
      </c>
      <c r="F44" s="30"/>
      <c r="G44" s="31">
        <f>G46</f>
        <v>322552</v>
      </c>
      <c r="H44" s="116"/>
      <c r="I44" s="31">
        <f t="shared" si="0"/>
        <v>322552</v>
      </c>
      <c r="J44" s="31">
        <f>J46</f>
        <v>322552</v>
      </c>
      <c r="K44" s="116"/>
      <c r="L44" s="31">
        <f t="shared" si="1"/>
        <v>322552</v>
      </c>
    </row>
    <row r="45" spans="1:12" ht="30.75" customHeight="1">
      <c r="A45" s="10" t="s">
        <v>63</v>
      </c>
      <c r="B45" s="29" t="s">
        <v>667</v>
      </c>
      <c r="C45" s="29" t="s">
        <v>17</v>
      </c>
      <c r="D45" s="29" t="s">
        <v>42</v>
      </c>
      <c r="E45" s="36" t="s">
        <v>64</v>
      </c>
      <c r="F45" s="30"/>
      <c r="G45" s="31">
        <f>G46</f>
        <v>322552</v>
      </c>
      <c r="H45" s="116"/>
      <c r="I45" s="31">
        <f t="shared" si="0"/>
        <v>322552</v>
      </c>
      <c r="J45" s="31">
        <f>J46</f>
        <v>322552</v>
      </c>
      <c r="K45" s="116"/>
      <c r="L45" s="31">
        <f t="shared" si="1"/>
        <v>322552</v>
      </c>
    </row>
    <row r="46" spans="1:12" ht="31.5" customHeight="1">
      <c r="A46" s="118" t="s">
        <v>65</v>
      </c>
      <c r="B46" s="29" t="s">
        <v>667</v>
      </c>
      <c r="C46" s="29" t="s">
        <v>17</v>
      </c>
      <c r="D46" s="29" t="s">
        <v>42</v>
      </c>
      <c r="E46" s="36" t="s">
        <v>66</v>
      </c>
      <c r="F46" s="30"/>
      <c r="G46" s="31">
        <f>G47+G48</f>
        <v>322552</v>
      </c>
      <c r="H46" s="116"/>
      <c r="I46" s="31">
        <f t="shared" si="0"/>
        <v>322552</v>
      </c>
      <c r="J46" s="31">
        <f>J47+J48</f>
        <v>322552</v>
      </c>
      <c r="K46" s="116"/>
      <c r="L46" s="31">
        <f t="shared" si="1"/>
        <v>322552</v>
      </c>
    </row>
    <row r="47" spans="1:12" ht="64.5">
      <c r="A47" s="35" t="s">
        <v>26</v>
      </c>
      <c r="B47" s="29" t="s">
        <v>667</v>
      </c>
      <c r="C47" s="29" t="s">
        <v>17</v>
      </c>
      <c r="D47" s="29" t="s">
        <v>42</v>
      </c>
      <c r="E47" s="36" t="s">
        <v>66</v>
      </c>
      <c r="F47" s="37" t="s">
        <v>27</v>
      </c>
      <c r="G47" s="31">
        <v>318221</v>
      </c>
      <c r="H47" s="116"/>
      <c r="I47" s="31">
        <f t="shared" si="0"/>
        <v>318221</v>
      </c>
      <c r="J47" s="31">
        <v>318221</v>
      </c>
      <c r="K47" s="116"/>
      <c r="L47" s="31">
        <f t="shared" si="1"/>
        <v>318221</v>
      </c>
    </row>
    <row r="48" spans="1:12" ht="31.5" customHeight="1">
      <c r="A48" s="35" t="s">
        <v>38</v>
      </c>
      <c r="B48" s="29" t="s">
        <v>667</v>
      </c>
      <c r="C48" s="29" t="s">
        <v>17</v>
      </c>
      <c r="D48" s="29" t="s">
        <v>42</v>
      </c>
      <c r="E48" s="36" t="s">
        <v>66</v>
      </c>
      <c r="F48" s="37" t="s">
        <v>39</v>
      </c>
      <c r="G48" s="31">
        <v>4331</v>
      </c>
      <c r="H48" s="116"/>
      <c r="I48" s="31">
        <f t="shared" si="0"/>
        <v>4331</v>
      </c>
      <c r="J48" s="31">
        <v>4331</v>
      </c>
      <c r="K48" s="116"/>
      <c r="L48" s="31">
        <f t="shared" si="1"/>
        <v>4331</v>
      </c>
    </row>
    <row r="49" spans="1:12" ht="54.75" customHeight="1">
      <c r="A49" s="16" t="s">
        <v>67</v>
      </c>
      <c r="B49" s="29" t="s">
        <v>667</v>
      </c>
      <c r="C49" s="29" t="s">
        <v>17</v>
      </c>
      <c r="D49" s="29" t="s">
        <v>42</v>
      </c>
      <c r="E49" s="36" t="s">
        <v>68</v>
      </c>
      <c r="F49" s="37"/>
      <c r="G49" s="31">
        <f>G50</f>
        <v>669400</v>
      </c>
      <c r="H49" s="116"/>
      <c r="I49" s="31">
        <f t="shared" si="0"/>
        <v>669400</v>
      </c>
      <c r="J49" s="31">
        <f>J50</f>
        <v>669400</v>
      </c>
      <c r="K49" s="116"/>
      <c r="L49" s="31">
        <f t="shared" si="1"/>
        <v>669400</v>
      </c>
    </row>
    <row r="50" spans="1:12" s="42" customFormat="1" ht="72.75" customHeight="1">
      <c r="A50" s="16" t="s">
        <v>69</v>
      </c>
      <c r="B50" s="29" t="s">
        <v>667</v>
      </c>
      <c r="C50" s="29" t="s">
        <v>17</v>
      </c>
      <c r="D50" s="29" t="s">
        <v>42</v>
      </c>
      <c r="E50" s="36" t="s">
        <v>70</v>
      </c>
      <c r="F50" s="37"/>
      <c r="G50" s="31">
        <f>G52+G55</f>
        <v>669400</v>
      </c>
      <c r="H50" s="116"/>
      <c r="I50" s="31">
        <f t="shared" si="0"/>
        <v>669400</v>
      </c>
      <c r="J50" s="31">
        <f>J52+J55</f>
        <v>669400</v>
      </c>
      <c r="K50" s="116"/>
      <c r="L50" s="31">
        <f t="shared" si="1"/>
        <v>669400</v>
      </c>
    </row>
    <row r="51" spans="1:12" ht="42" customHeight="1">
      <c r="A51" s="13" t="s">
        <v>71</v>
      </c>
      <c r="B51" s="29" t="s">
        <v>667</v>
      </c>
      <c r="C51" s="29" t="s">
        <v>17</v>
      </c>
      <c r="D51" s="29" t="s">
        <v>42</v>
      </c>
      <c r="E51" s="36" t="s">
        <v>72</v>
      </c>
      <c r="F51" s="37"/>
      <c r="G51" s="31">
        <f>G52+G55</f>
        <v>669400</v>
      </c>
      <c r="H51" s="116"/>
      <c r="I51" s="31">
        <f t="shared" si="0"/>
        <v>669400</v>
      </c>
      <c r="J51" s="31">
        <f>J52+J55</f>
        <v>669400</v>
      </c>
      <c r="K51" s="116"/>
      <c r="L51" s="31">
        <f t="shared" si="1"/>
        <v>669400</v>
      </c>
    </row>
    <row r="52" spans="1:12" ht="44.25" customHeight="1">
      <c r="A52" s="118" t="s">
        <v>73</v>
      </c>
      <c r="B52" s="29" t="s">
        <v>667</v>
      </c>
      <c r="C52" s="29" t="s">
        <v>17</v>
      </c>
      <c r="D52" s="29" t="s">
        <v>42</v>
      </c>
      <c r="E52" s="29" t="s">
        <v>74</v>
      </c>
      <c r="F52" s="30"/>
      <c r="G52" s="31">
        <f>G53+G54</f>
        <v>334700</v>
      </c>
      <c r="H52" s="116"/>
      <c r="I52" s="31">
        <f t="shared" si="0"/>
        <v>334700</v>
      </c>
      <c r="J52" s="31">
        <f>J53+J54</f>
        <v>334700</v>
      </c>
      <c r="K52" s="116"/>
      <c r="L52" s="31">
        <f t="shared" si="1"/>
        <v>334700</v>
      </c>
    </row>
    <row r="53" spans="1:12" ht="71.25" customHeight="1">
      <c r="A53" s="35" t="s">
        <v>26</v>
      </c>
      <c r="B53" s="29" t="s">
        <v>667</v>
      </c>
      <c r="C53" s="29" t="s">
        <v>17</v>
      </c>
      <c r="D53" s="29" t="s">
        <v>42</v>
      </c>
      <c r="E53" s="29" t="s">
        <v>74</v>
      </c>
      <c r="F53" s="37" t="s">
        <v>27</v>
      </c>
      <c r="G53" s="31">
        <v>306472</v>
      </c>
      <c r="H53" s="116"/>
      <c r="I53" s="31">
        <f t="shared" si="0"/>
        <v>306472</v>
      </c>
      <c r="J53" s="31">
        <v>306472</v>
      </c>
      <c r="K53" s="116"/>
      <c r="L53" s="31">
        <f t="shared" si="1"/>
        <v>306472</v>
      </c>
    </row>
    <row r="54" spans="1:12" ht="26.25">
      <c r="A54" s="35" t="s">
        <v>38</v>
      </c>
      <c r="B54" s="29" t="s">
        <v>667</v>
      </c>
      <c r="C54" s="29" t="s">
        <v>17</v>
      </c>
      <c r="D54" s="29" t="s">
        <v>42</v>
      </c>
      <c r="E54" s="29" t="s">
        <v>74</v>
      </c>
      <c r="F54" s="37" t="s">
        <v>39</v>
      </c>
      <c r="G54" s="31">
        <f>28228</f>
        <v>28228</v>
      </c>
      <c r="H54" s="116"/>
      <c r="I54" s="31">
        <f t="shared" si="0"/>
        <v>28228</v>
      </c>
      <c r="J54" s="31">
        <f>28228</f>
        <v>28228</v>
      </c>
      <c r="K54" s="116"/>
      <c r="L54" s="31">
        <f t="shared" si="1"/>
        <v>28228</v>
      </c>
    </row>
    <row r="55" spans="1:12" ht="35.25" customHeight="1">
      <c r="A55" s="118" t="s">
        <v>75</v>
      </c>
      <c r="B55" s="29" t="s">
        <v>667</v>
      </c>
      <c r="C55" s="29" t="s">
        <v>17</v>
      </c>
      <c r="D55" s="29" t="s">
        <v>42</v>
      </c>
      <c r="E55" s="29" t="s">
        <v>76</v>
      </c>
      <c r="F55" s="30"/>
      <c r="G55" s="31">
        <f>G56+G57</f>
        <v>334700</v>
      </c>
      <c r="H55" s="116"/>
      <c r="I55" s="31">
        <f t="shared" si="0"/>
        <v>334700</v>
      </c>
      <c r="J55" s="31">
        <f>J56+J57</f>
        <v>334700</v>
      </c>
      <c r="K55" s="116"/>
      <c r="L55" s="31">
        <f t="shared" si="1"/>
        <v>334700</v>
      </c>
    </row>
    <row r="56" spans="1:12" ht="66.75" customHeight="1">
      <c r="A56" s="35" t="s">
        <v>26</v>
      </c>
      <c r="B56" s="29" t="s">
        <v>667</v>
      </c>
      <c r="C56" s="29" t="s">
        <v>17</v>
      </c>
      <c r="D56" s="29" t="s">
        <v>42</v>
      </c>
      <c r="E56" s="29" t="s">
        <v>76</v>
      </c>
      <c r="F56" s="37" t="s">
        <v>27</v>
      </c>
      <c r="G56" s="31">
        <v>306472</v>
      </c>
      <c r="H56" s="116"/>
      <c r="I56" s="31">
        <f t="shared" si="0"/>
        <v>306472</v>
      </c>
      <c r="J56" s="31">
        <v>306472</v>
      </c>
      <c r="K56" s="116"/>
      <c r="L56" s="31">
        <f t="shared" si="1"/>
        <v>306472</v>
      </c>
    </row>
    <row r="57" spans="1:12" ht="26.25">
      <c r="A57" s="35" t="s">
        <v>38</v>
      </c>
      <c r="B57" s="29" t="s">
        <v>667</v>
      </c>
      <c r="C57" s="29" t="s">
        <v>17</v>
      </c>
      <c r="D57" s="29" t="s">
        <v>42</v>
      </c>
      <c r="E57" s="29" t="s">
        <v>76</v>
      </c>
      <c r="F57" s="37" t="s">
        <v>39</v>
      </c>
      <c r="G57" s="31">
        <v>28228</v>
      </c>
      <c r="H57" s="116"/>
      <c r="I57" s="31">
        <f t="shared" si="0"/>
        <v>28228</v>
      </c>
      <c r="J57" s="31">
        <v>28228</v>
      </c>
      <c r="K57" s="116"/>
      <c r="L57" s="31">
        <f t="shared" si="1"/>
        <v>28228</v>
      </c>
    </row>
    <row r="58" spans="1:12" ht="18" customHeight="1">
      <c r="A58" s="35" t="s">
        <v>77</v>
      </c>
      <c r="B58" s="29" t="s">
        <v>667</v>
      </c>
      <c r="C58" s="29" t="s">
        <v>17</v>
      </c>
      <c r="D58" s="29" t="s">
        <v>42</v>
      </c>
      <c r="E58" s="29" t="s">
        <v>78</v>
      </c>
      <c r="F58" s="30"/>
      <c r="G58" s="31">
        <f>G59</f>
        <v>14326995</v>
      </c>
      <c r="H58" s="116"/>
      <c r="I58" s="31">
        <f t="shared" si="0"/>
        <v>14326995</v>
      </c>
      <c r="J58" s="31">
        <f>J59</f>
        <v>13757394</v>
      </c>
      <c r="K58" s="116"/>
      <c r="L58" s="31">
        <f t="shared" si="1"/>
        <v>13757394</v>
      </c>
    </row>
    <row r="59" spans="1:12" ht="28.5" customHeight="1">
      <c r="A59" s="8" t="s">
        <v>79</v>
      </c>
      <c r="B59" s="29" t="s">
        <v>667</v>
      </c>
      <c r="C59" s="29" t="s">
        <v>17</v>
      </c>
      <c r="D59" s="29" t="s">
        <v>42</v>
      </c>
      <c r="E59" s="29" t="s">
        <v>80</v>
      </c>
      <c r="F59" s="30"/>
      <c r="G59" s="31">
        <f>G62+G60</f>
        <v>14326995</v>
      </c>
      <c r="H59" s="116"/>
      <c r="I59" s="31">
        <f t="shared" si="0"/>
        <v>14326995</v>
      </c>
      <c r="J59" s="31">
        <f>J62+J60</f>
        <v>13757394</v>
      </c>
      <c r="K59" s="116"/>
      <c r="L59" s="31">
        <f t="shared" si="1"/>
        <v>13757394</v>
      </c>
    </row>
    <row r="60" spans="1:12" ht="58.5" customHeight="1">
      <c r="A60" s="8" t="s">
        <v>81</v>
      </c>
      <c r="B60" s="29" t="s">
        <v>667</v>
      </c>
      <c r="C60" s="29" t="s">
        <v>17</v>
      </c>
      <c r="D60" s="29" t="s">
        <v>42</v>
      </c>
      <c r="E60" s="29" t="s">
        <v>82</v>
      </c>
      <c r="F60" s="30"/>
      <c r="G60" s="31">
        <f>G61</f>
        <v>12000</v>
      </c>
      <c r="H60" s="116"/>
      <c r="I60" s="31">
        <f>G60+H60</f>
        <v>12000</v>
      </c>
      <c r="J60" s="31">
        <f>J61</f>
        <v>12000</v>
      </c>
      <c r="K60" s="116"/>
      <c r="L60" s="31">
        <f>J60+K60</f>
        <v>12000</v>
      </c>
    </row>
    <row r="61" spans="1:12" ht="54.75" customHeight="1">
      <c r="A61" s="35" t="s">
        <v>26</v>
      </c>
      <c r="B61" s="29" t="s">
        <v>667</v>
      </c>
      <c r="C61" s="29" t="s">
        <v>17</v>
      </c>
      <c r="D61" s="29" t="s">
        <v>42</v>
      </c>
      <c r="E61" s="29" t="s">
        <v>82</v>
      </c>
      <c r="F61" s="30" t="s">
        <v>27</v>
      </c>
      <c r="G61" s="31">
        <f>31100-19100</f>
        <v>12000</v>
      </c>
      <c r="H61" s="116"/>
      <c r="I61" s="31">
        <f>G61+H61</f>
        <v>12000</v>
      </c>
      <c r="J61" s="31">
        <f>31100-19100</f>
        <v>12000</v>
      </c>
      <c r="K61" s="116"/>
      <c r="L61" s="31">
        <f>J61+K61</f>
        <v>12000</v>
      </c>
    </row>
    <row r="62" spans="1:12" ht="32.25" customHeight="1">
      <c r="A62" s="8" t="s">
        <v>24</v>
      </c>
      <c r="B62" s="29" t="s">
        <v>667</v>
      </c>
      <c r="C62" s="29" t="s">
        <v>17</v>
      </c>
      <c r="D62" s="29" t="s">
        <v>42</v>
      </c>
      <c r="E62" s="29" t="s">
        <v>83</v>
      </c>
      <c r="F62" s="30"/>
      <c r="G62" s="31">
        <f>G63+G64+G65</f>
        <v>14314995</v>
      </c>
      <c r="H62" s="116"/>
      <c r="I62" s="31">
        <f t="shared" si="0"/>
        <v>14314995</v>
      </c>
      <c r="J62" s="31">
        <f>J63+J64+J65</f>
        <v>13745394</v>
      </c>
      <c r="K62" s="116"/>
      <c r="L62" s="31">
        <f t="shared" si="1"/>
        <v>13745394</v>
      </c>
    </row>
    <row r="63" spans="1:12" ht="48.75" customHeight="1">
      <c r="A63" s="35" t="s">
        <v>26</v>
      </c>
      <c r="B63" s="29" t="s">
        <v>667</v>
      </c>
      <c r="C63" s="29" t="s">
        <v>17</v>
      </c>
      <c r="D63" s="29" t="s">
        <v>42</v>
      </c>
      <c r="E63" s="29" t="s">
        <v>83</v>
      </c>
      <c r="F63" s="37" t="s">
        <v>27</v>
      </c>
      <c r="G63" s="31">
        <f>18304500-4019505</f>
        <v>14284995</v>
      </c>
      <c r="H63" s="116"/>
      <c r="I63" s="31">
        <f t="shared" si="0"/>
        <v>14284995</v>
      </c>
      <c r="J63" s="31">
        <f>18304500-4019505-569601</f>
        <v>13715394</v>
      </c>
      <c r="K63" s="116"/>
      <c r="L63" s="31">
        <f t="shared" si="1"/>
        <v>13715394</v>
      </c>
    </row>
    <row r="64" spans="1:12" ht="30" customHeight="1">
      <c r="A64" s="35" t="s">
        <v>38</v>
      </c>
      <c r="B64" s="29" t="s">
        <v>667</v>
      </c>
      <c r="C64" s="29" t="s">
        <v>17</v>
      </c>
      <c r="D64" s="29" t="s">
        <v>42</v>
      </c>
      <c r="E64" s="29" t="s">
        <v>83</v>
      </c>
      <c r="F64" s="37" t="s">
        <v>39</v>
      </c>
      <c r="G64" s="46">
        <v>30000</v>
      </c>
      <c r="H64" s="116"/>
      <c r="I64" s="31">
        <f t="shared" si="0"/>
        <v>30000</v>
      </c>
      <c r="J64" s="46">
        <v>30000</v>
      </c>
      <c r="K64" s="116"/>
      <c r="L64" s="31">
        <f t="shared" si="1"/>
        <v>30000</v>
      </c>
    </row>
    <row r="65" spans="1:12" ht="18.75" customHeight="1">
      <c r="A65" s="10" t="s">
        <v>84</v>
      </c>
      <c r="B65" s="29" t="s">
        <v>667</v>
      </c>
      <c r="C65" s="29" t="s">
        <v>17</v>
      </c>
      <c r="D65" s="29" t="s">
        <v>42</v>
      </c>
      <c r="E65" s="29" t="s">
        <v>83</v>
      </c>
      <c r="F65" s="37" t="s">
        <v>85</v>
      </c>
      <c r="G65" s="31"/>
      <c r="H65" s="116"/>
      <c r="I65" s="31">
        <f t="shared" si="0"/>
        <v>0</v>
      </c>
      <c r="J65" s="31"/>
      <c r="K65" s="116"/>
      <c r="L65" s="31">
        <f t="shared" si="1"/>
        <v>0</v>
      </c>
    </row>
    <row r="66" spans="1:12" ht="26.25">
      <c r="A66" s="16" t="s">
        <v>86</v>
      </c>
      <c r="B66" s="29" t="s">
        <v>667</v>
      </c>
      <c r="C66" s="29" t="s">
        <v>17</v>
      </c>
      <c r="D66" s="29" t="s">
        <v>42</v>
      </c>
      <c r="E66" s="29" t="s">
        <v>87</v>
      </c>
      <c r="F66" s="30"/>
      <c r="G66" s="31">
        <f>G67+G71</f>
        <v>368170</v>
      </c>
      <c r="H66" s="116"/>
      <c r="I66" s="31">
        <f>G66+H66</f>
        <v>368170</v>
      </c>
      <c r="J66" s="31">
        <f>J67+J71</f>
        <v>368170</v>
      </c>
      <c r="K66" s="116"/>
      <c r="L66" s="31">
        <f>J66+K66</f>
        <v>368170</v>
      </c>
    </row>
    <row r="67" spans="1:12" ht="38.25" customHeight="1">
      <c r="A67" s="13" t="s">
        <v>88</v>
      </c>
      <c r="B67" s="29" t="s">
        <v>667</v>
      </c>
      <c r="C67" s="29" t="s">
        <v>17</v>
      </c>
      <c r="D67" s="29" t="s">
        <v>42</v>
      </c>
      <c r="E67" s="29" t="s">
        <v>89</v>
      </c>
      <c r="F67" s="30"/>
      <c r="G67" s="31">
        <f>G68</f>
        <v>334700</v>
      </c>
      <c r="H67" s="116"/>
      <c r="I67" s="31">
        <f t="shared" si="0"/>
        <v>334700</v>
      </c>
      <c r="J67" s="31">
        <f>J68</f>
        <v>334700</v>
      </c>
      <c r="K67" s="116"/>
      <c r="L67" s="31">
        <f aca="true" t="shared" si="2" ref="L67:L142">J67+K67</f>
        <v>334700</v>
      </c>
    </row>
    <row r="68" spans="1:12" ht="27.75" customHeight="1">
      <c r="A68" s="8" t="s">
        <v>90</v>
      </c>
      <c r="B68" s="29" t="s">
        <v>667</v>
      </c>
      <c r="C68" s="29" t="s">
        <v>17</v>
      </c>
      <c r="D68" s="29" t="s">
        <v>42</v>
      </c>
      <c r="E68" s="29" t="s">
        <v>91</v>
      </c>
      <c r="F68" s="30"/>
      <c r="G68" s="31">
        <f>G69+G70</f>
        <v>334700</v>
      </c>
      <c r="H68" s="116"/>
      <c r="I68" s="31">
        <f t="shared" si="0"/>
        <v>334700</v>
      </c>
      <c r="J68" s="31">
        <f>J69+J70</f>
        <v>334700</v>
      </c>
      <c r="K68" s="116"/>
      <c r="L68" s="31">
        <f t="shared" si="2"/>
        <v>334700</v>
      </c>
    </row>
    <row r="69" spans="1:12" ht="64.5">
      <c r="A69" s="35" t="s">
        <v>26</v>
      </c>
      <c r="B69" s="29" t="s">
        <v>667</v>
      </c>
      <c r="C69" s="29" t="s">
        <v>17</v>
      </c>
      <c r="D69" s="29" t="s">
        <v>42</v>
      </c>
      <c r="E69" s="29" t="s">
        <v>91</v>
      </c>
      <c r="F69" s="37" t="s">
        <v>27</v>
      </c>
      <c r="G69" s="31">
        <v>334700</v>
      </c>
      <c r="H69" s="116"/>
      <c r="I69" s="31">
        <f t="shared" si="0"/>
        <v>334700</v>
      </c>
      <c r="J69" s="31">
        <v>334700</v>
      </c>
      <c r="K69" s="116"/>
      <c r="L69" s="31">
        <f t="shared" si="2"/>
        <v>334700</v>
      </c>
    </row>
    <row r="70" spans="1:12" ht="42.75" customHeight="1" hidden="1">
      <c r="A70" s="35" t="s">
        <v>92</v>
      </c>
      <c r="B70" s="29" t="s">
        <v>667</v>
      </c>
      <c r="C70" s="29" t="s">
        <v>17</v>
      </c>
      <c r="D70" s="29" t="s">
        <v>42</v>
      </c>
      <c r="E70" s="29" t="s">
        <v>91</v>
      </c>
      <c r="F70" s="37" t="s">
        <v>39</v>
      </c>
      <c r="G70" s="31">
        <f>20967-20967</f>
        <v>0</v>
      </c>
      <c r="H70" s="116"/>
      <c r="I70" s="31">
        <f t="shared" si="0"/>
        <v>0</v>
      </c>
      <c r="J70" s="31">
        <f>20967-20967</f>
        <v>0</v>
      </c>
      <c r="K70" s="116"/>
      <c r="L70" s="31">
        <f t="shared" si="2"/>
        <v>0</v>
      </c>
    </row>
    <row r="71" spans="1:12" ht="26.25">
      <c r="A71" s="16" t="s">
        <v>93</v>
      </c>
      <c r="B71" s="29" t="s">
        <v>667</v>
      </c>
      <c r="C71" s="29" t="s">
        <v>17</v>
      </c>
      <c r="D71" s="29" t="s">
        <v>42</v>
      </c>
      <c r="E71" s="29" t="s">
        <v>94</v>
      </c>
      <c r="F71" s="30"/>
      <c r="G71" s="31">
        <f>G72</f>
        <v>33470</v>
      </c>
      <c r="H71" s="116"/>
      <c r="I71" s="31">
        <f t="shared" si="0"/>
        <v>33470</v>
      </c>
      <c r="J71" s="31">
        <f>J72</f>
        <v>33470</v>
      </c>
      <c r="K71" s="116"/>
      <c r="L71" s="31">
        <f t="shared" si="2"/>
        <v>33470</v>
      </c>
    </row>
    <row r="72" spans="1:12" ht="51">
      <c r="A72" s="12" t="s">
        <v>95</v>
      </c>
      <c r="B72" s="29" t="s">
        <v>667</v>
      </c>
      <c r="C72" s="29" t="s">
        <v>17</v>
      </c>
      <c r="D72" s="29" t="s">
        <v>42</v>
      </c>
      <c r="E72" s="29" t="s">
        <v>96</v>
      </c>
      <c r="F72" s="30"/>
      <c r="G72" s="31">
        <f>G73</f>
        <v>33470</v>
      </c>
      <c r="H72" s="116"/>
      <c r="I72" s="31">
        <f t="shared" si="0"/>
        <v>33470</v>
      </c>
      <c r="J72" s="31">
        <f>J73</f>
        <v>33470</v>
      </c>
      <c r="K72" s="116"/>
      <c r="L72" s="31">
        <f t="shared" si="2"/>
        <v>33470</v>
      </c>
    </row>
    <row r="73" spans="1:12" ht="66" customHeight="1">
      <c r="A73" s="35" t="s">
        <v>26</v>
      </c>
      <c r="B73" s="29" t="s">
        <v>667</v>
      </c>
      <c r="C73" s="29" t="s">
        <v>17</v>
      </c>
      <c r="D73" s="29" t="s">
        <v>42</v>
      </c>
      <c r="E73" s="29" t="s">
        <v>96</v>
      </c>
      <c r="F73" s="37" t="s">
        <v>27</v>
      </c>
      <c r="G73" s="31">
        <v>33470</v>
      </c>
      <c r="H73" s="116"/>
      <c r="I73" s="31">
        <f t="shared" si="0"/>
        <v>33470</v>
      </c>
      <c r="J73" s="31">
        <v>33470</v>
      </c>
      <c r="K73" s="116"/>
      <c r="L73" s="31">
        <f t="shared" si="2"/>
        <v>33470</v>
      </c>
    </row>
    <row r="74" spans="1:12" ht="42.75" customHeight="1" hidden="1">
      <c r="A74" s="119" t="s">
        <v>97</v>
      </c>
      <c r="B74" s="29" t="s">
        <v>667</v>
      </c>
      <c r="C74" s="29" t="s">
        <v>17</v>
      </c>
      <c r="D74" s="29" t="s">
        <v>98</v>
      </c>
      <c r="E74" s="29"/>
      <c r="F74" s="37"/>
      <c r="G74" s="31">
        <f>G75</f>
        <v>0</v>
      </c>
      <c r="H74" s="116"/>
      <c r="I74" s="31">
        <f t="shared" si="0"/>
        <v>0</v>
      </c>
      <c r="J74" s="31">
        <f>J75</f>
        <v>0</v>
      </c>
      <c r="K74" s="116"/>
      <c r="L74" s="31">
        <f t="shared" si="2"/>
        <v>0</v>
      </c>
    </row>
    <row r="75" spans="1:12" ht="42.75" customHeight="1" hidden="1">
      <c r="A75" s="16" t="s">
        <v>86</v>
      </c>
      <c r="B75" s="29" t="s">
        <v>667</v>
      </c>
      <c r="C75" s="29" t="s">
        <v>17</v>
      </c>
      <c r="D75" s="29" t="s">
        <v>98</v>
      </c>
      <c r="E75" s="29" t="s">
        <v>87</v>
      </c>
      <c r="F75" s="37"/>
      <c r="G75" s="31">
        <f>G76</f>
        <v>0</v>
      </c>
      <c r="H75" s="116"/>
      <c r="I75" s="31">
        <f t="shared" si="0"/>
        <v>0</v>
      </c>
      <c r="J75" s="31">
        <f>J76</f>
        <v>0</v>
      </c>
      <c r="K75" s="116"/>
      <c r="L75" s="31">
        <f t="shared" si="2"/>
        <v>0</v>
      </c>
    </row>
    <row r="76" spans="1:12" ht="42.75" customHeight="1" hidden="1">
      <c r="A76" s="16" t="s">
        <v>93</v>
      </c>
      <c r="B76" s="29" t="s">
        <v>667</v>
      </c>
      <c r="C76" s="29" t="s">
        <v>17</v>
      </c>
      <c r="D76" s="29" t="s">
        <v>98</v>
      </c>
      <c r="E76" s="29" t="s">
        <v>94</v>
      </c>
      <c r="F76" s="37"/>
      <c r="G76" s="31">
        <f>G77</f>
        <v>0</v>
      </c>
      <c r="H76" s="116"/>
      <c r="I76" s="31">
        <f t="shared" si="0"/>
        <v>0</v>
      </c>
      <c r="J76" s="31">
        <f>J77</f>
        <v>0</v>
      </c>
      <c r="K76" s="116"/>
      <c r="L76" s="31">
        <f t="shared" si="2"/>
        <v>0</v>
      </c>
    </row>
    <row r="77" spans="1:12" ht="42.75" customHeight="1" hidden="1">
      <c r="A77" s="118" t="s">
        <v>99</v>
      </c>
      <c r="B77" s="29" t="s">
        <v>667</v>
      </c>
      <c r="C77" s="29" t="s">
        <v>17</v>
      </c>
      <c r="D77" s="29" t="s">
        <v>98</v>
      </c>
      <c r="E77" s="29" t="s">
        <v>100</v>
      </c>
      <c r="F77" s="37"/>
      <c r="G77" s="31">
        <f>G78</f>
        <v>0</v>
      </c>
      <c r="H77" s="116"/>
      <c r="I77" s="31">
        <f t="shared" si="0"/>
        <v>0</v>
      </c>
      <c r="J77" s="31">
        <f>J78</f>
        <v>0</v>
      </c>
      <c r="K77" s="116"/>
      <c r="L77" s="31">
        <f t="shared" si="2"/>
        <v>0</v>
      </c>
    </row>
    <row r="78" spans="1:12" ht="42.75" customHeight="1" hidden="1">
      <c r="A78" s="35" t="s">
        <v>92</v>
      </c>
      <c r="B78" s="29" t="s">
        <v>667</v>
      </c>
      <c r="C78" s="29" t="s">
        <v>17</v>
      </c>
      <c r="D78" s="29" t="s">
        <v>98</v>
      </c>
      <c r="E78" s="29" t="s">
        <v>100</v>
      </c>
      <c r="F78" s="37" t="s">
        <v>39</v>
      </c>
      <c r="G78" s="31"/>
      <c r="H78" s="116"/>
      <c r="I78" s="31">
        <f t="shared" si="0"/>
        <v>0</v>
      </c>
      <c r="J78" s="31"/>
      <c r="K78" s="116"/>
      <c r="L78" s="31">
        <f t="shared" si="2"/>
        <v>0</v>
      </c>
    </row>
    <row r="79" spans="1:12" ht="39">
      <c r="A79" s="16" t="s">
        <v>101</v>
      </c>
      <c r="B79" s="29" t="s">
        <v>667</v>
      </c>
      <c r="C79" s="29" t="s">
        <v>17</v>
      </c>
      <c r="D79" s="29" t="s">
        <v>102</v>
      </c>
      <c r="E79" s="29"/>
      <c r="F79" s="30"/>
      <c r="G79" s="31">
        <f>G80</f>
        <v>424700</v>
      </c>
      <c r="H79" s="116"/>
      <c r="I79" s="31">
        <f t="shared" si="0"/>
        <v>424700</v>
      </c>
      <c r="J79" s="31">
        <f>J80</f>
        <v>407700</v>
      </c>
      <c r="K79" s="116"/>
      <c r="L79" s="31">
        <f t="shared" si="2"/>
        <v>407700</v>
      </c>
    </row>
    <row r="80" spans="1:12" ht="33.75" customHeight="1">
      <c r="A80" s="35" t="s">
        <v>103</v>
      </c>
      <c r="B80" s="29" t="s">
        <v>667</v>
      </c>
      <c r="C80" s="29" t="s">
        <v>17</v>
      </c>
      <c r="D80" s="29" t="s">
        <v>102</v>
      </c>
      <c r="E80" s="47" t="s">
        <v>104</v>
      </c>
      <c r="F80" s="37"/>
      <c r="G80" s="31">
        <f>G81</f>
        <v>424700</v>
      </c>
      <c r="H80" s="116"/>
      <c r="I80" s="31">
        <f t="shared" si="0"/>
        <v>424700</v>
      </c>
      <c r="J80" s="31">
        <f>J81</f>
        <v>407700</v>
      </c>
      <c r="K80" s="116"/>
      <c r="L80" s="31">
        <f t="shared" si="2"/>
        <v>407700</v>
      </c>
    </row>
    <row r="81" spans="1:12" ht="26.25">
      <c r="A81" s="35" t="s">
        <v>105</v>
      </c>
      <c r="B81" s="29" t="s">
        <v>667</v>
      </c>
      <c r="C81" s="29" t="s">
        <v>17</v>
      </c>
      <c r="D81" s="29" t="s">
        <v>102</v>
      </c>
      <c r="E81" s="47" t="s">
        <v>106</v>
      </c>
      <c r="F81" s="37"/>
      <c r="G81" s="31">
        <f>G82</f>
        <v>424700</v>
      </c>
      <c r="H81" s="116"/>
      <c r="I81" s="31">
        <f t="shared" si="0"/>
        <v>424700</v>
      </c>
      <c r="J81" s="31">
        <f>J82</f>
        <v>407700</v>
      </c>
      <c r="K81" s="116"/>
      <c r="L81" s="31">
        <f t="shared" si="2"/>
        <v>407700</v>
      </c>
    </row>
    <row r="82" spans="1:12" ht="26.25">
      <c r="A82" s="8" t="s">
        <v>24</v>
      </c>
      <c r="B82" s="29" t="s">
        <v>667</v>
      </c>
      <c r="C82" s="29" t="s">
        <v>17</v>
      </c>
      <c r="D82" s="29" t="s">
        <v>102</v>
      </c>
      <c r="E82" s="47" t="s">
        <v>107</v>
      </c>
      <c r="F82" s="30"/>
      <c r="G82" s="31">
        <f>G83+G84+G85</f>
        <v>424700</v>
      </c>
      <c r="H82" s="116"/>
      <c r="I82" s="31">
        <f t="shared" si="0"/>
        <v>424700</v>
      </c>
      <c r="J82" s="31">
        <f>J83+J84+J85</f>
        <v>407700</v>
      </c>
      <c r="K82" s="116"/>
      <c r="L82" s="31">
        <f t="shared" si="2"/>
        <v>407700</v>
      </c>
    </row>
    <row r="83" spans="1:12" ht="36.75" customHeight="1">
      <c r="A83" s="35" t="s">
        <v>26</v>
      </c>
      <c r="B83" s="29" t="s">
        <v>667</v>
      </c>
      <c r="C83" s="29" t="s">
        <v>17</v>
      </c>
      <c r="D83" s="29" t="s">
        <v>102</v>
      </c>
      <c r="E83" s="47" t="s">
        <v>107</v>
      </c>
      <c r="F83" s="37" t="s">
        <v>27</v>
      </c>
      <c r="G83" s="31">
        <f>544200-119500</f>
        <v>424700</v>
      </c>
      <c r="H83" s="116"/>
      <c r="I83" s="31">
        <f t="shared" si="0"/>
        <v>424700</v>
      </c>
      <c r="J83" s="31">
        <f>544200-119500-17000</f>
        <v>407700</v>
      </c>
      <c r="K83" s="116"/>
      <c r="L83" s="31">
        <f t="shared" si="2"/>
        <v>407700</v>
      </c>
    </row>
    <row r="84" spans="1:12" ht="42.75" customHeight="1" hidden="1">
      <c r="A84" s="35" t="s">
        <v>92</v>
      </c>
      <c r="B84" s="29" t="s">
        <v>667</v>
      </c>
      <c r="C84" s="29" t="s">
        <v>17</v>
      </c>
      <c r="D84" s="29" t="s">
        <v>102</v>
      </c>
      <c r="E84" s="47" t="s">
        <v>107</v>
      </c>
      <c r="F84" s="37" t="s">
        <v>39</v>
      </c>
      <c r="G84" s="31"/>
      <c r="H84" s="116"/>
      <c r="I84" s="31">
        <f t="shared" si="0"/>
        <v>0</v>
      </c>
      <c r="J84" s="31"/>
      <c r="K84" s="116"/>
      <c r="L84" s="31">
        <f t="shared" si="2"/>
        <v>0</v>
      </c>
    </row>
    <row r="85" spans="1:12" ht="42.75" customHeight="1" hidden="1">
      <c r="A85" s="10" t="s">
        <v>84</v>
      </c>
      <c r="B85" s="29" t="s">
        <v>667</v>
      </c>
      <c r="C85" s="29" t="s">
        <v>17</v>
      </c>
      <c r="D85" s="29" t="s">
        <v>102</v>
      </c>
      <c r="E85" s="47" t="s">
        <v>107</v>
      </c>
      <c r="F85" s="37" t="s">
        <v>85</v>
      </c>
      <c r="G85" s="31"/>
      <c r="H85" s="116"/>
      <c r="I85" s="31">
        <f t="shared" si="0"/>
        <v>0</v>
      </c>
      <c r="J85" s="31"/>
      <c r="K85" s="116"/>
      <c r="L85" s="31">
        <f t="shared" si="2"/>
        <v>0</v>
      </c>
    </row>
    <row r="86" spans="1:12" ht="42.75" customHeight="1" hidden="1">
      <c r="A86" s="48" t="s">
        <v>108</v>
      </c>
      <c r="B86" s="29" t="s">
        <v>667</v>
      </c>
      <c r="C86" s="29" t="s">
        <v>17</v>
      </c>
      <c r="D86" s="29" t="s">
        <v>109</v>
      </c>
      <c r="E86" s="47"/>
      <c r="F86" s="37"/>
      <c r="G86" s="31">
        <f>G87</f>
        <v>0</v>
      </c>
      <c r="H86" s="116"/>
      <c r="I86" s="31">
        <f t="shared" si="0"/>
        <v>0</v>
      </c>
      <c r="J86" s="31">
        <f>J87</f>
        <v>0</v>
      </c>
      <c r="K86" s="116"/>
      <c r="L86" s="31">
        <f t="shared" si="2"/>
        <v>0</v>
      </c>
    </row>
    <row r="87" spans="1:12" ht="42.75" customHeight="1" hidden="1">
      <c r="A87" s="16" t="s">
        <v>86</v>
      </c>
      <c r="B87" s="29" t="s">
        <v>667</v>
      </c>
      <c r="C87" s="29" t="s">
        <v>17</v>
      </c>
      <c r="D87" s="29" t="s">
        <v>109</v>
      </c>
      <c r="E87" s="47" t="s">
        <v>87</v>
      </c>
      <c r="F87" s="37"/>
      <c r="G87" s="31">
        <f>G88</f>
        <v>0</v>
      </c>
      <c r="H87" s="116"/>
      <c r="I87" s="31">
        <f t="shared" si="0"/>
        <v>0</v>
      </c>
      <c r="J87" s="31">
        <f>J88</f>
        <v>0</v>
      </c>
      <c r="K87" s="116"/>
      <c r="L87" s="31">
        <f t="shared" si="2"/>
        <v>0</v>
      </c>
    </row>
    <row r="88" spans="1:12" ht="42.75" customHeight="1" hidden="1">
      <c r="A88" s="10" t="s">
        <v>110</v>
      </c>
      <c r="B88" s="29" t="s">
        <v>667</v>
      </c>
      <c r="C88" s="29" t="s">
        <v>17</v>
      </c>
      <c r="D88" s="29" t="s">
        <v>109</v>
      </c>
      <c r="E88" s="47" t="s">
        <v>111</v>
      </c>
      <c r="F88" s="37"/>
      <c r="G88" s="31">
        <f>G89</f>
        <v>0</v>
      </c>
      <c r="H88" s="116"/>
      <c r="I88" s="31">
        <f t="shared" si="0"/>
        <v>0</v>
      </c>
      <c r="J88" s="31">
        <f>J89</f>
        <v>0</v>
      </c>
      <c r="K88" s="116"/>
      <c r="L88" s="31">
        <f t="shared" si="2"/>
        <v>0</v>
      </c>
    </row>
    <row r="89" spans="1:12" ht="42.75" customHeight="1" hidden="1">
      <c r="A89" s="10" t="s">
        <v>112</v>
      </c>
      <c r="B89" s="29" t="s">
        <v>667</v>
      </c>
      <c r="C89" s="29" t="s">
        <v>17</v>
      </c>
      <c r="D89" s="29" t="s">
        <v>109</v>
      </c>
      <c r="E89" s="47" t="s">
        <v>113</v>
      </c>
      <c r="F89" s="37"/>
      <c r="G89" s="31">
        <f>G90</f>
        <v>0</v>
      </c>
      <c r="H89" s="116"/>
      <c r="I89" s="31">
        <f t="shared" si="0"/>
        <v>0</v>
      </c>
      <c r="J89" s="31">
        <f>J90</f>
        <v>0</v>
      </c>
      <c r="K89" s="116"/>
      <c r="L89" s="31">
        <f t="shared" si="2"/>
        <v>0</v>
      </c>
    </row>
    <row r="90" spans="1:12" ht="42.75" customHeight="1" hidden="1">
      <c r="A90" s="10" t="s">
        <v>84</v>
      </c>
      <c r="B90" s="29" t="s">
        <v>667</v>
      </c>
      <c r="C90" s="29" t="s">
        <v>17</v>
      </c>
      <c r="D90" s="29" t="s">
        <v>109</v>
      </c>
      <c r="E90" s="47" t="s">
        <v>113</v>
      </c>
      <c r="F90" s="37" t="s">
        <v>85</v>
      </c>
      <c r="G90" s="31"/>
      <c r="H90" s="116"/>
      <c r="I90" s="31">
        <f t="shared" si="0"/>
        <v>0</v>
      </c>
      <c r="J90" s="31"/>
      <c r="K90" s="116"/>
      <c r="L90" s="31">
        <f t="shared" si="2"/>
        <v>0</v>
      </c>
    </row>
    <row r="91" spans="1:12" ht="15">
      <c r="A91" s="16" t="s">
        <v>114</v>
      </c>
      <c r="B91" s="29" t="s">
        <v>667</v>
      </c>
      <c r="C91" s="29" t="s">
        <v>17</v>
      </c>
      <c r="D91" s="29" t="s">
        <v>115</v>
      </c>
      <c r="E91" s="29"/>
      <c r="F91" s="30"/>
      <c r="G91" s="31">
        <f>G93</f>
        <v>100000</v>
      </c>
      <c r="H91" s="116"/>
      <c r="I91" s="31">
        <f t="shared" si="0"/>
        <v>100000</v>
      </c>
      <c r="J91" s="31">
        <f>J93</f>
        <v>100000</v>
      </c>
      <c r="K91" s="116"/>
      <c r="L91" s="31">
        <f t="shared" si="2"/>
        <v>100000</v>
      </c>
    </row>
    <row r="92" spans="1:12" ht="15">
      <c r="A92" s="35" t="s">
        <v>116</v>
      </c>
      <c r="B92" s="29" t="s">
        <v>667</v>
      </c>
      <c r="C92" s="29" t="s">
        <v>17</v>
      </c>
      <c r="D92" s="29" t="s">
        <v>115</v>
      </c>
      <c r="E92" s="36" t="s">
        <v>117</v>
      </c>
      <c r="F92" s="49" t="s">
        <v>118</v>
      </c>
      <c r="G92" s="31">
        <f>G93</f>
        <v>100000</v>
      </c>
      <c r="H92" s="116"/>
      <c r="I92" s="31">
        <f t="shared" si="0"/>
        <v>100000</v>
      </c>
      <c r="J92" s="31">
        <f>J93</f>
        <v>100000</v>
      </c>
      <c r="K92" s="116"/>
      <c r="L92" s="31">
        <f t="shared" si="2"/>
        <v>100000</v>
      </c>
    </row>
    <row r="93" spans="1:12" ht="15">
      <c r="A93" s="35" t="s">
        <v>114</v>
      </c>
      <c r="B93" s="29" t="s">
        <v>667</v>
      </c>
      <c r="C93" s="29" t="s">
        <v>17</v>
      </c>
      <c r="D93" s="29" t="s">
        <v>115</v>
      </c>
      <c r="E93" s="36" t="s">
        <v>119</v>
      </c>
      <c r="F93" s="49" t="s">
        <v>118</v>
      </c>
      <c r="G93" s="31">
        <f>G94</f>
        <v>100000</v>
      </c>
      <c r="H93" s="116"/>
      <c r="I93" s="31">
        <f t="shared" si="0"/>
        <v>100000</v>
      </c>
      <c r="J93" s="31">
        <f>J94</f>
        <v>100000</v>
      </c>
      <c r="K93" s="116"/>
      <c r="L93" s="31">
        <f t="shared" si="2"/>
        <v>100000</v>
      </c>
    </row>
    <row r="94" spans="1:12" ht="15">
      <c r="A94" s="8" t="s">
        <v>120</v>
      </c>
      <c r="B94" s="29" t="s">
        <v>667</v>
      </c>
      <c r="C94" s="29" t="s">
        <v>17</v>
      </c>
      <c r="D94" s="29" t="s">
        <v>115</v>
      </c>
      <c r="E94" s="36" t="s">
        <v>121</v>
      </c>
      <c r="F94" s="49" t="s">
        <v>118</v>
      </c>
      <c r="G94" s="31">
        <f>G95</f>
        <v>100000</v>
      </c>
      <c r="H94" s="116"/>
      <c r="I94" s="31">
        <f aca="true" t="shared" si="3" ref="I94:I255">G94+H94</f>
        <v>100000</v>
      </c>
      <c r="J94" s="31">
        <f>J95</f>
        <v>100000</v>
      </c>
      <c r="K94" s="116"/>
      <c r="L94" s="31">
        <f t="shared" si="2"/>
        <v>100000</v>
      </c>
    </row>
    <row r="95" spans="1:12" ht="15">
      <c r="A95" s="35" t="s">
        <v>84</v>
      </c>
      <c r="B95" s="29" t="s">
        <v>667</v>
      </c>
      <c r="C95" s="29" t="s">
        <v>17</v>
      </c>
      <c r="D95" s="29" t="s">
        <v>115</v>
      </c>
      <c r="E95" s="36" t="s">
        <v>121</v>
      </c>
      <c r="F95" s="49" t="s">
        <v>85</v>
      </c>
      <c r="G95" s="31">
        <f>100000</f>
        <v>100000</v>
      </c>
      <c r="H95" s="116"/>
      <c r="I95" s="31">
        <f t="shared" si="3"/>
        <v>100000</v>
      </c>
      <c r="J95" s="31">
        <f>100000</f>
        <v>100000</v>
      </c>
      <c r="K95" s="116"/>
      <c r="L95" s="31">
        <f t="shared" si="2"/>
        <v>100000</v>
      </c>
    </row>
    <row r="96" spans="1:12" ht="15">
      <c r="A96" s="16" t="s">
        <v>122</v>
      </c>
      <c r="B96" s="29" t="s">
        <v>667</v>
      </c>
      <c r="C96" s="29" t="s">
        <v>17</v>
      </c>
      <c r="D96" s="29" t="s">
        <v>123</v>
      </c>
      <c r="E96" s="29"/>
      <c r="F96" s="30"/>
      <c r="G96" s="31">
        <f>G97+G118+G153+G159+G175+G128+G140+G133+G123+G149</f>
        <v>10321184</v>
      </c>
      <c r="H96" s="116"/>
      <c r="I96" s="31">
        <f t="shared" si="3"/>
        <v>10321184</v>
      </c>
      <c r="J96" s="31">
        <f>J97+J118+J153+J159+J175+J128+J140+J133+J123+J149</f>
        <v>10106963</v>
      </c>
      <c r="K96" s="116"/>
      <c r="L96" s="31">
        <f t="shared" si="2"/>
        <v>10106963</v>
      </c>
    </row>
    <row r="97" spans="1:12" ht="48.75" customHeight="1">
      <c r="A97" s="16" t="s">
        <v>124</v>
      </c>
      <c r="B97" s="29" t="s">
        <v>667</v>
      </c>
      <c r="C97" s="29" t="s">
        <v>17</v>
      </c>
      <c r="D97" s="29" t="s">
        <v>123</v>
      </c>
      <c r="E97" s="29" t="s">
        <v>44</v>
      </c>
      <c r="F97" s="30"/>
      <c r="G97" s="31">
        <f>G109+G102+G98</f>
        <v>51000</v>
      </c>
      <c r="H97" s="116"/>
      <c r="I97" s="31">
        <f t="shared" si="3"/>
        <v>51000</v>
      </c>
      <c r="J97" s="31">
        <f>J109+J102+J98</f>
        <v>51000</v>
      </c>
      <c r="K97" s="116"/>
      <c r="L97" s="31">
        <f t="shared" si="2"/>
        <v>51000</v>
      </c>
    </row>
    <row r="98" spans="1:12" ht="74.25" customHeight="1">
      <c r="A98" s="9" t="s">
        <v>125</v>
      </c>
      <c r="B98" s="29" t="s">
        <v>667</v>
      </c>
      <c r="C98" s="29" t="s">
        <v>17</v>
      </c>
      <c r="D98" s="29" t="s">
        <v>123</v>
      </c>
      <c r="E98" s="29" t="s">
        <v>126</v>
      </c>
      <c r="F98" s="30"/>
      <c r="G98" s="31">
        <f>G99</f>
        <v>14000</v>
      </c>
      <c r="H98" s="116"/>
      <c r="I98" s="31">
        <f t="shared" si="3"/>
        <v>14000</v>
      </c>
      <c r="J98" s="31">
        <f>J99</f>
        <v>14000</v>
      </c>
      <c r="K98" s="116"/>
      <c r="L98" s="31">
        <f t="shared" si="2"/>
        <v>14000</v>
      </c>
    </row>
    <row r="99" spans="1:12" ht="45.75" customHeight="1">
      <c r="A99" s="9" t="s">
        <v>127</v>
      </c>
      <c r="B99" s="29" t="s">
        <v>667</v>
      </c>
      <c r="C99" s="29" t="s">
        <v>17</v>
      </c>
      <c r="D99" s="29" t="s">
        <v>123</v>
      </c>
      <c r="E99" s="29" t="s">
        <v>128</v>
      </c>
      <c r="F99" s="30"/>
      <c r="G99" s="31">
        <f>G100</f>
        <v>14000</v>
      </c>
      <c r="H99" s="116"/>
      <c r="I99" s="31">
        <f t="shared" si="3"/>
        <v>14000</v>
      </c>
      <c r="J99" s="31">
        <f>J100</f>
        <v>14000</v>
      </c>
      <c r="K99" s="116"/>
      <c r="L99" s="31">
        <f t="shared" si="2"/>
        <v>14000</v>
      </c>
    </row>
    <row r="100" spans="1:12" ht="15.75" customHeight="1">
      <c r="A100" s="35" t="s">
        <v>129</v>
      </c>
      <c r="B100" s="29" t="s">
        <v>667</v>
      </c>
      <c r="C100" s="29" t="s">
        <v>17</v>
      </c>
      <c r="D100" s="29" t="s">
        <v>123</v>
      </c>
      <c r="E100" s="50" t="s">
        <v>130</v>
      </c>
      <c r="F100" s="30"/>
      <c r="G100" s="31">
        <f>G101</f>
        <v>14000</v>
      </c>
      <c r="H100" s="116"/>
      <c r="I100" s="31">
        <f t="shared" si="3"/>
        <v>14000</v>
      </c>
      <c r="J100" s="31">
        <f>J101</f>
        <v>14000</v>
      </c>
      <c r="K100" s="116"/>
      <c r="L100" s="31">
        <f t="shared" si="2"/>
        <v>14000</v>
      </c>
    </row>
    <row r="101" spans="1:12" ht="28.5" customHeight="1">
      <c r="A101" s="35" t="s">
        <v>38</v>
      </c>
      <c r="B101" s="29" t="s">
        <v>667</v>
      </c>
      <c r="C101" s="29" t="s">
        <v>17</v>
      </c>
      <c r="D101" s="29" t="s">
        <v>123</v>
      </c>
      <c r="E101" s="50" t="s">
        <v>130</v>
      </c>
      <c r="F101" s="30" t="s">
        <v>39</v>
      </c>
      <c r="G101" s="31">
        <v>14000</v>
      </c>
      <c r="H101" s="116"/>
      <c r="I101" s="31">
        <f t="shared" si="3"/>
        <v>14000</v>
      </c>
      <c r="J101" s="31">
        <v>14000</v>
      </c>
      <c r="K101" s="116"/>
      <c r="L101" s="31">
        <f t="shared" si="2"/>
        <v>14000</v>
      </c>
    </row>
    <row r="102" spans="1:12" ht="65.25" customHeight="1">
      <c r="A102" s="35" t="s">
        <v>45</v>
      </c>
      <c r="B102" s="29" t="s">
        <v>667</v>
      </c>
      <c r="C102" s="29" t="s">
        <v>17</v>
      </c>
      <c r="D102" s="29" t="s">
        <v>123</v>
      </c>
      <c r="E102" s="29" t="s">
        <v>46</v>
      </c>
      <c r="F102" s="30"/>
      <c r="G102" s="31">
        <f>G103+G106</f>
        <v>27000</v>
      </c>
      <c r="H102" s="116"/>
      <c r="I102" s="31">
        <f t="shared" si="3"/>
        <v>27000</v>
      </c>
      <c r="J102" s="31">
        <f>J103+J106</f>
        <v>27000</v>
      </c>
      <c r="K102" s="116"/>
      <c r="L102" s="31">
        <f t="shared" si="2"/>
        <v>27000</v>
      </c>
    </row>
    <row r="103" spans="1:12" ht="42.75" customHeight="1" hidden="1">
      <c r="A103" s="43" t="s">
        <v>47</v>
      </c>
      <c r="B103" s="29" t="s">
        <v>667</v>
      </c>
      <c r="C103" s="29" t="s">
        <v>17</v>
      </c>
      <c r="D103" s="29" t="s">
        <v>123</v>
      </c>
      <c r="E103" s="29" t="s">
        <v>48</v>
      </c>
      <c r="F103" s="30"/>
      <c r="G103" s="31">
        <f>G105</f>
        <v>0</v>
      </c>
      <c r="H103" s="116"/>
      <c r="I103" s="31">
        <f t="shared" si="3"/>
        <v>0</v>
      </c>
      <c r="J103" s="31">
        <f>J105</f>
        <v>0</v>
      </c>
      <c r="K103" s="116"/>
      <c r="L103" s="31">
        <f t="shared" si="2"/>
        <v>0</v>
      </c>
    </row>
    <row r="104" spans="1:12" ht="42.75" customHeight="1" hidden="1">
      <c r="A104" s="59" t="s">
        <v>668</v>
      </c>
      <c r="B104" s="29" t="s">
        <v>667</v>
      </c>
      <c r="C104" s="29" t="s">
        <v>17</v>
      </c>
      <c r="D104" s="29" t="s">
        <v>123</v>
      </c>
      <c r="E104" s="120" t="s">
        <v>669</v>
      </c>
      <c r="F104" s="30"/>
      <c r="G104" s="31">
        <f>G105</f>
        <v>0</v>
      </c>
      <c r="H104" s="116"/>
      <c r="I104" s="31">
        <f t="shared" si="3"/>
        <v>0</v>
      </c>
      <c r="J104" s="31">
        <f>J105</f>
        <v>0</v>
      </c>
      <c r="K104" s="116"/>
      <c r="L104" s="31">
        <f t="shared" si="2"/>
        <v>0</v>
      </c>
    </row>
    <row r="105" spans="1:12" ht="42.75" customHeight="1" hidden="1">
      <c r="A105" s="35" t="s">
        <v>38</v>
      </c>
      <c r="B105" s="29" t="s">
        <v>667</v>
      </c>
      <c r="C105" s="29" t="s">
        <v>17</v>
      </c>
      <c r="D105" s="29" t="s">
        <v>123</v>
      </c>
      <c r="E105" s="120" t="s">
        <v>669</v>
      </c>
      <c r="F105" s="30" t="s">
        <v>39</v>
      </c>
      <c r="G105" s="31"/>
      <c r="H105" s="116"/>
      <c r="I105" s="31">
        <f t="shared" si="3"/>
        <v>0</v>
      </c>
      <c r="J105" s="31"/>
      <c r="K105" s="116"/>
      <c r="L105" s="31">
        <f t="shared" si="2"/>
        <v>0</v>
      </c>
    </row>
    <row r="106" spans="1:12" ht="28.5" customHeight="1">
      <c r="A106" s="59" t="s">
        <v>131</v>
      </c>
      <c r="B106" s="29" t="s">
        <v>667</v>
      </c>
      <c r="C106" s="29" t="s">
        <v>17</v>
      </c>
      <c r="D106" s="29" t="s">
        <v>123</v>
      </c>
      <c r="E106" s="29" t="s">
        <v>132</v>
      </c>
      <c r="F106" s="30"/>
      <c r="G106" s="31">
        <f>G107</f>
        <v>27000</v>
      </c>
      <c r="H106" s="116"/>
      <c r="I106" s="31">
        <f t="shared" si="3"/>
        <v>27000</v>
      </c>
      <c r="J106" s="31">
        <f>J107</f>
        <v>27000</v>
      </c>
      <c r="K106" s="116"/>
      <c r="L106" s="31">
        <f t="shared" si="2"/>
        <v>27000</v>
      </c>
    </row>
    <row r="107" spans="1:12" ht="44.25" customHeight="1">
      <c r="A107" s="9" t="s">
        <v>133</v>
      </c>
      <c r="B107" s="29" t="s">
        <v>667</v>
      </c>
      <c r="C107" s="29" t="s">
        <v>17</v>
      </c>
      <c r="D107" s="29" t="s">
        <v>123</v>
      </c>
      <c r="E107" s="50" t="s">
        <v>134</v>
      </c>
      <c r="F107" s="30"/>
      <c r="G107" s="31">
        <f>G108</f>
        <v>27000</v>
      </c>
      <c r="H107" s="116"/>
      <c r="I107" s="31">
        <f t="shared" si="3"/>
        <v>27000</v>
      </c>
      <c r="J107" s="31">
        <f>J108</f>
        <v>27000</v>
      </c>
      <c r="K107" s="116"/>
      <c r="L107" s="31">
        <f t="shared" si="2"/>
        <v>27000</v>
      </c>
    </row>
    <row r="108" spans="1:12" ht="27" customHeight="1">
      <c r="A108" s="35" t="s">
        <v>38</v>
      </c>
      <c r="B108" s="29" t="s">
        <v>667</v>
      </c>
      <c r="C108" s="29" t="s">
        <v>17</v>
      </c>
      <c r="D108" s="29" t="s">
        <v>123</v>
      </c>
      <c r="E108" s="50" t="s">
        <v>134</v>
      </c>
      <c r="F108" s="30" t="s">
        <v>39</v>
      </c>
      <c r="G108" s="31">
        <f>27000</f>
        <v>27000</v>
      </c>
      <c r="H108" s="116"/>
      <c r="I108" s="31">
        <f t="shared" si="3"/>
        <v>27000</v>
      </c>
      <c r="J108" s="31">
        <f>27000</f>
        <v>27000</v>
      </c>
      <c r="K108" s="116"/>
      <c r="L108" s="31">
        <f t="shared" si="2"/>
        <v>27000</v>
      </c>
    </row>
    <row r="109" spans="1:12" ht="71.25" customHeight="1">
      <c r="A109" s="8" t="s">
        <v>135</v>
      </c>
      <c r="B109" s="29" t="s">
        <v>667</v>
      </c>
      <c r="C109" s="29" t="s">
        <v>17</v>
      </c>
      <c r="D109" s="29" t="s">
        <v>123</v>
      </c>
      <c r="E109" s="29" t="s">
        <v>52</v>
      </c>
      <c r="F109" s="30"/>
      <c r="G109" s="31">
        <f>G110+G115</f>
        <v>10000</v>
      </c>
      <c r="H109" s="116"/>
      <c r="I109" s="31">
        <f t="shared" si="3"/>
        <v>10000</v>
      </c>
      <c r="J109" s="31">
        <f>J110+J115</f>
        <v>10000</v>
      </c>
      <c r="K109" s="116"/>
      <c r="L109" s="31">
        <f t="shared" si="2"/>
        <v>10000</v>
      </c>
    </row>
    <row r="110" spans="1:12" ht="38.25" customHeight="1" hidden="1">
      <c r="A110" s="8" t="s">
        <v>136</v>
      </c>
      <c r="B110" s="29" t="s">
        <v>667</v>
      </c>
      <c r="C110" s="29" t="s">
        <v>17</v>
      </c>
      <c r="D110" s="29" t="s">
        <v>123</v>
      </c>
      <c r="E110" s="29" t="s">
        <v>137</v>
      </c>
      <c r="F110" s="30"/>
      <c r="G110" s="31">
        <f>G111+G113</f>
        <v>0</v>
      </c>
      <c r="H110" s="116"/>
      <c r="I110" s="31">
        <f t="shared" si="3"/>
        <v>0</v>
      </c>
      <c r="J110" s="31">
        <f>J111+J113</f>
        <v>0</v>
      </c>
      <c r="K110" s="116"/>
      <c r="L110" s="31">
        <f t="shared" si="2"/>
        <v>0</v>
      </c>
    </row>
    <row r="111" spans="1:12" ht="47.25" customHeight="1" hidden="1">
      <c r="A111" s="8" t="s">
        <v>138</v>
      </c>
      <c r="B111" s="29" t="s">
        <v>667</v>
      </c>
      <c r="C111" s="29" t="s">
        <v>17</v>
      </c>
      <c r="D111" s="29" t="s">
        <v>123</v>
      </c>
      <c r="E111" s="29" t="s">
        <v>139</v>
      </c>
      <c r="F111" s="30"/>
      <c r="G111" s="31">
        <f>G112</f>
        <v>0</v>
      </c>
      <c r="H111" s="116"/>
      <c r="I111" s="31">
        <f t="shared" si="3"/>
        <v>0</v>
      </c>
      <c r="J111" s="31">
        <f>J112</f>
        <v>0</v>
      </c>
      <c r="K111" s="116"/>
      <c r="L111" s="31">
        <f t="shared" si="2"/>
        <v>0</v>
      </c>
    </row>
    <row r="112" spans="1:12" ht="26.25" hidden="1">
      <c r="A112" s="35" t="s">
        <v>140</v>
      </c>
      <c r="B112" s="29" t="s">
        <v>667</v>
      </c>
      <c r="C112" s="29" t="s">
        <v>17</v>
      </c>
      <c r="D112" s="29" t="s">
        <v>123</v>
      </c>
      <c r="E112" s="29" t="s">
        <v>139</v>
      </c>
      <c r="F112" s="37" t="s">
        <v>141</v>
      </c>
      <c r="G112" s="31"/>
      <c r="H112" s="116"/>
      <c r="I112" s="31">
        <f t="shared" si="3"/>
        <v>0</v>
      </c>
      <c r="J112" s="31"/>
      <c r="K112" s="116"/>
      <c r="L112" s="31">
        <f t="shared" si="2"/>
        <v>0</v>
      </c>
    </row>
    <row r="113" spans="1:12" ht="25.5" customHeight="1" hidden="1">
      <c r="A113" s="8" t="s">
        <v>142</v>
      </c>
      <c r="B113" s="29" t="s">
        <v>667</v>
      </c>
      <c r="C113" s="29" t="s">
        <v>17</v>
      </c>
      <c r="D113" s="29" t="s">
        <v>123</v>
      </c>
      <c r="E113" s="29" t="s">
        <v>143</v>
      </c>
      <c r="F113" s="37"/>
      <c r="G113" s="31">
        <f>G114</f>
        <v>0</v>
      </c>
      <c r="H113" s="116"/>
      <c r="I113" s="31">
        <f t="shared" si="3"/>
        <v>0</v>
      </c>
      <c r="J113" s="31">
        <f>J114</f>
        <v>0</v>
      </c>
      <c r="K113" s="116"/>
      <c r="L113" s="31">
        <f t="shared" si="2"/>
        <v>0</v>
      </c>
    </row>
    <row r="114" spans="1:12" ht="41.25" customHeight="1" hidden="1">
      <c r="A114" s="35" t="s">
        <v>140</v>
      </c>
      <c r="B114" s="29" t="s">
        <v>667</v>
      </c>
      <c r="C114" s="29" t="s">
        <v>17</v>
      </c>
      <c r="D114" s="29" t="s">
        <v>123</v>
      </c>
      <c r="E114" s="29" t="s">
        <v>143</v>
      </c>
      <c r="F114" s="37" t="s">
        <v>141</v>
      </c>
      <c r="G114" s="31"/>
      <c r="H114" s="116"/>
      <c r="I114" s="31">
        <f t="shared" si="3"/>
        <v>0</v>
      </c>
      <c r="J114" s="31"/>
      <c r="K114" s="116"/>
      <c r="L114" s="31">
        <f t="shared" si="2"/>
        <v>0</v>
      </c>
    </row>
    <row r="115" spans="1:12" ht="38.25">
      <c r="A115" s="13" t="s">
        <v>53</v>
      </c>
      <c r="B115" s="29" t="s">
        <v>667</v>
      </c>
      <c r="C115" s="29" t="s">
        <v>17</v>
      </c>
      <c r="D115" s="29" t="s">
        <v>123</v>
      </c>
      <c r="E115" s="29" t="s">
        <v>54</v>
      </c>
      <c r="F115" s="37"/>
      <c r="G115" s="31">
        <f>G116</f>
        <v>10000</v>
      </c>
      <c r="H115" s="116"/>
      <c r="I115" s="31">
        <f t="shared" si="3"/>
        <v>10000</v>
      </c>
      <c r="J115" s="31">
        <f>J116</f>
        <v>10000</v>
      </c>
      <c r="K115" s="116"/>
      <c r="L115" s="31">
        <f t="shared" si="2"/>
        <v>10000</v>
      </c>
    </row>
    <row r="116" spans="1:12" ht="30" customHeight="1">
      <c r="A116" s="59" t="s">
        <v>144</v>
      </c>
      <c r="B116" s="29" t="s">
        <v>667</v>
      </c>
      <c r="C116" s="29" t="s">
        <v>17</v>
      </c>
      <c r="D116" s="29" t="s">
        <v>123</v>
      </c>
      <c r="E116" s="29" t="s">
        <v>145</v>
      </c>
      <c r="F116" s="37"/>
      <c r="G116" s="31">
        <f>G117</f>
        <v>10000</v>
      </c>
      <c r="H116" s="116"/>
      <c r="I116" s="31">
        <f t="shared" si="3"/>
        <v>10000</v>
      </c>
      <c r="J116" s="31">
        <f>J117</f>
        <v>10000</v>
      </c>
      <c r="K116" s="116"/>
      <c r="L116" s="31">
        <f t="shared" si="2"/>
        <v>10000</v>
      </c>
    </row>
    <row r="117" spans="1:12" ht="26.25">
      <c r="A117" s="35" t="s">
        <v>38</v>
      </c>
      <c r="B117" s="29" t="s">
        <v>667</v>
      </c>
      <c r="C117" s="29" t="s">
        <v>17</v>
      </c>
      <c r="D117" s="29" t="s">
        <v>123</v>
      </c>
      <c r="E117" s="29" t="s">
        <v>145</v>
      </c>
      <c r="F117" s="37" t="s">
        <v>39</v>
      </c>
      <c r="G117" s="31">
        <f>10000</f>
        <v>10000</v>
      </c>
      <c r="H117" s="116"/>
      <c r="I117" s="31">
        <f t="shared" si="3"/>
        <v>10000</v>
      </c>
      <c r="J117" s="31">
        <f>10000</f>
        <v>10000</v>
      </c>
      <c r="K117" s="116"/>
      <c r="L117" s="31">
        <f t="shared" si="2"/>
        <v>10000</v>
      </c>
    </row>
    <row r="118" spans="1:12" ht="38.25">
      <c r="A118" s="121" t="s">
        <v>146</v>
      </c>
      <c r="B118" s="29" t="s">
        <v>667</v>
      </c>
      <c r="C118" s="29" t="s">
        <v>17</v>
      </c>
      <c r="D118" s="29" t="s">
        <v>123</v>
      </c>
      <c r="E118" s="29" t="s">
        <v>147</v>
      </c>
      <c r="F118" s="37"/>
      <c r="G118" s="31">
        <f>G119</f>
        <v>280000</v>
      </c>
      <c r="H118" s="116"/>
      <c r="I118" s="31">
        <f t="shared" si="3"/>
        <v>280000</v>
      </c>
      <c r="J118" s="31">
        <f>J119</f>
        <v>280000</v>
      </c>
      <c r="K118" s="116"/>
      <c r="L118" s="31">
        <f t="shared" si="2"/>
        <v>280000</v>
      </c>
    </row>
    <row r="119" spans="1:12" ht="59.25" customHeight="1">
      <c r="A119" s="63" t="s">
        <v>148</v>
      </c>
      <c r="B119" s="29" t="s">
        <v>667</v>
      </c>
      <c r="C119" s="29" t="s">
        <v>17</v>
      </c>
      <c r="D119" s="29" t="s">
        <v>123</v>
      </c>
      <c r="E119" s="29" t="s">
        <v>149</v>
      </c>
      <c r="F119" s="37"/>
      <c r="G119" s="31">
        <f>G120</f>
        <v>280000</v>
      </c>
      <c r="H119" s="116"/>
      <c r="I119" s="31">
        <f t="shared" si="3"/>
        <v>280000</v>
      </c>
      <c r="J119" s="31">
        <f>J120</f>
        <v>280000</v>
      </c>
      <c r="K119" s="116"/>
      <c r="L119" s="31">
        <f t="shared" si="2"/>
        <v>280000</v>
      </c>
    </row>
    <row r="120" spans="1:12" ht="28.5" customHeight="1">
      <c r="A120" s="63" t="s">
        <v>150</v>
      </c>
      <c r="B120" s="29" t="s">
        <v>667</v>
      </c>
      <c r="C120" s="29" t="s">
        <v>17</v>
      </c>
      <c r="D120" s="29" t="s">
        <v>123</v>
      </c>
      <c r="E120" s="29" t="s">
        <v>151</v>
      </c>
      <c r="F120" s="37"/>
      <c r="G120" s="31">
        <f>G121</f>
        <v>280000</v>
      </c>
      <c r="H120" s="116"/>
      <c r="I120" s="31">
        <f t="shared" si="3"/>
        <v>280000</v>
      </c>
      <c r="J120" s="31">
        <f>J121</f>
        <v>280000</v>
      </c>
      <c r="K120" s="116"/>
      <c r="L120" s="31">
        <f t="shared" si="2"/>
        <v>280000</v>
      </c>
    </row>
    <row r="121" spans="1:12" ht="18.75" customHeight="1">
      <c r="A121" s="63" t="s">
        <v>152</v>
      </c>
      <c r="B121" s="29" t="s">
        <v>667</v>
      </c>
      <c r="C121" s="29" t="s">
        <v>17</v>
      </c>
      <c r="D121" s="29" t="s">
        <v>123</v>
      </c>
      <c r="E121" s="29" t="s">
        <v>153</v>
      </c>
      <c r="F121" s="37"/>
      <c r="G121" s="31">
        <f>G122</f>
        <v>280000</v>
      </c>
      <c r="H121" s="116"/>
      <c r="I121" s="31">
        <f t="shared" si="3"/>
        <v>280000</v>
      </c>
      <c r="J121" s="31">
        <f>J122</f>
        <v>280000</v>
      </c>
      <c r="K121" s="116"/>
      <c r="L121" s="31">
        <f t="shared" si="2"/>
        <v>280000</v>
      </c>
    </row>
    <row r="122" spans="1:12" ht="25.5" customHeight="1">
      <c r="A122" s="35" t="s">
        <v>38</v>
      </c>
      <c r="B122" s="29" t="s">
        <v>667</v>
      </c>
      <c r="C122" s="29" t="s">
        <v>17</v>
      </c>
      <c r="D122" s="29" t="s">
        <v>123</v>
      </c>
      <c r="E122" s="29" t="s">
        <v>153</v>
      </c>
      <c r="F122" s="30" t="s">
        <v>39</v>
      </c>
      <c r="G122" s="31">
        <f>80000+200000</f>
        <v>280000</v>
      </c>
      <c r="H122" s="116"/>
      <c r="I122" s="31">
        <f t="shared" si="3"/>
        <v>280000</v>
      </c>
      <c r="J122" s="31">
        <f>80000+200000</f>
        <v>280000</v>
      </c>
      <c r="K122" s="116"/>
      <c r="L122" s="31">
        <f t="shared" si="2"/>
        <v>280000</v>
      </c>
    </row>
    <row r="123" spans="1:12" ht="39" hidden="1">
      <c r="A123" s="15" t="s">
        <v>59</v>
      </c>
      <c r="B123" s="29" t="s">
        <v>667</v>
      </c>
      <c r="C123" s="29" t="s">
        <v>17</v>
      </c>
      <c r="D123" s="29" t="s">
        <v>123</v>
      </c>
      <c r="E123" s="36" t="s">
        <v>60</v>
      </c>
      <c r="F123" s="30"/>
      <c r="G123" s="31">
        <f>G124</f>
        <v>0</v>
      </c>
      <c r="H123" s="116"/>
      <c r="I123" s="31">
        <f t="shared" si="3"/>
        <v>0</v>
      </c>
      <c r="J123" s="31">
        <f>J124</f>
        <v>0</v>
      </c>
      <c r="K123" s="116"/>
      <c r="L123" s="31">
        <f t="shared" si="2"/>
        <v>0</v>
      </c>
    </row>
    <row r="124" spans="1:12" ht="66.75" customHeight="1" hidden="1">
      <c r="A124" s="13" t="s">
        <v>61</v>
      </c>
      <c r="B124" s="29" t="s">
        <v>667</v>
      </c>
      <c r="C124" s="29" t="s">
        <v>17</v>
      </c>
      <c r="D124" s="29" t="s">
        <v>123</v>
      </c>
      <c r="E124" s="36" t="s">
        <v>62</v>
      </c>
      <c r="F124" s="30"/>
      <c r="G124" s="31">
        <f>G125</f>
        <v>0</v>
      </c>
      <c r="H124" s="116"/>
      <c r="I124" s="31">
        <f t="shared" si="3"/>
        <v>0</v>
      </c>
      <c r="J124" s="31">
        <f>J125</f>
        <v>0</v>
      </c>
      <c r="K124" s="116"/>
      <c r="L124" s="31">
        <f t="shared" si="2"/>
        <v>0</v>
      </c>
    </row>
    <row r="125" spans="1:12" ht="25.5" hidden="1">
      <c r="A125" s="10" t="s">
        <v>63</v>
      </c>
      <c r="B125" s="29" t="s">
        <v>667</v>
      </c>
      <c r="C125" s="29" t="s">
        <v>17</v>
      </c>
      <c r="D125" s="29" t="s">
        <v>123</v>
      </c>
      <c r="E125" s="36" t="s">
        <v>64</v>
      </c>
      <c r="F125" s="30"/>
      <c r="G125" s="31">
        <f>G126</f>
        <v>0</v>
      </c>
      <c r="H125" s="116"/>
      <c r="I125" s="31">
        <f t="shared" si="3"/>
        <v>0</v>
      </c>
      <c r="J125" s="31">
        <f>J126</f>
        <v>0</v>
      </c>
      <c r="K125" s="116"/>
      <c r="L125" s="31">
        <f t="shared" si="2"/>
        <v>0</v>
      </c>
    </row>
    <row r="126" spans="1:12" ht="26.25" hidden="1">
      <c r="A126" s="35" t="s">
        <v>155</v>
      </c>
      <c r="B126" s="29" t="s">
        <v>667</v>
      </c>
      <c r="C126" s="29" t="s">
        <v>17</v>
      </c>
      <c r="D126" s="29" t="s">
        <v>123</v>
      </c>
      <c r="E126" s="36" t="s">
        <v>156</v>
      </c>
      <c r="F126" s="30"/>
      <c r="G126" s="31">
        <f>G127</f>
        <v>0</v>
      </c>
      <c r="H126" s="116"/>
      <c r="I126" s="31">
        <f t="shared" si="3"/>
        <v>0</v>
      </c>
      <c r="J126" s="31">
        <f>J127</f>
        <v>0</v>
      </c>
      <c r="K126" s="116"/>
      <c r="L126" s="31">
        <f t="shared" si="2"/>
        <v>0</v>
      </c>
    </row>
    <row r="127" spans="1:12" ht="26.25" hidden="1">
      <c r="A127" s="35" t="s">
        <v>38</v>
      </c>
      <c r="B127" s="29" t="s">
        <v>667</v>
      </c>
      <c r="C127" s="29" t="s">
        <v>17</v>
      </c>
      <c r="D127" s="29" t="s">
        <v>123</v>
      </c>
      <c r="E127" s="36" t="s">
        <v>156</v>
      </c>
      <c r="F127" s="37" t="s">
        <v>39</v>
      </c>
      <c r="G127" s="31"/>
      <c r="H127" s="116"/>
      <c r="I127" s="31">
        <f t="shared" si="3"/>
        <v>0</v>
      </c>
      <c r="J127" s="31"/>
      <c r="K127" s="116"/>
      <c r="L127" s="31">
        <f t="shared" si="2"/>
        <v>0</v>
      </c>
    </row>
    <row r="128" spans="1:12" ht="42.75" customHeight="1" hidden="1">
      <c r="A128" s="121" t="s">
        <v>157</v>
      </c>
      <c r="B128" s="29" t="s">
        <v>667</v>
      </c>
      <c r="C128" s="29" t="s">
        <v>17</v>
      </c>
      <c r="D128" s="29" t="s">
        <v>123</v>
      </c>
      <c r="E128" s="29" t="s">
        <v>158</v>
      </c>
      <c r="F128" s="30"/>
      <c r="G128" s="31">
        <f>G129</f>
        <v>0</v>
      </c>
      <c r="H128" s="116"/>
      <c r="I128" s="31">
        <f t="shared" si="3"/>
        <v>0</v>
      </c>
      <c r="J128" s="31">
        <f>J129</f>
        <v>0</v>
      </c>
      <c r="K128" s="116"/>
      <c r="L128" s="31">
        <f t="shared" si="2"/>
        <v>0</v>
      </c>
    </row>
    <row r="129" spans="1:12" ht="42.75" customHeight="1" hidden="1">
      <c r="A129" s="63" t="s">
        <v>159</v>
      </c>
      <c r="B129" s="29" t="s">
        <v>667</v>
      </c>
      <c r="C129" s="29" t="s">
        <v>17</v>
      </c>
      <c r="D129" s="29" t="s">
        <v>123</v>
      </c>
      <c r="E129" s="29" t="s">
        <v>160</v>
      </c>
      <c r="F129" s="30"/>
      <c r="G129" s="31">
        <f>G130</f>
        <v>0</v>
      </c>
      <c r="H129" s="116"/>
      <c r="I129" s="31">
        <f t="shared" si="3"/>
        <v>0</v>
      </c>
      <c r="J129" s="31">
        <f>J130</f>
        <v>0</v>
      </c>
      <c r="K129" s="116"/>
      <c r="L129" s="31">
        <f t="shared" si="2"/>
        <v>0</v>
      </c>
    </row>
    <row r="130" spans="1:12" ht="42.75" customHeight="1" hidden="1">
      <c r="A130" s="122" t="s">
        <v>161</v>
      </c>
      <c r="B130" s="29" t="s">
        <v>667</v>
      </c>
      <c r="C130" s="29" t="s">
        <v>17</v>
      </c>
      <c r="D130" s="29" t="s">
        <v>123</v>
      </c>
      <c r="E130" s="29" t="s">
        <v>162</v>
      </c>
      <c r="F130" s="30"/>
      <c r="G130" s="31">
        <f>G131</f>
        <v>0</v>
      </c>
      <c r="H130" s="116"/>
      <c r="I130" s="31">
        <f t="shared" si="3"/>
        <v>0</v>
      </c>
      <c r="J130" s="31">
        <f>J131</f>
        <v>0</v>
      </c>
      <c r="K130" s="116"/>
      <c r="L130" s="31">
        <f t="shared" si="2"/>
        <v>0</v>
      </c>
    </row>
    <row r="131" spans="1:12" ht="42.75" customHeight="1" hidden="1">
      <c r="A131" s="10" t="s">
        <v>163</v>
      </c>
      <c r="B131" s="29" t="s">
        <v>667</v>
      </c>
      <c r="C131" s="29" t="s">
        <v>17</v>
      </c>
      <c r="D131" s="29" t="s">
        <v>123</v>
      </c>
      <c r="E131" s="29" t="s">
        <v>164</v>
      </c>
      <c r="F131" s="30"/>
      <c r="G131" s="31">
        <f>G132</f>
        <v>0</v>
      </c>
      <c r="H131" s="116"/>
      <c r="I131" s="31">
        <f t="shared" si="3"/>
        <v>0</v>
      </c>
      <c r="J131" s="31">
        <f>J132</f>
        <v>0</v>
      </c>
      <c r="K131" s="116"/>
      <c r="L131" s="31">
        <f t="shared" si="2"/>
        <v>0</v>
      </c>
    </row>
    <row r="132" spans="1:12" ht="42.75" customHeight="1" hidden="1">
      <c r="A132" s="35" t="s">
        <v>38</v>
      </c>
      <c r="B132" s="29" t="s">
        <v>667</v>
      </c>
      <c r="C132" s="29" t="s">
        <v>17</v>
      </c>
      <c r="D132" s="29" t="s">
        <v>123</v>
      </c>
      <c r="E132" s="29" t="s">
        <v>164</v>
      </c>
      <c r="F132" s="30" t="s">
        <v>39</v>
      </c>
      <c r="G132" s="31"/>
      <c r="H132" s="116"/>
      <c r="I132" s="31">
        <f t="shared" si="3"/>
        <v>0</v>
      </c>
      <c r="J132" s="31"/>
      <c r="K132" s="116"/>
      <c r="L132" s="31">
        <f t="shared" si="2"/>
        <v>0</v>
      </c>
    </row>
    <row r="133" spans="1:12" ht="76.5" customHeight="1">
      <c r="A133" s="16" t="s">
        <v>67</v>
      </c>
      <c r="B133" s="29" t="s">
        <v>667</v>
      </c>
      <c r="C133" s="29" t="s">
        <v>17</v>
      </c>
      <c r="D133" s="29" t="s">
        <v>123</v>
      </c>
      <c r="E133" s="36" t="s">
        <v>68</v>
      </c>
      <c r="F133" s="30"/>
      <c r="G133" s="31">
        <f>G134</f>
        <v>612000</v>
      </c>
      <c r="H133" s="116"/>
      <c r="I133" s="31">
        <f t="shared" si="3"/>
        <v>612000</v>
      </c>
      <c r="J133" s="31">
        <f>J134</f>
        <v>612000</v>
      </c>
      <c r="K133" s="116"/>
      <c r="L133" s="31">
        <f t="shared" si="2"/>
        <v>612000</v>
      </c>
    </row>
    <row r="134" spans="1:12" ht="98.25" customHeight="1">
      <c r="A134" s="55" t="s">
        <v>165</v>
      </c>
      <c r="B134" s="29" t="s">
        <v>667</v>
      </c>
      <c r="C134" s="29" t="s">
        <v>17</v>
      </c>
      <c r="D134" s="29" t="s">
        <v>123</v>
      </c>
      <c r="E134" s="36" t="s">
        <v>166</v>
      </c>
      <c r="F134" s="30"/>
      <c r="G134" s="31">
        <f>G135</f>
        <v>612000</v>
      </c>
      <c r="H134" s="116"/>
      <c r="I134" s="31">
        <f t="shared" si="3"/>
        <v>612000</v>
      </c>
      <c r="J134" s="31">
        <f>J135</f>
        <v>612000</v>
      </c>
      <c r="K134" s="116"/>
      <c r="L134" s="31">
        <f t="shared" si="2"/>
        <v>612000</v>
      </c>
    </row>
    <row r="135" spans="1:12" ht="38.25">
      <c r="A135" s="13" t="s">
        <v>167</v>
      </c>
      <c r="B135" s="29" t="s">
        <v>667</v>
      </c>
      <c r="C135" s="29" t="s">
        <v>17</v>
      </c>
      <c r="D135" s="29" t="s">
        <v>123</v>
      </c>
      <c r="E135" s="47" t="s">
        <v>168</v>
      </c>
      <c r="F135" s="30"/>
      <c r="G135" s="31">
        <f>G136+G138</f>
        <v>612000</v>
      </c>
      <c r="H135" s="116"/>
      <c r="I135" s="31">
        <f t="shared" si="3"/>
        <v>612000</v>
      </c>
      <c r="J135" s="31">
        <f>J136+J138</f>
        <v>612000</v>
      </c>
      <c r="K135" s="116"/>
      <c r="L135" s="31">
        <f t="shared" si="2"/>
        <v>612000</v>
      </c>
    </row>
    <row r="136" spans="1:12" ht="39">
      <c r="A136" s="35" t="s">
        <v>169</v>
      </c>
      <c r="B136" s="29" t="s">
        <v>667</v>
      </c>
      <c r="C136" s="29" t="s">
        <v>17</v>
      </c>
      <c r="D136" s="29" t="s">
        <v>123</v>
      </c>
      <c r="E136" s="47" t="s">
        <v>170</v>
      </c>
      <c r="F136" s="30"/>
      <c r="G136" s="31">
        <f>G137</f>
        <v>547000</v>
      </c>
      <c r="H136" s="116"/>
      <c r="I136" s="31">
        <f t="shared" si="3"/>
        <v>547000</v>
      </c>
      <c r="J136" s="31">
        <f>J137</f>
        <v>547000</v>
      </c>
      <c r="K136" s="116"/>
      <c r="L136" s="31">
        <f t="shared" si="2"/>
        <v>547000</v>
      </c>
    </row>
    <row r="137" spans="1:12" ht="26.25">
      <c r="A137" s="35" t="s">
        <v>38</v>
      </c>
      <c r="B137" s="29" t="s">
        <v>667</v>
      </c>
      <c r="C137" s="29" t="s">
        <v>17</v>
      </c>
      <c r="D137" s="29" t="s">
        <v>123</v>
      </c>
      <c r="E137" s="47" t="s">
        <v>170</v>
      </c>
      <c r="F137" s="30" t="s">
        <v>39</v>
      </c>
      <c r="G137" s="31">
        <v>547000</v>
      </c>
      <c r="H137" s="116"/>
      <c r="I137" s="31">
        <f t="shared" si="3"/>
        <v>547000</v>
      </c>
      <c r="J137" s="31">
        <v>547000</v>
      </c>
      <c r="K137" s="116"/>
      <c r="L137" s="31">
        <f t="shared" si="2"/>
        <v>547000</v>
      </c>
    </row>
    <row r="138" spans="1:12" ht="39">
      <c r="A138" s="35" t="s">
        <v>171</v>
      </c>
      <c r="B138" s="29" t="s">
        <v>667</v>
      </c>
      <c r="C138" s="29" t="s">
        <v>17</v>
      </c>
      <c r="D138" s="29" t="s">
        <v>123</v>
      </c>
      <c r="E138" s="47" t="s">
        <v>172</v>
      </c>
      <c r="F138" s="30"/>
      <c r="G138" s="31">
        <f>G139</f>
        <v>65000</v>
      </c>
      <c r="H138" s="116"/>
      <c r="I138" s="31">
        <f t="shared" si="3"/>
        <v>65000</v>
      </c>
      <c r="J138" s="31">
        <f>J139</f>
        <v>65000</v>
      </c>
      <c r="K138" s="116"/>
      <c r="L138" s="31">
        <f t="shared" si="2"/>
        <v>65000</v>
      </c>
    </row>
    <row r="139" spans="1:12" ht="26.25">
      <c r="A139" s="35" t="s">
        <v>38</v>
      </c>
      <c r="B139" s="29" t="s">
        <v>667</v>
      </c>
      <c r="C139" s="29" t="s">
        <v>17</v>
      </c>
      <c r="D139" s="29" t="s">
        <v>123</v>
      </c>
      <c r="E139" s="47" t="s">
        <v>172</v>
      </c>
      <c r="F139" s="30" t="s">
        <v>39</v>
      </c>
      <c r="G139" s="31">
        <v>65000</v>
      </c>
      <c r="H139" s="116"/>
      <c r="I139" s="31">
        <f t="shared" si="3"/>
        <v>65000</v>
      </c>
      <c r="J139" s="31">
        <v>65000</v>
      </c>
      <c r="K139" s="116"/>
      <c r="L139" s="31">
        <f t="shared" si="2"/>
        <v>65000</v>
      </c>
    </row>
    <row r="140" spans="1:12" ht="42.75" customHeight="1">
      <c r="A140" s="14" t="s">
        <v>173</v>
      </c>
      <c r="B140" s="29" t="s">
        <v>667</v>
      </c>
      <c r="C140" s="29" t="s">
        <v>17</v>
      </c>
      <c r="D140" s="29" t="s">
        <v>123</v>
      </c>
      <c r="E140" s="50" t="s">
        <v>174</v>
      </c>
      <c r="F140" s="30"/>
      <c r="G140" s="31">
        <f>G141+G145</f>
        <v>100000</v>
      </c>
      <c r="H140" s="116"/>
      <c r="I140" s="31">
        <f t="shared" si="3"/>
        <v>100000</v>
      </c>
      <c r="J140" s="31">
        <f>J141+J145</f>
        <v>100000</v>
      </c>
      <c r="K140" s="116"/>
      <c r="L140" s="31">
        <f t="shared" si="2"/>
        <v>100000</v>
      </c>
    </row>
    <row r="141" spans="1:12" ht="42.75" customHeight="1" hidden="1">
      <c r="A141" s="59" t="s">
        <v>175</v>
      </c>
      <c r="B141" s="29" t="s">
        <v>667</v>
      </c>
      <c r="C141" s="29" t="s">
        <v>17</v>
      </c>
      <c r="D141" s="29" t="s">
        <v>123</v>
      </c>
      <c r="E141" s="50" t="s">
        <v>176</v>
      </c>
      <c r="F141" s="30"/>
      <c r="G141" s="31">
        <f>G142</f>
        <v>0</v>
      </c>
      <c r="H141" s="116"/>
      <c r="I141" s="31">
        <f t="shared" si="3"/>
        <v>0</v>
      </c>
      <c r="J141" s="31">
        <f>J142</f>
        <v>0</v>
      </c>
      <c r="K141" s="116"/>
      <c r="L141" s="31">
        <f t="shared" si="2"/>
        <v>0</v>
      </c>
    </row>
    <row r="142" spans="1:12" ht="42.75" customHeight="1" hidden="1">
      <c r="A142" s="59" t="s">
        <v>177</v>
      </c>
      <c r="B142" s="29" t="s">
        <v>667</v>
      </c>
      <c r="C142" s="29" t="s">
        <v>17</v>
      </c>
      <c r="D142" s="29" t="s">
        <v>123</v>
      </c>
      <c r="E142" s="50" t="s">
        <v>178</v>
      </c>
      <c r="F142" s="30"/>
      <c r="G142" s="31">
        <f>G143</f>
        <v>0</v>
      </c>
      <c r="H142" s="116"/>
      <c r="I142" s="31">
        <f t="shared" si="3"/>
        <v>0</v>
      </c>
      <c r="J142" s="31">
        <f>J143</f>
        <v>0</v>
      </c>
      <c r="K142" s="116"/>
      <c r="L142" s="31">
        <f t="shared" si="2"/>
        <v>0</v>
      </c>
    </row>
    <row r="143" spans="1:12" ht="42.75" customHeight="1" hidden="1">
      <c r="A143" s="35" t="s">
        <v>179</v>
      </c>
      <c r="B143" s="29" t="s">
        <v>667</v>
      </c>
      <c r="C143" s="29" t="s">
        <v>17</v>
      </c>
      <c r="D143" s="29" t="s">
        <v>123</v>
      </c>
      <c r="E143" s="50" t="s">
        <v>180</v>
      </c>
      <c r="F143" s="30"/>
      <c r="G143" s="31">
        <f>G144</f>
        <v>0</v>
      </c>
      <c r="H143" s="116"/>
      <c r="I143" s="31">
        <f t="shared" si="3"/>
        <v>0</v>
      </c>
      <c r="J143" s="31">
        <f>J144</f>
        <v>0</v>
      </c>
      <c r="K143" s="116"/>
      <c r="L143" s="31">
        <f aca="true" t="shared" si="4" ref="L143:L205">J143+K143</f>
        <v>0</v>
      </c>
    </row>
    <row r="144" spans="1:12" ht="42.75" customHeight="1" hidden="1">
      <c r="A144" s="35" t="s">
        <v>38</v>
      </c>
      <c r="B144" s="29" t="s">
        <v>667</v>
      </c>
      <c r="C144" s="29" t="s">
        <v>17</v>
      </c>
      <c r="D144" s="29" t="s">
        <v>123</v>
      </c>
      <c r="E144" s="50" t="s">
        <v>180</v>
      </c>
      <c r="F144" s="30" t="s">
        <v>39</v>
      </c>
      <c r="G144" s="31">
        <f>15000-15000</f>
        <v>0</v>
      </c>
      <c r="H144" s="116"/>
      <c r="I144" s="31">
        <f t="shared" si="3"/>
        <v>0</v>
      </c>
      <c r="J144" s="31">
        <f>15000-15000</f>
        <v>0</v>
      </c>
      <c r="K144" s="116"/>
      <c r="L144" s="31">
        <f t="shared" si="4"/>
        <v>0</v>
      </c>
    </row>
    <row r="145" spans="1:12" ht="79.5" customHeight="1">
      <c r="A145" s="59" t="s">
        <v>181</v>
      </c>
      <c r="B145" s="29" t="s">
        <v>667</v>
      </c>
      <c r="C145" s="29" t="s">
        <v>17</v>
      </c>
      <c r="D145" s="29" t="s">
        <v>123</v>
      </c>
      <c r="E145" s="50" t="s">
        <v>182</v>
      </c>
      <c r="F145" s="30"/>
      <c r="G145" s="31">
        <f>G146</f>
        <v>100000</v>
      </c>
      <c r="H145" s="116"/>
      <c r="I145" s="31">
        <f t="shared" si="3"/>
        <v>100000</v>
      </c>
      <c r="J145" s="31">
        <f>J146</f>
        <v>100000</v>
      </c>
      <c r="K145" s="116"/>
      <c r="L145" s="31">
        <f t="shared" si="4"/>
        <v>100000</v>
      </c>
    </row>
    <row r="146" spans="1:12" ht="25.5">
      <c r="A146" s="59" t="s">
        <v>183</v>
      </c>
      <c r="B146" s="29" t="s">
        <v>667</v>
      </c>
      <c r="C146" s="29" t="s">
        <v>17</v>
      </c>
      <c r="D146" s="29" t="s">
        <v>123</v>
      </c>
      <c r="E146" s="50" t="s">
        <v>184</v>
      </c>
      <c r="F146" s="30"/>
      <c r="G146" s="31">
        <f>G147</f>
        <v>100000</v>
      </c>
      <c r="H146" s="116"/>
      <c r="I146" s="31">
        <f t="shared" si="3"/>
        <v>100000</v>
      </c>
      <c r="J146" s="31">
        <f>J147</f>
        <v>100000</v>
      </c>
      <c r="K146" s="116"/>
      <c r="L146" s="31">
        <f t="shared" si="4"/>
        <v>100000</v>
      </c>
    </row>
    <row r="147" spans="1:12" ht="29.25" customHeight="1">
      <c r="A147" s="59" t="s">
        <v>144</v>
      </c>
      <c r="B147" s="29" t="s">
        <v>667</v>
      </c>
      <c r="C147" s="29" t="s">
        <v>17</v>
      </c>
      <c r="D147" s="29" t="s">
        <v>123</v>
      </c>
      <c r="E147" s="50" t="s">
        <v>185</v>
      </c>
      <c r="F147" s="30"/>
      <c r="G147" s="31">
        <f>G148</f>
        <v>100000</v>
      </c>
      <c r="H147" s="116"/>
      <c r="I147" s="31">
        <f t="shared" si="3"/>
        <v>100000</v>
      </c>
      <c r="J147" s="31">
        <f>J148</f>
        <v>100000</v>
      </c>
      <c r="K147" s="116"/>
      <c r="L147" s="31">
        <f t="shared" si="4"/>
        <v>100000</v>
      </c>
    </row>
    <row r="148" spans="1:12" ht="30" customHeight="1">
      <c r="A148" s="35" t="s">
        <v>38</v>
      </c>
      <c r="B148" s="29" t="s">
        <v>667</v>
      </c>
      <c r="C148" s="29" t="s">
        <v>17</v>
      </c>
      <c r="D148" s="29" t="s">
        <v>123</v>
      </c>
      <c r="E148" s="50" t="s">
        <v>185</v>
      </c>
      <c r="F148" s="30" t="s">
        <v>39</v>
      </c>
      <c r="G148" s="31">
        <v>100000</v>
      </c>
      <c r="H148" s="116"/>
      <c r="I148" s="31">
        <f t="shared" si="3"/>
        <v>100000</v>
      </c>
      <c r="J148" s="31">
        <v>100000</v>
      </c>
      <c r="K148" s="116"/>
      <c r="L148" s="31">
        <f t="shared" si="4"/>
        <v>100000</v>
      </c>
    </row>
    <row r="149" spans="1:12" ht="30.75" customHeight="1" hidden="1">
      <c r="A149" s="35" t="s">
        <v>77</v>
      </c>
      <c r="B149" s="29" t="s">
        <v>667</v>
      </c>
      <c r="C149" s="29" t="s">
        <v>17</v>
      </c>
      <c r="D149" s="29" t="s">
        <v>123</v>
      </c>
      <c r="E149" s="29" t="s">
        <v>78</v>
      </c>
      <c r="F149" s="56"/>
      <c r="G149" s="31">
        <f>G150</f>
        <v>0</v>
      </c>
      <c r="H149" s="116"/>
      <c r="I149" s="31">
        <f t="shared" si="3"/>
        <v>0</v>
      </c>
      <c r="J149" s="31">
        <f>J150</f>
        <v>0</v>
      </c>
      <c r="K149" s="116"/>
      <c r="L149" s="31">
        <f t="shared" si="4"/>
        <v>0</v>
      </c>
    </row>
    <row r="150" spans="1:12" ht="30.75" customHeight="1" hidden="1">
      <c r="A150" s="8" t="s">
        <v>79</v>
      </c>
      <c r="B150" s="29" t="s">
        <v>667</v>
      </c>
      <c r="C150" s="29" t="s">
        <v>17</v>
      </c>
      <c r="D150" s="29" t="s">
        <v>123</v>
      </c>
      <c r="E150" s="29" t="s">
        <v>80</v>
      </c>
      <c r="F150" s="56"/>
      <c r="G150" s="31">
        <f>G151</f>
        <v>0</v>
      </c>
      <c r="H150" s="116"/>
      <c r="I150" s="31">
        <f t="shared" si="3"/>
        <v>0</v>
      </c>
      <c r="J150" s="31">
        <f>J151</f>
        <v>0</v>
      </c>
      <c r="K150" s="116"/>
      <c r="L150" s="31">
        <f t="shared" si="4"/>
        <v>0</v>
      </c>
    </row>
    <row r="151" spans="1:12" ht="42.75" customHeight="1" hidden="1">
      <c r="A151" s="9" t="s">
        <v>186</v>
      </c>
      <c r="B151" s="29" t="s">
        <v>667</v>
      </c>
      <c r="C151" s="29" t="s">
        <v>17</v>
      </c>
      <c r="D151" s="29" t="s">
        <v>123</v>
      </c>
      <c r="E151" s="29" t="s">
        <v>187</v>
      </c>
      <c r="F151" s="56"/>
      <c r="G151" s="31">
        <f>G152</f>
        <v>0</v>
      </c>
      <c r="H151" s="116"/>
      <c r="I151" s="31">
        <f t="shared" si="3"/>
        <v>0</v>
      </c>
      <c r="J151" s="31">
        <f>J152</f>
        <v>0</v>
      </c>
      <c r="K151" s="116"/>
      <c r="L151" s="31">
        <f t="shared" si="4"/>
        <v>0</v>
      </c>
    </row>
    <row r="152" spans="1:12" ht="72.75" customHeight="1" hidden="1">
      <c r="A152" s="35" t="s">
        <v>26</v>
      </c>
      <c r="B152" s="29" t="s">
        <v>667</v>
      </c>
      <c r="C152" s="29" t="s">
        <v>17</v>
      </c>
      <c r="D152" s="29" t="s">
        <v>123</v>
      </c>
      <c r="E152" s="29" t="s">
        <v>187</v>
      </c>
      <c r="F152" s="56" t="s">
        <v>27</v>
      </c>
      <c r="G152" s="31"/>
      <c r="H152" s="116"/>
      <c r="I152" s="31">
        <f t="shared" si="3"/>
        <v>0</v>
      </c>
      <c r="J152" s="31"/>
      <c r="K152" s="116"/>
      <c r="L152" s="31">
        <f t="shared" si="4"/>
        <v>0</v>
      </c>
    </row>
    <row r="153" spans="1:12" ht="26.25">
      <c r="A153" s="35" t="s">
        <v>188</v>
      </c>
      <c r="B153" s="29" t="s">
        <v>667</v>
      </c>
      <c r="C153" s="29" t="s">
        <v>17</v>
      </c>
      <c r="D153" s="29" t="s">
        <v>123</v>
      </c>
      <c r="E153" s="36" t="s">
        <v>189</v>
      </c>
      <c r="F153" s="56"/>
      <c r="G153" s="31">
        <f>G154</f>
        <v>61025</v>
      </c>
      <c r="H153" s="116"/>
      <c r="I153" s="31">
        <f t="shared" si="3"/>
        <v>61025</v>
      </c>
      <c r="J153" s="31">
        <f>J154</f>
        <v>58525</v>
      </c>
      <c r="K153" s="116"/>
      <c r="L153" s="31">
        <f t="shared" si="4"/>
        <v>58525</v>
      </c>
    </row>
    <row r="154" spans="1:12" ht="24" customHeight="1">
      <c r="A154" s="35" t="s">
        <v>190</v>
      </c>
      <c r="B154" s="29" t="s">
        <v>667</v>
      </c>
      <c r="C154" s="29" t="s">
        <v>17</v>
      </c>
      <c r="D154" s="29" t="s">
        <v>123</v>
      </c>
      <c r="E154" s="36" t="s">
        <v>191</v>
      </c>
      <c r="F154" s="56"/>
      <c r="G154" s="31">
        <f>G155</f>
        <v>61025</v>
      </c>
      <c r="H154" s="116"/>
      <c r="I154" s="31">
        <f t="shared" si="3"/>
        <v>61025</v>
      </c>
      <c r="J154" s="31">
        <f>J155</f>
        <v>58525</v>
      </c>
      <c r="K154" s="116"/>
      <c r="L154" s="31">
        <f t="shared" si="4"/>
        <v>58525</v>
      </c>
    </row>
    <row r="155" spans="1:12" ht="31.5" customHeight="1">
      <c r="A155" s="16" t="s">
        <v>144</v>
      </c>
      <c r="B155" s="29" t="s">
        <v>667</v>
      </c>
      <c r="C155" s="29" t="s">
        <v>17</v>
      </c>
      <c r="D155" s="29" t="s">
        <v>123</v>
      </c>
      <c r="E155" s="36" t="s">
        <v>192</v>
      </c>
      <c r="F155" s="56"/>
      <c r="G155" s="31">
        <f>G156+G158+G157</f>
        <v>61025</v>
      </c>
      <c r="H155" s="116"/>
      <c r="I155" s="31">
        <f t="shared" si="3"/>
        <v>61025</v>
      </c>
      <c r="J155" s="31">
        <f>J156+J158+J157</f>
        <v>58525</v>
      </c>
      <c r="K155" s="116"/>
      <c r="L155" s="31">
        <f t="shared" si="4"/>
        <v>58525</v>
      </c>
    </row>
    <row r="156" spans="1:12" ht="30" customHeight="1">
      <c r="A156" s="35" t="s">
        <v>38</v>
      </c>
      <c r="B156" s="29" t="s">
        <v>667</v>
      </c>
      <c r="C156" s="29" t="s">
        <v>17</v>
      </c>
      <c r="D156" s="29" t="s">
        <v>123</v>
      </c>
      <c r="E156" s="36" t="s">
        <v>192</v>
      </c>
      <c r="F156" s="56" t="s">
        <v>39</v>
      </c>
      <c r="G156" s="31">
        <f>4983</f>
        <v>4983</v>
      </c>
      <c r="H156" s="116"/>
      <c r="I156" s="31">
        <f t="shared" si="3"/>
        <v>4983</v>
      </c>
      <c r="J156" s="31">
        <v>2483</v>
      </c>
      <c r="K156" s="116"/>
      <c r="L156" s="31">
        <f t="shared" si="4"/>
        <v>2483</v>
      </c>
    </row>
    <row r="157" spans="1:12" ht="15" customHeight="1" hidden="1">
      <c r="A157" s="73" t="s">
        <v>193</v>
      </c>
      <c r="B157" s="29" t="s">
        <v>667</v>
      </c>
      <c r="C157" s="29" t="s">
        <v>17</v>
      </c>
      <c r="D157" s="29" t="s">
        <v>123</v>
      </c>
      <c r="E157" s="36" t="s">
        <v>192</v>
      </c>
      <c r="F157" s="56" t="s">
        <v>194</v>
      </c>
      <c r="G157" s="31"/>
      <c r="H157" s="116"/>
      <c r="I157" s="31">
        <f t="shared" si="3"/>
        <v>0</v>
      </c>
      <c r="J157" s="31"/>
      <c r="K157" s="116"/>
      <c r="L157" s="31">
        <f t="shared" si="4"/>
        <v>0</v>
      </c>
    </row>
    <row r="158" spans="1:12" ht="17.25" customHeight="1">
      <c r="A158" s="10" t="s">
        <v>84</v>
      </c>
      <c r="B158" s="29" t="s">
        <v>667</v>
      </c>
      <c r="C158" s="29" t="s">
        <v>17</v>
      </c>
      <c r="D158" s="29" t="s">
        <v>123</v>
      </c>
      <c r="E158" s="36" t="s">
        <v>192</v>
      </c>
      <c r="F158" s="56" t="s">
        <v>85</v>
      </c>
      <c r="G158" s="31">
        <f>6042+50000</f>
        <v>56042</v>
      </c>
      <c r="H158" s="116"/>
      <c r="I158" s="31">
        <f t="shared" si="3"/>
        <v>56042</v>
      </c>
      <c r="J158" s="31">
        <f>6042+50000</f>
        <v>56042</v>
      </c>
      <c r="K158" s="116"/>
      <c r="L158" s="31">
        <f t="shared" si="4"/>
        <v>56042</v>
      </c>
    </row>
    <row r="159" spans="1:12" ht="36" customHeight="1">
      <c r="A159" s="16" t="s">
        <v>86</v>
      </c>
      <c r="B159" s="29" t="s">
        <v>667</v>
      </c>
      <c r="C159" s="57" t="s">
        <v>17</v>
      </c>
      <c r="D159" s="29" t="s">
        <v>123</v>
      </c>
      <c r="E159" s="47" t="s">
        <v>87</v>
      </c>
      <c r="F159" s="37"/>
      <c r="G159" s="31">
        <f>G166+G160</f>
        <v>9217159</v>
      </c>
      <c r="H159" s="116"/>
      <c r="I159" s="31">
        <f t="shared" si="3"/>
        <v>9217159</v>
      </c>
      <c r="J159" s="31">
        <f>J166+J160</f>
        <v>9005438</v>
      </c>
      <c r="K159" s="116"/>
      <c r="L159" s="31">
        <f t="shared" si="4"/>
        <v>9005438</v>
      </c>
    </row>
    <row r="160" spans="1:12" ht="38.25" customHeight="1">
      <c r="A160" s="13" t="s">
        <v>88</v>
      </c>
      <c r="B160" s="29" t="s">
        <v>667</v>
      </c>
      <c r="C160" s="29" t="s">
        <v>17</v>
      </c>
      <c r="D160" s="29" t="s">
        <v>123</v>
      </c>
      <c r="E160" s="29" t="s">
        <v>89</v>
      </c>
      <c r="F160" s="30"/>
      <c r="G160" s="31">
        <f>G161+G164</f>
        <v>941000</v>
      </c>
      <c r="H160" s="116"/>
      <c r="I160" s="31">
        <f t="shared" si="3"/>
        <v>941000</v>
      </c>
      <c r="J160" s="31">
        <f>J161+J164</f>
        <v>979000</v>
      </c>
      <c r="K160" s="116"/>
      <c r="L160" s="31">
        <f t="shared" si="4"/>
        <v>979000</v>
      </c>
    </row>
    <row r="161" spans="1:12" ht="44.25" customHeight="1">
      <c r="A161" s="8" t="s">
        <v>195</v>
      </c>
      <c r="B161" s="29" t="s">
        <v>667</v>
      </c>
      <c r="C161" s="29" t="s">
        <v>17</v>
      </c>
      <c r="D161" s="29" t="s">
        <v>123</v>
      </c>
      <c r="E161" s="50" t="s">
        <v>196</v>
      </c>
      <c r="F161" s="56"/>
      <c r="G161" s="31">
        <f>G162+G163</f>
        <v>941000</v>
      </c>
      <c r="H161" s="116"/>
      <c r="I161" s="31">
        <f>G161+H161</f>
        <v>941000</v>
      </c>
      <c r="J161" s="31">
        <f>J162+J163</f>
        <v>979000</v>
      </c>
      <c r="K161" s="116"/>
      <c r="L161" s="31">
        <f t="shared" si="4"/>
        <v>979000</v>
      </c>
    </row>
    <row r="162" spans="1:12" ht="67.5" customHeight="1">
      <c r="A162" s="35" t="s">
        <v>26</v>
      </c>
      <c r="B162" s="29" t="s">
        <v>667</v>
      </c>
      <c r="C162" s="29" t="s">
        <v>17</v>
      </c>
      <c r="D162" s="29" t="s">
        <v>123</v>
      </c>
      <c r="E162" s="50" t="s">
        <v>196</v>
      </c>
      <c r="F162" s="56" t="s">
        <v>27</v>
      </c>
      <c r="G162" s="31">
        <v>855178</v>
      </c>
      <c r="H162" s="116"/>
      <c r="I162" s="31">
        <f>G162+H162</f>
        <v>855178</v>
      </c>
      <c r="J162" s="31">
        <v>855178</v>
      </c>
      <c r="K162" s="116"/>
      <c r="L162" s="31">
        <f t="shared" si="4"/>
        <v>855178</v>
      </c>
    </row>
    <row r="163" spans="1:12" ht="29.25" customHeight="1">
      <c r="A163" s="35" t="s">
        <v>38</v>
      </c>
      <c r="B163" s="29" t="s">
        <v>667</v>
      </c>
      <c r="C163" s="29" t="s">
        <v>17</v>
      </c>
      <c r="D163" s="29" t="s">
        <v>123</v>
      </c>
      <c r="E163" s="50" t="s">
        <v>196</v>
      </c>
      <c r="F163" s="56" t="s">
        <v>39</v>
      </c>
      <c r="G163" s="31">
        <v>85822</v>
      </c>
      <c r="H163" s="116"/>
      <c r="I163" s="31">
        <f>G163+H163</f>
        <v>85822</v>
      </c>
      <c r="J163" s="31">
        <v>123822</v>
      </c>
      <c r="K163" s="116"/>
      <c r="L163" s="31">
        <f t="shared" si="4"/>
        <v>123822</v>
      </c>
    </row>
    <row r="164" spans="1:12" ht="42.75" customHeight="1" hidden="1">
      <c r="A164" s="9" t="s">
        <v>197</v>
      </c>
      <c r="B164" s="29" t="s">
        <v>667</v>
      </c>
      <c r="C164" s="29" t="s">
        <v>17</v>
      </c>
      <c r="D164" s="29" t="s">
        <v>123</v>
      </c>
      <c r="E164" s="50" t="s">
        <v>198</v>
      </c>
      <c r="F164" s="56"/>
      <c r="G164" s="31">
        <f>G165</f>
        <v>0</v>
      </c>
      <c r="H164" s="116"/>
      <c r="I164" s="31">
        <f>G164+H164</f>
        <v>0</v>
      </c>
      <c r="J164" s="31">
        <f>J165</f>
        <v>0</v>
      </c>
      <c r="K164" s="116"/>
      <c r="L164" s="31">
        <f t="shared" si="4"/>
        <v>0</v>
      </c>
    </row>
    <row r="165" spans="1:12" ht="42.75" customHeight="1" hidden="1">
      <c r="A165" s="35" t="s">
        <v>38</v>
      </c>
      <c r="B165" s="29" t="s">
        <v>667</v>
      </c>
      <c r="C165" s="29" t="s">
        <v>17</v>
      </c>
      <c r="D165" s="29" t="s">
        <v>123</v>
      </c>
      <c r="E165" s="50" t="s">
        <v>198</v>
      </c>
      <c r="F165" s="56" t="s">
        <v>39</v>
      </c>
      <c r="G165" s="31"/>
      <c r="H165" s="116"/>
      <c r="I165" s="31">
        <f>G165+H165</f>
        <v>0</v>
      </c>
      <c r="J165" s="31"/>
      <c r="K165" s="116"/>
      <c r="L165" s="31">
        <f t="shared" si="4"/>
        <v>0</v>
      </c>
    </row>
    <row r="166" spans="1:12" ht="27.75" customHeight="1">
      <c r="A166" s="16" t="s">
        <v>93</v>
      </c>
      <c r="B166" s="29" t="s">
        <v>667</v>
      </c>
      <c r="C166" s="29" t="s">
        <v>17</v>
      </c>
      <c r="D166" s="29" t="s">
        <v>123</v>
      </c>
      <c r="E166" s="29" t="s">
        <v>94</v>
      </c>
      <c r="F166" s="30"/>
      <c r="G166" s="31">
        <f>G167+G173+G171</f>
        <v>8276159</v>
      </c>
      <c r="H166" s="116"/>
      <c r="I166" s="31">
        <f t="shared" si="3"/>
        <v>8276159</v>
      </c>
      <c r="J166" s="31">
        <f>J167+J173+J171</f>
        <v>8026438</v>
      </c>
      <c r="K166" s="116"/>
      <c r="L166" s="31">
        <f t="shared" si="4"/>
        <v>8026438</v>
      </c>
    </row>
    <row r="167" spans="1:12" ht="27.75" customHeight="1">
      <c r="A167" s="10" t="s">
        <v>201</v>
      </c>
      <c r="B167" s="29" t="s">
        <v>667</v>
      </c>
      <c r="C167" s="29" t="s">
        <v>17</v>
      </c>
      <c r="D167" s="29" t="s">
        <v>123</v>
      </c>
      <c r="E167" s="29" t="s">
        <v>202</v>
      </c>
      <c r="F167" s="30"/>
      <c r="G167" s="31">
        <f>G168+G169+G170</f>
        <v>8226159</v>
      </c>
      <c r="H167" s="116"/>
      <c r="I167" s="31">
        <f t="shared" si="3"/>
        <v>8226159</v>
      </c>
      <c r="J167" s="31">
        <f>J168+J169+J170</f>
        <v>7976438</v>
      </c>
      <c r="K167" s="116"/>
      <c r="L167" s="31">
        <f t="shared" si="4"/>
        <v>7976438</v>
      </c>
    </row>
    <row r="168" spans="1:12" ht="49.5" customHeight="1">
      <c r="A168" s="35" t="s">
        <v>26</v>
      </c>
      <c r="B168" s="29" t="s">
        <v>667</v>
      </c>
      <c r="C168" s="29" t="s">
        <v>17</v>
      </c>
      <c r="D168" s="29" t="s">
        <v>123</v>
      </c>
      <c r="E168" s="29" t="s">
        <v>202</v>
      </c>
      <c r="F168" s="37" t="s">
        <v>27</v>
      </c>
      <c r="G168" s="31">
        <f>8024000-1761973</f>
        <v>6262027</v>
      </c>
      <c r="H168" s="116"/>
      <c r="I168" s="31">
        <f t="shared" si="3"/>
        <v>6262027</v>
      </c>
      <c r="J168" s="31">
        <f>8024000-1761973-249721</f>
        <v>6012306</v>
      </c>
      <c r="K168" s="116"/>
      <c r="L168" s="31">
        <f t="shared" si="4"/>
        <v>6012306</v>
      </c>
    </row>
    <row r="169" spans="1:12" ht="30" customHeight="1">
      <c r="A169" s="35" t="s">
        <v>38</v>
      </c>
      <c r="B169" s="29" t="s">
        <v>667</v>
      </c>
      <c r="C169" s="29" t="s">
        <v>17</v>
      </c>
      <c r="D169" s="29" t="s">
        <v>123</v>
      </c>
      <c r="E169" s="29" t="s">
        <v>202</v>
      </c>
      <c r="F169" s="37" t="s">
        <v>39</v>
      </c>
      <c r="G169" s="31">
        <f>1999647-80000</f>
        <v>1919647</v>
      </c>
      <c r="H169" s="116"/>
      <c r="I169" s="31">
        <f t="shared" si="3"/>
        <v>1919647</v>
      </c>
      <c r="J169" s="31">
        <f>1999647-80000</f>
        <v>1919647</v>
      </c>
      <c r="K169" s="116"/>
      <c r="L169" s="31">
        <f t="shared" si="4"/>
        <v>1919647</v>
      </c>
    </row>
    <row r="170" spans="1:12" ht="20.25" customHeight="1">
      <c r="A170" s="10" t="s">
        <v>84</v>
      </c>
      <c r="B170" s="29" t="s">
        <v>667</v>
      </c>
      <c r="C170" s="29" t="s">
        <v>17</v>
      </c>
      <c r="D170" s="29" t="s">
        <v>123</v>
      </c>
      <c r="E170" s="29" t="s">
        <v>202</v>
      </c>
      <c r="F170" s="37" t="s">
        <v>85</v>
      </c>
      <c r="G170" s="31">
        <v>44485</v>
      </c>
      <c r="H170" s="116"/>
      <c r="I170" s="31">
        <f t="shared" si="3"/>
        <v>44485</v>
      </c>
      <c r="J170" s="31">
        <v>44485</v>
      </c>
      <c r="K170" s="116"/>
      <c r="L170" s="31">
        <f t="shared" si="4"/>
        <v>44485</v>
      </c>
    </row>
    <row r="171" spans="1:12" ht="42.75" customHeight="1" hidden="1">
      <c r="A171" s="16" t="s">
        <v>144</v>
      </c>
      <c r="B171" s="29" t="s">
        <v>667</v>
      </c>
      <c r="C171" s="29" t="s">
        <v>17</v>
      </c>
      <c r="D171" s="29" t="s">
        <v>123</v>
      </c>
      <c r="E171" s="29" t="s">
        <v>203</v>
      </c>
      <c r="F171" s="37"/>
      <c r="G171" s="31">
        <f>G172</f>
        <v>0</v>
      </c>
      <c r="H171" s="116"/>
      <c r="I171" s="31">
        <f t="shared" si="3"/>
        <v>0</v>
      </c>
      <c r="J171" s="31">
        <f>J172</f>
        <v>0</v>
      </c>
      <c r="K171" s="116"/>
      <c r="L171" s="31">
        <f t="shared" si="4"/>
        <v>0</v>
      </c>
    </row>
    <row r="172" spans="1:12" ht="42.75" customHeight="1" hidden="1">
      <c r="A172" s="35" t="s">
        <v>38</v>
      </c>
      <c r="B172" s="29" t="s">
        <v>667</v>
      </c>
      <c r="C172" s="29" t="s">
        <v>17</v>
      </c>
      <c r="D172" s="29" t="s">
        <v>123</v>
      </c>
      <c r="E172" s="29" t="s">
        <v>203</v>
      </c>
      <c r="F172" s="37" t="s">
        <v>39</v>
      </c>
      <c r="G172" s="31"/>
      <c r="H172" s="116"/>
      <c r="I172" s="31">
        <f t="shared" si="3"/>
        <v>0</v>
      </c>
      <c r="J172" s="31"/>
      <c r="K172" s="116"/>
      <c r="L172" s="31">
        <f t="shared" si="4"/>
        <v>0</v>
      </c>
    </row>
    <row r="173" spans="1:12" ht="39.75" customHeight="1">
      <c r="A173" s="63" t="s">
        <v>204</v>
      </c>
      <c r="B173" s="29" t="s">
        <v>667</v>
      </c>
      <c r="C173" s="29" t="s">
        <v>17</v>
      </c>
      <c r="D173" s="29" t="s">
        <v>123</v>
      </c>
      <c r="E173" s="29" t="s">
        <v>205</v>
      </c>
      <c r="F173" s="37"/>
      <c r="G173" s="31">
        <f>G174</f>
        <v>50000</v>
      </c>
      <c r="H173" s="116"/>
      <c r="I173" s="31">
        <f t="shared" si="3"/>
        <v>50000</v>
      </c>
      <c r="J173" s="31">
        <f>J174</f>
        <v>50000</v>
      </c>
      <c r="K173" s="116"/>
      <c r="L173" s="31">
        <f t="shared" si="4"/>
        <v>50000</v>
      </c>
    </row>
    <row r="174" spans="1:12" ht="30" customHeight="1">
      <c r="A174" s="35" t="s">
        <v>38</v>
      </c>
      <c r="B174" s="29" t="s">
        <v>667</v>
      </c>
      <c r="C174" s="29" t="s">
        <v>17</v>
      </c>
      <c r="D174" s="29" t="s">
        <v>123</v>
      </c>
      <c r="E174" s="29" t="s">
        <v>205</v>
      </c>
      <c r="F174" s="37" t="s">
        <v>39</v>
      </c>
      <c r="G174" s="31">
        <v>50000</v>
      </c>
      <c r="H174" s="116"/>
      <c r="I174" s="31">
        <f t="shared" si="3"/>
        <v>50000</v>
      </c>
      <c r="J174" s="31">
        <v>50000</v>
      </c>
      <c r="K174" s="116"/>
      <c r="L174" s="31">
        <f t="shared" si="4"/>
        <v>50000</v>
      </c>
    </row>
    <row r="175" spans="1:12" ht="42.75" customHeight="1" hidden="1">
      <c r="A175" s="16" t="s">
        <v>206</v>
      </c>
      <c r="B175" s="29" t="s">
        <v>667</v>
      </c>
      <c r="C175" s="57" t="s">
        <v>17</v>
      </c>
      <c r="D175" s="29" t="s">
        <v>123</v>
      </c>
      <c r="E175" s="47" t="s">
        <v>207</v>
      </c>
      <c r="F175" s="37"/>
      <c r="G175" s="31">
        <f>G176</f>
        <v>0</v>
      </c>
      <c r="H175" s="116"/>
      <c r="I175" s="31">
        <f t="shared" si="3"/>
        <v>0</v>
      </c>
      <c r="J175" s="31">
        <f>J176</f>
        <v>0</v>
      </c>
      <c r="K175" s="116"/>
      <c r="L175" s="31">
        <f t="shared" si="4"/>
        <v>0</v>
      </c>
    </row>
    <row r="176" spans="1:12" ht="42.75" customHeight="1" hidden="1">
      <c r="A176" s="35" t="s">
        <v>114</v>
      </c>
      <c r="B176" s="29" t="s">
        <v>667</v>
      </c>
      <c r="C176" s="57" t="s">
        <v>17</v>
      </c>
      <c r="D176" s="29" t="s">
        <v>123</v>
      </c>
      <c r="E176" s="47" t="s">
        <v>208</v>
      </c>
      <c r="F176" s="37"/>
      <c r="G176" s="31">
        <f>G177</f>
        <v>0</v>
      </c>
      <c r="H176" s="116"/>
      <c r="I176" s="31">
        <f t="shared" si="3"/>
        <v>0</v>
      </c>
      <c r="J176" s="31">
        <f>J177</f>
        <v>0</v>
      </c>
      <c r="K176" s="116"/>
      <c r="L176" s="31">
        <f t="shared" si="4"/>
        <v>0</v>
      </c>
    </row>
    <row r="177" spans="1:12" ht="42.75" customHeight="1" hidden="1">
      <c r="A177" s="35" t="s">
        <v>209</v>
      </c>
      <c r="B177" s="29" t="s">
        <v>667</v>
      </c>
      <c r="C177" s="57" t="s">
        <v>17</v>
      </c>
      <c r="D177" s="29" t="s">
        <v>123</v>
      </c>
      <c r="E177" s="47" t="s">
        <v>210</v>
      </c>
      <c r="F177" s="37"/>
      <c r="G177" s="31">
        <f>G178</f>
        <v>0</v>
      </c>
      <c r="H177" s="116"/>
      <c r="I177" s="31">
        <f t="shared" si="3"/>
        <v>0</v>
      </c>
      <c r="J177" s="31">
        <f>J178</f>
        <v>0</v>
      </c>
      <c r="K177" s="116"/>
      <c r="L177" s="31">
        <f t="shared" si="4"/>
        <v>0</v>
      </c>
    </row>
    <row r="178" spans="1:12" ht="42.75" customHeight="1" hidden="1">
      <c r="A178" s="48" t="s">
        <v>211</v>
      </c>
      <c r="B178" s="29" t="s">
        <v>667</v>
      </c>
      <c r="C178" s="57" t="s">
        <v>17</v>
      </c>
      <c r="D178" s="29" t="s">
        <v>123</v>
      </c>
      <c r="E178" s="47" t="s">
        <v>210</v>
      </c>
      <c r="F178" s="37" t="s">
        <v>212</v>
      </c>
      <c r="G178" s="31"/>
      <c r="H178" s="116"/>
      <c r="I178" s="31">
        <f t="shared" si="3"/>
        <v>0</v>
      </c>
      <c r="J178" s="31"/>
      <c r="K178" s="116"/>
      <c r="L178" s="31">
        <f t="shared" si="4"/>
        <v>0</v>
      </c>
    </row>
    <row r="179" spans="1:12" ht="32.25" customHeight="1">
      <c r="A179" s="16" t="s">
        <v>213</v>
      </c>
      <c r="B179" s="29" t="s">
        <v>667</v>
      </c>
      <c r="C179" s="29" t="s">
        <v>29</v>
      </c>
      <c r="D179" s="29" t="s">
        <v>214</v>
      </c>
      <c r="E179" s="47"/>
      <c r="F179" s="37"/>
      <c r="G179" s="31">
        <f>G180</f>
        <v>51000</v>
      </c>
      <c r="H179" s="116"/>
      <c r="I179" s="31">
        <f t="shared" si="3"/>
        <v>51000</v>
      </c>
      <c r="J179" s="31">
        <f>J180</f>
        <v>0</v>
      </c>
      <c r="K179" s="116"/>
      <c r="L179" s="31">
        <f t="shared" si="4"/>
        <v>0</v>
      </c>
    </row>
    <row r="180" spans="1:12" ht="37.5" customHeight="1">
      <c r="A180" s="10" t="s">
        <v>215</v>
      </c>
      <c r="B180" s="29" t="s">
        <v>667</v>
      </c>
      <c r="C180" s="29" t="s">
        <v>29</v>
      </c>
      <c r="D180" s="29" t="s">
        <v>216</v>
      </c>
      <c r="E180" s="47"/>
      <c r="F180" s="37"/>
      <c r="G180" s="31">
        <f>G181</f>
        <v>51000</v>
      </c>
      <c r="H180" s="116"/>
      <c r="I180" s="31">
        <f t="shared" si="3"/>
        <v>51000</v>
      </c>
      <c r="J180" s="31">
        <f>J181</f>
        <v>0</v>
      </c>
      <c r="K180" s="116"/>
      <c r="L180" s="31">
        <f t="shared" si="4"/>
        <v>0</v>
      </c>
    </row>
    <row r="181" spans="1:12" ht="54.75" customHeight="1">
      <c r="A181" s="13" t="s">
        <v>217</v>
      </c>
      <c r="B181" s="29" t="s">
        <v>667</v>
      </c>
      <c r="C181" s="29" t="s">
        <v>29</v>
      </c>
      <c r="D181" s="29" t="s">
        <v>216</v>
      </c>
      <c r="E181" s="50" t="s">
        <v>218</v>
      </c>
      <c r="F181" s="37"/>
      <c r="G181" s="31">
        <f>G182</f>
        <v>51000</v>
      </c>
      <c r="H181" s="116"/>
      <c r="I181" s="31">
        <f t="shared" si="3"/>
        <v>51000</v>
      </c>
      <c r="J181" s="31">
        <f>J182</f>
        <v>0</v>
      </c>
      <c r="K181" s="116"/>
      <c r="L181" s="31">
        <f t="shared" si="4"/>
        <v>0</v>
      </c>
    </row>
    <row r="182" spans="1:12" ht="107.25" customHeight="1">
      <c r="A182" s="59" t="s">
        <v>219</v>
      </c>
      <c r="B182" s="29" t="s">
        <v>667</v>
      </c>
      <c r="C182" s="29" t="s">
        <v>29</v>
      </c>
      <c r="D182" s="29" t="s">
        <v>216</v>
      </c>
      <c r="E182" s="50" t="s">
        <v>220</v>
      </c>
      <c r="F182" s="37"/>
      <c r="G182" s="31">
        <f>G183+G186+G189+G192+G195</f>
        <v>51000</v>
      </c>
      <c r="H182" s="116"/>
      <c r="I182" s="31">
        <f t="shared" si="3"/>
        <v>51000</v>
      </c>
      <c r="J182" s="31">
        <f>J183+J186+J189+J192+J195</f>
        <v>0</v>
      </c>
      <c r="K182" s="116"/>
      <c r="L182" s="31">
        <f t="shared" si="4"/>
        <v>0</v>
      </c>
    </row>
    <row r="183" spans="1:12" ht="42.75" customHeight="1" hidden="1">
      <c r="A183" s="59" t="s">
        <v>221</v>
      </c>
      <c r="B183" s="29" t="s">
        <v>667</v>
      </c>
      <c r="C183" s="29" t="s">
        <v>29</v>
      </c>
      <c r="D183" s="29" t="s">
        <v>216</v>
      </c>
      <c r="E183" s="50" t="s">
        <v>222</v>
      </c>
      <c r="F183" s="37"/>
      <c r="G183" s="31">
        <f>G184</f>
        <v>0</v>
      </c>
      <c r="H183" s="116"/>
      <c r="I183" s="31">
        <f t="shared" si="3"/>
        <v>0</v>
      </c>
      <c r="J183" s="31">
        <f>J184</f>
        <v>0</v>
      </c>
      <c r="K183" s="116"/>
      <c r="L183" s="31">
        <f t="shared" si="4"/>
        <v>0</v>
      </c>
    </row>
    <row r="184" spans="1:12" ht="42.75" customHeight="1" hidden="1">
      <c r="A184" s="35" t="s">
        <v>223</v>
      </c>
      <c r="B184" s="29" t="s">
        <v>667</v>
      </c>
      <c r="C184" s="29" t="s">
        <v>29</v>
      </c>
      <c r="D184" s="29" t="s">
        <v>216</v>
      </c>
      <c r="E184" s="50" t="s">
        <v>224</v>
      </c>
      <c r="F184" s="37"/>
      <c r="G184" s="31">
        <f>G185</f>
        <v>0</v>
      </c>
      <c r="H184" s="116"/>
      <c r="I184" s="31">
        <f t="shared" si="3"/>
        <v>0</v>
      </c>
      <c r="J184" s="31">
        <f>J185</f>
        <v>0</v>
      </c>
      <c r="K184" s="116"/>
      <c r="L184" s="31">
        <f t="shared" si="4"/>
        <v>0</v>
      </c>
    </row>
    <row r="185" spans="1:12" ht="42.75" customHeight="1" hidden="1">
      <c r="A185" s="35" t="s">
        <v>38</v>
      </c>
      <c r="B185" s="29" t="s">
        <v>667</v>
      </c>
      <c r="C185" s="29" t="s">
        <v>29</v>
      </c>
      <c r="D185" s="29" t="s">
        <v>216</v>
      </c>
      <c r="E185" s="50" t="s">
        <v>224</v>
      </c>
      <c r="F185" s="37" t="s">
        <v>39</v>
      </c>
      <c r="G185" s="31"/>
      <c r="H185" s="116"/>
      <c r="I185" s="31">
        <f t="shared" si="3"/>
        <v>0</v>
      </c>
      <c r="J185" s="31"/>
      <c r="K185" s="116"/>
      <c r="L185" s="31">
        <f t="shared" si="4"/>
        <v>0</v>
      </c>
    </row>
    <row r="186" spans="1:12" ht="80.25" customHeight="1">
      <c r="A186" s="59" t="s">
        <v>225</v>
      </c>
      <c r="B186" s="29" t="s">
        <v>667</v>
      </c>
      <c r="C186" s="29" t="s">
        <v>29</v>
      </c>
      <c r="D186" s="29" t="s">
        <v>216</v>
      </c>
      <c r="E186" s="50" t="s">
        <v>226</v>
      </c>
      <c r="F186" s="37"/>
      <c r="G186" s="31">
        <f>G187</f>
        <v>51000</v>
      </c>
      <c r="H186" s="116"/>
      <c r="I186" s="31">
        <f t="shared" si="3"/>
        <v>51000</v>
      </c>
      <c r="J186" s="31">
        <f>J187</f>
        <v>0</v>
      </c>
      <c r="K186" s="116"/>
      <c r="L186" s="31">
        <f t="shared" si="4"/>
        <v>0</v>
      </c>
    </row>
    <row r="187" spans="1:12" ht="48" customHeight="1">
      <c r="A187" s="35" t="s">
        <v>223</v>
      </c>
      <c r="B187" s="29" t="s">
        <v>667</v>
      </c>
      <c r="C187" s="29" t="s">
        <v>29</v>
      </c>
      <c r="D187" s="29" t="s">
        <v>216</v>
      </c>
      <c r="E187" s="50" t="s">
        <v>227</v>
      </c>
      <c r="F187" s="37"/>
      <c r="G187" s="31">
        <f>G188</f>
        <v>51000</v>
      </c>
      <c r="H187" s="116"/>
      <c r="I187" s="31">
        <f t="shared" si="3"/>
        <v>51000</v>
      </c>
      <c r="J187" s="31">
        <f>J188</f>
        <v>0</v>
      </c>
      <c r="K187" s="116"/>
      <c r="L187" s="31">
        <f t="shared" si="4"/>
        <v>0</v>
      </c>
    </row>
    <row r="188" spans="1:12" ht="29.25" customHeight="1">
      <c r="A188" s="35" t="s">
        <v>38</v>
      </c>
      <c r="B188" s="29" t="s">
        <v>667</v>
      </c>
      <c r="C188" s="29" t="s">
        <v>29</v>
      </c>
      <c r="D188" s="29" t="s">
        <v>216</v>
      </c>
      <c r="E188" s="50" t="s">
        <v>227</v>
      </c>
      <c r="F188" s="37" t="s">
        <v>39</v>
      </c>
      <c r="G188" s="31">
        <v>51000</v>
      </c>
      <c r="H188" s="116"/>
      <c r="I188" s="31">
        <f t="shared" si="3"/>
        <v>51000</v>
      </c>
      <c r="J188" s="31"/>
      <c r="K188" s="116"/>
      <c r="L188" s="31">
        <f t="shared" si="4"/>
        <v>0</v>
      </c>
    </row>
    <row r="189" spans="1:12" ht="42.75" customHeight="1" hidden="1">
      <c r="A189" s="59" t="s">
        <v>228</v>
      </c>
      <c r="B189" s="29" t="s">
        <v>667</v>
      </c>
      <c r="C189" s="29" t="s">
        <v>29</v>
      </c>
      <c r="D189" s="29" t="s">
        <v>248</v>
      </c>
      <c r="E189" s="50" t="s">
        <v>229</v>
      </c>
      <c r="F189" s="37"/>
      <c r="G189" s="31">
        <f>G190</f>
        <v>0</v>
      </c>
      <c r="H189" s="116"/>
      <c r="I189" s="31">
        <f t="shared" si="3"/>
        <v>0</v>
      </c>
      <c r="J189" s="31">
        <f>J190</f>
        <v>0</v>
      </c>
      <c r="K189" s="116"/>
      <c r="L189" s="31">
        <f t="shared" si="4"/>
        <v>0</v>
      </c>
    </row>
    <row r="190" spans="1:12" ht="42.75" customHeight="1" hidden="1">
      <c r="A190" s="35" t="s">
        <v>223</v>
      </c>
      <c r="B190" s="29" t="s">
        <v>667</v>
      </c>
      <c r="C190" s="29" t="s">
        <v>29</v>
      </c>
      <c r="D190" s="29" t="s">
        <v>248</v>
      </c>
      <c r="E190" s="50" t="s">
        <v>230</v>
      </c>
      <c r="F190" s="37"/>
      <c r="G190" s="31">
        <f>G191</f>
        <v>0</v>
      </c>
      <c r="H190" s="116"/>
      <c r="I190" s="31">
        <f t="shared" si="3"/>
        <v>0</v>
      </c>
      <c r="J190" s="31">
        <f>J191</f>
        <v>0</v>
      </c>
      <c r="K190" s="116"/>
      <c r="L190" s="31">
        <f t="shared" si="4"/>
        <v>0</v>
      </c>
    </row>
    <row r="191" spans="1:12" ht="42.75" customHeight="1" hidden="1">
      <c r="A191" s="35" t="s">
        <v>38</v>
      </c>
      <c r="B191" s="29" t="s">
        <v>667</v>
      </c>
      <c r="C191" s="29" t="s">
        <v>29</v>
      </c>
      <c r="D191" s="29" t="s">
        <v>248</v>
      </c>
      <c r="E191" s="50" t="s">
        <v>230</v>
      </c>
      <c r="F191" s="37" t="s">
        <v>39</v>
      </c>
      <c r="G191" s="31"/>
      <c r="H191" s="116"/>
      <c r="I191" s="31">
        <f t="shared" si="3"/>
        <v>0</v>
      </c>
      <c r="J191" s="31"/>
      <c r="K191" s="116"/>
      <c r="L191" s="31">
        <f t="shared" si="4"/>
        <v>0</v>
      </c>
    </row>
    <row r="192" spans="1:12" ht="42.75" customHeight="1" hidden="1">
      <c r="A192" s="59" t="s">
        <v>231</v>
      </c>
      <c r="B192" s="29" t="s">
        <v>667</v>
      </c>
      <c r="C192" s="29" t="s">
        <v>29</v>
      </c>
      <c r="D192" s="29" t="s">
        <v>248</v>
      </c>
      <c r="E192" s="50" t="s">
        <v>232</v>
      </c>
      <c r="F192" s="37"/>
      <c r="G192" s="31">
        <f>G193</f>
        <v>0</v>
      </c>
      <c r="H192" s="116"/>
      <c r="I192" s="31">
        <f t="shared" si="3"/>
        <v>0</v>
      </c>
      <c r="J192" s="31">
        <f>J193</f>
        <v>0</v>
      </c>
      <c r="K192" s="116"/>
      <c r="L192" s="31">
        <f t="shared" si="4"/>
        <v>0</v>
      </c>
    </row>
    <row r="193" spans="1:12" ht="42.75" customHeight="1" hidden="1">
      <c r="A193" s="35" t="s">
        <v>223</v>
      </c>
      <c r="B193" s="29" t="s">
        <v>667</v>
      </c>
      <c r="C193" s="29" t="s">
        <v>29</v>
      </c>
      <c r="D193" s="29" t="s">
        <v>248</v>
      </c>
      <c r="E193" s="50" t="s">
        <v>670</v>
      </c>
      <c r="F193" s="37"/>
      <c r="G193" s="31">
        <f>G194</f>
        <v>0</v>
      </c>
      <c r="H193" s="116"/>
      <c r="I193" s="31">
        <f t="shared" si="3"/>
        <v>0</v>
      </c>
      <c r="J193" s="31">
        <f>J194</f>
        <v>0</v>
      </c>
      <c r="K193" s="116"/>
      <c r="L193" s="31">
        <f t="shared" si="4"/>
        <v>0</v>
      </c>
    </row>
    <row r="194" spans="1:12" ht="42.75" customHeight="1" hidden="1">
      <c r="A194" s="35" t="s">
        <v>38</v>
      </c>
      <c r="B194" s="29" t="s">
        <v>667</v>
      </c>
      <c r="C194" s="29" t="s">
        <v>29</v>
      </c>
      <c r="D194" s="29" t="s">
        <v>248</v>
      </c>
      <c r="E194" s="50" t="s">
        <v>670</v>
      </c>
      <c r="F194" s="37" t="s">
        <v>39</v>
      </c>
      <c r="G194" s="31"/>
      <c r="H194" s="116"/>
      <c r="I194" s="31">
        <f t="shared" si="3"/>
        <v>0</v>
      </c>
      <c r="J194" s="31"/>
      <c r="K194" s="116"/>
      <c r="L194" s="31">
        <f t="shared" si="4"/>
        <v>0</v>
      </c>
    </row>
    <row r="195" spans="1:12" ht="42.75" customHeight="1" hidden="1">
      <c r="A195" s="59" t="s">
        <v>234</v>
      </c>
      <c r="B195" s="29" t="s">
        <v>667</v>
      </c>
      <c r="C195" s="29" t="s">
        <v>29</v>
      </c>
      <c r="D195" s="29" t="s">
        <v>248</v>
      </c>
      <c r="E195" s="50" t="s">
        <v>235</v>
      </c>
      <c r="F195" s="37"/>
      <c r="G195" s="31">
        <f>G196</f>
        <v>0</v>
      </c>
      <c r="H195" s="116"/>
      <c r="I195" s="31">
        <f t="shared" si="3"/>
        <v>0</v>
      </c>
      <c r="J195" s="31">
        <f>J196</f>
        <v>0</v>
      </c>
      <c r="K195" s="116"/>
      <c r="L195" s="31">
        <f t="shared" si="4"/>
        <v>0</v>
      </c>
    </row>
    <row r="196" spans="1:12" ht="42.75" customHeight="1" hidden="1">
      <c r="A196" s="35" t="s">
        <v>236</v>
      </c>
      <c r="B196" s="29" t="s">
        <v>667</v>
      </c>
      <c r="C196" s="29" t="s">
        <v>29</v>
      </c>
      <c r="D196" s="29" t="s">
        <v>248</v>
      </c>
      <c r="E196" s="50" t="s">
        <v>237</v>
      </c>
      <c r="F196" s="37"/>
      <c r="G196" s="31">
        <f>G197</f>
        <v>0</v>
      </c>
      <c r="H196" s="116"/>
      <c r="I196" s="31">
        <f t="shared" si="3"/>
        <v>0</v>
      </c>
      <c r="J196" s="31">
        <f>J197</f>
        <v>0</v>
      </c>
      <c r="K196" s="116"/>
      <c r="L196" s="31">
        <f t="shared" si="4"/>
        <v>0</v>
      </c>
    </row>
    <row r="197" spans="1:12" ht="42.75" customHeight="1" hidden="1">
      <c r="A197" s="35" t="s">
        <v>38</v>
      </c>
      <c r="B197" s="29" t="s">
        <v>667</v>
      </c>
      <c r="C197" s="29" t="s">
        <v>29</v>
      </c>
      <c r="D197" s="29" t="s">
        <v>248</v>
      </c>
      <c r="E197" s="50" t="s">
        <v>237</v>
      </c>
      <c r="F197" s="37" t="s">
        <v>39</v>
      </c>
      <c r="G197" s="31"/>
      <c r="H197" s="116"/>
      <c r="I197" s="31">
        <f t="shared" si="3"/>
        <v>0</v>
      </c>
      <c r="J197" s="31"/>
      <c r="K197" s="116"/>
      <c r="L197" s="31">
        <f t="shared" si="4"/>
        <v>0</v>
      </c>
    </row>
    <row r="198" spans="1:13" ht="24.75" customHeight="1">
      <c r="A198" s="16" t="s">
        <v>238</v>
      </c>
      <c r="B198" s="29" t="s">
        <v>667</v>
      </c>
      <c r="C198" s="29" t="s">
        <v>42</v>
      </c>
      <c r="D198" s="29"/>
      <c r="E198" s="29"/>
      <c r="F198" s="30"/>
      <c r="G198" s="31">
        <f>G199+G206+G239</f>
        <v>8081660</v>
      </c>
      <c r="H198" s="31">
        <f>H199+H206+H239</f>
        <v>0</v>
      </c>
      <c r="I198" s="31">
        <f t="shared" si="3"/>
        <v>8081660</v>
      </c>
      <c r="J198" s="31">
        <f>J199+J206+J239</f>
        <v>8882763</v>
      </c>
      <c r="K198" s="31">
        <f>K199+K206+K239</f>
        <v>0</v>
      </c>
      <c r="L198" s="31">
        <f t="shared" si="4"/>
        <v>8882763</v>
      </c>
      <c r="M198" s="21"/>
    </row>
    <row r="199" spans="1:12" ht="15">
      <c r="A199" s="16" t="s">
        <v>239</v>
      </c>
      <c r="B199" s="29" t="s">
        <v>667</v>
      </c>
      <c r="C199" s="29" t="s">
        <v>42</v>
      </c>
      <c r="D199" s="29" t="s">
        <v>240</v>
      </c>
      <c r="E199" s="29"/>
      <c r="F199" s="30"/>
      <c r="G199" s="31">
        <f>G200</f>
        <v>1589000</v>
      </c>
      <c r="H199" s="116"/>
      <c r="I199" s="31">
        <f t="shared" si="3"/>
        <v>1589000</v>
      </c>
      <c r="J199" s="31">
        <f>J200</f>
        <v>1589000</v>
      </c>
      <c r="K199" s="116"/>
      <c r="L199" s="31">
        <f t="shared" si="4"/>
        <v>1589000</v>
      </c>
    </row>
    <row r="200" spans="1:15" ht="69.75" customHeight="1">
      <c r="A200" s="62" t="s">
        <v>157</v>
      </c>
      <c r="B200" s="29" t="s">
        <v>667</v>
      </c>
      <c r="C200" s="29" t="s">
        <v>42</v>
      </c>
      <c r="D200" s="29" t="s">
        <v>240</v>
      </c>
      <c r="E200" s="50" t="s">
        <v>158</v>
      </c>
      <c r="F200" s="30"/>
      <c r="G200" s="31">
        <f>G201</f>
        <v>1589000</v>
      </c>
      <c r="H200" s="116"/>
      <c r="I200" s="31">
        <f t="shared" si="3"/>
        <v>1589000</v>
      </c>
      <c r="J200" s="31">
        <f>J201</f>
        <v>1589000</v>
      </c>
      <c r="K200" s="116"/>
      <c r="L200" s="31">
        <f t="shared" si="4"/>
        <v>1589000</v>
      </c>
      <c r="N200" s="21"/>
      <c r="O200" s="21"/>
    </row>
    <row r="201" spans="1:12" ht="78" customHeight="1">
      <c r="A201" s="67" t="s">
        <v>241</v>
      </c>
      <c r="B201" s="29" t="s">
        <v>667</v>
      </c>
      <c r="C201" s="29" t="s">
        <v>42</v>
      </c>
      <c r="D201" s="29" t="s">
        <v>240</v>
      </c>
      <c r="E201" s="50" t="s">
        <v>242</v>
      </c>
      <c r="F201" s="30"/>
      <c r="G201" s="31">
        <f>G202</f>
        <v>1589000</v>
      </c>
      <c r="H201" s="116"/>
      <c r="I201" s="31">
        <f t="shared" si="3"/>
        <v>1589000</v>
      </c>
      <c r="J201" s="31">
        <f>J202</f>
        <v>1589000</v>
      </c>
      <c r="K201" s="116"/>
      <c r="L201" s="31">
        <f t="shared" si="4"/>
        <v>1589000</v>
      </c>
    </row>
    <row r="202" spans="1:12" ht="44.25" customHeight="1">
      <c r="A202" s="10" t="s">
        <v>243</v>
      </c>
      <c r="B202" s="29" t="s">
        <v>667</v>
      </c>
      <c r="C202" s="29" t="s">
        <v>42</v>
      </c>
      <c r="D202" s="29" t="s">
        <v>240</v>
      </c>
      <c r="E202" s="50" t="s">
        <v>244</v>
      </c>
      <c r="F202" s="30"/>
      <c r="G202" s="31">
        <f>G203</f>
        <v>1589000</v>
      </c>
      <c r="H202" s="116"/>
      <c r="I202" s="31">
        <f t="shared" si="3"/>
        <v>1589000</v>
      </c>
      <c r="J202" s="31">
        <f>J203</f>
        <v>1589000</v>
      </c>
      <c r="K202" s="116"/>
      <c r="L202" s="31">
        <f t="shared" si="4"/>
        <v>1589000</v>
      </c>
    </row>
    <row r="203" spans="1:12" ht="15" customHeight="1">
      <c r="A203" s="16" t="s">
        <v>245</v>
      </c>
      <c r="B203" s="29" t="s">
        <v>667</v>
      </c>
      <c r="C203" s="29" t="s">
        <v>42</v>
      </c>
      <c r="D203" s="29" t="s">
        <v>240</v>
      </c>
      <c r="E203" s="50" t="s">
        <v>246</v>
      </c>
      <c r="F203" s="30"/>
      <c r="G203" s="31">
        <f>G205+G204</f>
        <v>1589000</v>
      </c>
      <c r="H203" s="116"/>
      <c r="I203" s="31">
        <f t="shared" si="3"/>
        <v>1589000</v>
      </c>
      <c r="J203" s="31">
        <f>J205+J204</f>
        <v>1589000</v>
      </c>
      <c r="K203" s="116"/>
      <c r="L203" s="31">
        <f t="shared" si="4"/>
        <v>1589000</v>
      </c>
    </row>
    <row r="204" spans="1:12" ht="42.75" customHeight="1" hidden="1">
      <c r="A204" s="35" t="s">
        <v>38</v>
      </c>
      <c r="B204" s="29" t="s">
        <v>667</v>
      </c>
      <c r="C204" s="29" t="s">
        <v>42</v>
      </c>
      <c r="D204" s="29" t="s">
        <v>240</v>
      </c>
      <c r="E204" s="50" t="s">
        <v>246</v>
      </c>
      <c r="F204" s="30" t="s">
        <v>39</v>
      </c>
      <c r="G204" s="31"/>
      <c r="H204" s="116"/>
      <c r="I204" s="31">
        <f t="shared" si="3"/>
        <v>0</v>
      </c>
      <c r="J204" s="31"/>
      <c r="K204" s="116"/>
      <c r="L204" s="31">
        <f t="shared" si="4"/>
        <v>0</v>
      </c>
    </row>
    <row r="205" spans="1:12" ht="15">
      <c r="A205" s="35" t="s">
        <v>84</v>
      </c>
      <c r="B205" s="29" t="s">
        <v>667</v>
      </c>
      <c r="C205" s="29" t="s">
        <v>42</v>
      </c>
      <c r="D205" s="29" t="s">
        <v>240</v>
      </c>
      <c r="E205" s="50" t="s">
        <v>246</v>
      </c>
      <c r="F205" s="30" t="s">
        <v>85</v>
      </c>
      <c r="G205" s="31">
        <v>1589000</v>
      </c>
      <c r="H205" s="116"/>
      <c r="I205" s="31">
        <f t="shared" si="3"/>
        <v>1589000</v>
      </c>
      <c r="J205" s="31">
        <v>1589000</v>
      </c>
      <c r="K205" s="116"/>
      <c r="L205" s="31">
        <f t="shared" si="4"/>
        <v>1589000</v>
      </c>
    </row>
    <row r="206" spans="1:12" ht="15">
      <c r="A206" s="16" t="s">
        <v>247</v>
      </c>
      <c r="B206" s="29" t="s">
        <v>667</v>
      </c>
      <c r="C206" s="29" t="s">
        <v>42</v>
      </c>
      <c r="D206" s="29" t="s">
        <v>248</v>
      </c>
      <c r="E206" s="29"/>
      <c r="F206" s="30"/>
      <c r="G206" s="31">
        <f>G207</f>
        <v>5871660</v>
      </c>
      <c r="H206" s="31">
        <f>H207</f>
        <v>0</v>
      </c>
      <c r="I206" s="31">
        <f>G206+H206</f>
        <v>5871660</v>
      </c>
      <c r="J206" s="31">
        <f>J207</f>
        <v>6016620</v>
      </c>
      <c r="K206" s="31">
        <f>K207</f>
        <v>0</v>
      </c>
      <c r="L206" s="31">
        <f>J206+K206</f>
        <v>6016620</v>
      </c>
    </row>
    <row r="207" spans="1:12" ht="55.5" customHeight="1">
      <c r="A207" s="62" t="s">
        <v>157</v>
      </c>
      <c r="B207" s="29" t="s">
        <v>667</v>
      </c>
      <c r="C207" s="29" t="s">
        <v>42</v>
      </c>
      <c r="D207" s="29" t="s">
        <v>248</v>
      </c>
      <c r="E207" s="50" t="s">
        <v>158</v>
      </c>
      <c r="F207" s="30"/>
      <c r="G207" s="31">
        <f>G208+G233</f>
        <v>5871660</v>
      </c>
      <c r="H207" s="31">
        <f>H208</f>
        <v>0</v>
      </c>
      <c r="I207" s="31">
        <f>I208+I233</f>
        <v>5871660</v>
      </c>
      <c r="J207" s="31">
        <f>J208+J233</f>
        <v>6016620</v>
      </c>
      <c r="K207" s="31">
        <f>K208</f>
        <v>0</v>
      </c>
      <c r="L207" s="31">
        <f>L208+L233</f>
        <v>6016620</v>
      </c>
    </row>
    <row r="208" spans="1:12" ht="89.25">
      <c r="A208" s="63" t="s">
        <v>249</v>
      </c>
      <c r="B208" s="29" t="s">
        <v>667</v>
      </c>
      <c r="C208" s="29" t="s">
        <v>42</v>
      </c>
      <c r="D208" s="29" t="s">
        <v>248</v>
      </c>
      <c r="E208" s="50" t="s">
        <v>250</v>
      </c>
      <c r="F208" s="30"/>
      <c r="G208" s="31">
        <f>G209+G226</f>
        <v>5871660</v>
      </c>
      <c r="H208" s="31">
        <f>H209+H226</f>
        <v>0</v>
      </c>
      <c r="I208" s="31">
        <f>G208+H208</f>
        <v>5871660</v>
      </c>
      <c r="J208" s="31">
        <f>J209+J226</f>
        <v>6016620</v>
      </c>
      <c r="K208" s="31">
        <f>K209+K226</f>
        <v>0</v>
      </c>
      <c r="L208" s="31">
        <f aca="true" t="shared" si="5" ref="L208:L248">J208+K208</f>
        <v>6016620</v>
      </c>
    </row>
    <row r="209" spans="1:12" ht="48.75" customHeight="1">
      <c r="A209" s="10" t="s">
        <v>251</v>
      </c>
      <c r="B209" s="29" t="s">
        <v>667</v>
      </c>
      <c r="C209" s="29" t="s">
        <v>42</v>
      </c>
      <c r="D209" s="29" t="s">
        <v>248</v>
      </c>
      <c r="E209" s="50" t="s">
        <v>252</v>
      </c>
      <c r="F209" s="30"/>
      <c r="G209" s="31">
        <f>G210+G217+G224</f>
        <v>5128623</v>
      </c>
      <c r="H209" s="31">
        <f>H210+H217</f>
        <v>0</v>
      </c>
      <c r="I209" s="31">
        <f t="shared" si="3"/>
        <v>5128623</v>
      </c>
      <c r="J209" s="31">
        <f>J210+J217+J224</f>
        <v>6016620</v>
      </c>
      <c r="K209" s="31">
        <f>K210+K217</f>
        <v>0</v>
      </c>
      <c r="L209" s="31">
        <f t="shared" si="5"/>
        <v>6016620</v>
      </c>
    </row>
    <row r="210" spans="1:12" ht="42.75" customHeight="1" hidden="1">
      <c r="A210" s="35" t="s">
        <v>253</v>
      </c>
      <c r="B210" s="29" t="s">
        <v>667</v>
      </c>
      <c r="C210" s="29" t="s">
        <v>42</v>
      </c>
      <c r="D210" s="29" t="s">
        <v>248</v>
      </c>
      <c r="E210" s="50" t="s">
        <v>254</v>
      </c>
      <c r="F210" s="30"/>
      <c r="G210" s="31">
        <f>G211+G213+G215</f>
        <v>0</v>
      </c>
      <c r="H210" s="116"/>
      <c r="I210" s="31">
        <f t="shared" si="3"/>
        <v>0</v>
      </c>
      <c r="J210" s="31">
        <f>J211+J213+J215</f>
        <v>0</v>
      </c>
      <c r="K210" s="116"/>
      <c r="L210" s="31">
        <f t="shared" si="5"/>
        <v>0</v>
      </c>
    </row>
    <row r="211" spans="1:12" ht="42.75" customHeight="1" hidden="1">
      <c r="A211" s="64" t="s">
        <v>642</v>
      </c>
      <c r="B211" s="29" t="s">
        <v>667</v>
      </c>
      <c r="C211" s="29" t="s">
        <v>42</v>
      </c>
      <c r="D211" s="29" t="s">
        <v>248</v>
      </c>
      <c r="E211" s="50" t="s">
        <v>256</v>
      </c>
      <c r="F211" s="30"/>
      <c r="G211" s="31">
        <f>G212</f>
        <v>0</v>
      </c>
      <c r="H211" s="116"/>
      <c r="I211" s="31">
        <f t="shared" si="3"/>
        <v>0</v>
      </c>
      <c r="J211" s="31">
        <f>J212</f>
        <v>0</v>
      </c>
      <c r="K211" s="116"/>
      <c r="L211" s="31">
        <f t="shared" si="5"/>
        <v>0</v>
      </c>
    </row>
    <row r="212" spans="1:12" ht="42.75" customHeight="1" hidden="1">
      <c r="A212" s="35" t="s">
        <v>92</v>
      </c>
      <c r="B212" s="29" t="s">
        <v>667</v>
      </c>
      <c r="C212" s="29" t="s">
        <v>42</v>
      </c>
      <c r="D212" s="29" t="s">
        <v>248</v>
      </c>
      <c r="E212" s="50" t="s">
        <v>256</v>
      </c>
      <c r="F212" s="30" t="s">
        <v>39</v>
      </c>
      <c r="G212" s="31"/>
      <c r="H212" s="116"/>
      <c r="I212" s="31">
        <f t="shared" si="3"/>
        <v>0</v>
      </c>
      <c r="J212" s="31"/>
      <c r="K212" s="116"/>
      <c r="L212" s="31">
        <f t="shared" si="5"/>
        <v>0</v>
      </c>
    </row>
    <row r="213" spans="1:12" ht="42.75" customHeight="1" hidden="1">
      <c r="A213" s="64" t="s">
        <v>643</v>
      </c>
      <c r="B213" s="29" t="s">
        <v>667</v>
      </c>
      <c r="C213" s="29" t="s">
        <v>42</v>
      </c>
      <c r="D213" s="29" t="s">
        <v>248</v>
      </c>
      <c r="E213" s="50" t="s">
        <v>257</v>
      </c>
      <c r="F213" s="30"/>
      <c r="G213" s="31">
        <f>G214</f>
        <v>0</v>
      </c>
      <c r="H213" s="116"/>
      <c r="I213" s="31">
        <f>G213+H213</f>
        <v>0</v>
      </c>
      <c r="J213" s="31">
        <f>J214</f>
        <v>0</v>
      </c>
      <c r="K213" s="116"/>
      <c r="L213" s="31">
        <f t="shared" si="5"/>
        <v>0</v>
      </c>
    </row>
    <row r="214" spans="1:12" ht="42.75" customHeight="1" hidden="1">
      <c r="A214" s="35" t="s">
        <v>92</v>
      </c>
      <c r="B214" s="29" t="s">
        <v>667</v>
      </c>
      <c r="C214" s="29" t="s">
        <v>42</v>
      </c>
      <c r="D214" s="29" t="s">
        <v>248</v>
      </c>
      <c r="E214" s="50" t="s">
        <v>257</v>
      </c>
      <c r="F214" s="30" t="s">
        <v>39</v>
      </c>
      <c r="G214" s="31"/>
      <c r="H214" s="116"/>
      <c r="I214" s="31">
        <f>G214+H214</f>
        <v>0</v>
      </c>
      <c r="J214" s="31"/>
      <c r="K214" s="116"/>
      <c r="L214" s="31">
        <f t="shared" si="5"/>
        <v>0</v>
      </c>
    </row>
    <row r="215" spans="1:12" ht="42.75" customHeight="1" hidden="1">
      <c r="A215" s="64" t="s">
        <v>644</v>
      </c>
      <c r="B215" s="29" t="s">
        <v>667</v>
      </c>
      <c r="C215" s="29" t="s">
        <v>42</v>
      </c>
      <c r="D215" s="29" t="s">
        <v>248</v>
      </c>
      <c r="E215" s="50" t="s">
        <v>258</v>
      </c>
      <c r="F215" s="30"/>
      <c r="G215" s="31">
        <f>G216</f>
        <v>0</v>
      </c>
      <c r="H215" s="116"/>
      <c r="I215" s="31">
        <f>G215+H215</f>
        <v>0</v>
      </c>
      <c r="J215" s="31">
        <f>J216</f>
        <v>0</v>
      </c>
      <c r="K215" s="116"/>
      <c r="L215" s="31">
        <f t="shared" si="5"/>
        <v>0</v>
      </c>
    </row>
    <row r="216" spans="1:12" ht="26.25" hidden="1">
      <c r="A216" s="35" t="s">
        <v>92</v>
      </c>
      <c r="B216" s="29" t="s">
        <v>667</v>
      </c>
      <c r="C216" s="29" t="s">
        <v>42</v>
      </c>
      <c r="D216" s="29" t="s">
        <v>248</v>
      </c>
      <c r="E216" s="50" t="s">
        <v>258</v>
      </c>
      <c r="F216" s="30" t="s">
        <v>39</v>
      </c>
      <c r="G216" s="31"/>
      <c r="H216" s="116"/>
      <c r="I216" s="31">
        <f>G216+H216</f>
        <v>0</v>
      </c>
      <c r="J216" s="31"/>
      <c r="K216" s="116"/>
      <c r="L216" s="31">
        <f t="shared" si="5"/>
        <v>0</v>
      </c>
    </row>
    <row r="217" spans="1:12" ht="26.25">
      <c r="A217" s="35" t="s">
        <v>259</v>
      </c>
      <c r="B217" s="29" t="s">
        <v>667</v>
      </c>
      <c r="C217" s="29" t="s">
        <v>42</v>
      </c>
      <c r="D217" s="29" t="s">
        <v>248</v>
      </c>
      <c r="E217" s="50" t="s">
        <v>260</v>
      </c>
      <c r="F217" s="30"/>
      <c r="G217" s="31">
        <f>G218+G220+G222</f>
        <v>2835527</v>
      </c>
      <c r="H217" s="31"/>
      <c r="I217" s="31">
        <f t="shared" si="3"/>
        <v>2835527</v>
      </c>
      <c r="J217" s="31">
        <f>J218+J220+J222</f>
        <v>0</v>
      </c>
      <c r="K217" s="31"/>
      <c r="L217" s="31">
        <f t="shared" si="5"/>
        <v>0</v>
      </c>
    </row>
    <row r="218" spans="1:13" ht="30" customHeight="1">
      <c r="A218" s="64" t="s">
        <v>770</v>
      </c>
      <c r="B218" s="29" t="s">
        <v>667</v>
      </c>
      <c r="C218" s="29" t="s">
        <v>42</v>
      </c>
      <c r="D218" s="29" t="s">
        <v>248</v>
      </c>
      <c r="E218" s="50" t="s">
        <v>261</v>
      </c>
      <c r="F218" s="30"/>
      <c r="G218" s="31">
        <f>G219</f>
        <v>2835527</v>
      </c>
      <c r="H218" s="31"/>
      <c r="I218" s="31">
        <f t="shared" si="3"/>
        <v>2835527</v>
      </c>
      <c r="J218" s="31">
        <f>J219</f>
        <v>0</v>
      </c>
      <c r="K218" s="31"/>
      <c r="L218" s="31">
        <f t="shared" si="5"/>
        <v>0</v>
      </c>
      <c r="M218" s="136"/>
    </row>
    <row r="219" spans="1:12" ht="24.75" customHeight="1">
      <c r="A219" s="35" t="s">
        <v>92</v>
      </c>
      <c r="B219" s="29" t="s">
        <v>667</v>
      </c>
      <c r="C219" s="29" t="s">
        <v>42</v>
      </c>
      <c r="D219" s="29" t="s">
        <v>248</v>
      </c>
      <c r="E219" s="50" t="s">
        <v>261</v>
      </c>
      <c r="F219" s="30" t="s">
        <v>39</v>
      </c>
      <c r="G219" s="31">
        <v>2835527</v>
      </c>
      <c r="H219" s="31"/>
      <c r="I219" s="31">
        <f t="shared" si="3"/>
        <v>2835527</v>
      </c>
      <c r="J219" s="31"/>
      <c r="K219" s="31"/>
      <c r="L219" s="31">
        <f t="shared" si="5"/>
        <v>0</v>
      </c>
    </row>
    <row r="220" spans="1:12" ht="25.5" hidden="1">
      <c r="A220" s="64" t="s">
        <v>643</v>
      </c>
      <c r="B220" s="29" t="s">
        <v>667</v>
      </c>
      <c r="C220" s="29" t="s">
        <v>42</v>
      </c>
      <c r="D220" s="29" t="s">
        <v>248</v>
      </c>
      <c r="E220" s="50" t="s">
        <v>262</v>
      </c>
      <c r="F220" s="30"/>
      <c r="G220" s="31">
        <f>G221</f>
        <v>0</v>
      </c>
      <c r="H220" s="31"/>
      <c r="I220" s="31">
        <f t="shared" si="3"/>
        <v>0</v>
      </c>
      <c r="J220" s="31">
        <f>J221</f>
        <v>0</v>
      </c>
      <c r="K220" s="31"/>
      <c r="L220" s="31">
        <f t="shared" si="5"/>
        <v>0</v>
      </c>
    </row>
    <row r="221" spans="1:12" ht="26.25" hidden="1">
      <c r="A221" s="35" t="s">
        <v>92</v>
      </c>
      <c r="B221" s="29" t="s">
        <v>667</v>
      </c>
      <c r="C221" s="29" t="s">
        <v>42</v>
      </c>
      <c r="D221" s="29" t="s">
        <v>248</v>
      </c>
      <c r="E221" s="50" t="s">
        <v>262</v>
      </c>
      <c r="F221" s="30" t="s">
        <v>39</v>
      </c>
      <c r="G221" s="65"/>
      <c r="H221" s="31"/>
      <c r="I221" s="31">
        <f t="shared" si="3"/>
        <v>0</v>
      </c>
      <c r="J221" s="65"/>
      <c r="K221" s="31"/>
      <c r="L221" s="31">
        <f t="shared" si="5"/>
        <v>0</v>
      </c>
    </row>
    <row r="222" spans="1:12" ht="38.25" hidden="1">
      <c r="A222" s="64" t="s">
        <v>644</v>
      </c>
      <c r="B222" s="29" t="s">
        <v>667</v>
      </c>
      <c r="C222" s="29" t="s">
        <v>42</v>
      </c>
      <c r="D222" s="29" t="s">
        <v>248</v>
      </c>
      <c r="E222" s="50" t="s">
        <v>263</v>
      </c>
      <c r="F222" s="30"/>
      <c r="G222" s="31">
        <f>G223</f>
        <v>0</v>
      </c>
      <c r="H222" s="31"/>
      <c r="I222" s="31">
        <f t="shared" si="3"/>
        <v>0</v>
      </c>
      <c r="J222" s="31">
        <f>J223</f>
        <v>0</v>
      </c>
      <c r="K222" s="31"/>
      <c r="L222" s="31">
        <f t="shared" si="5"/>
        <v>0</v>
      </c>
    </row>
    <row r="223" spans="1:12" ht="26.25" hidden="1">
      <c r="A223" s="35" t="s">
        <v>92</v>
      </c>
      <c r="B223" s="29" t="s">
        <v>667</v>
      </c>
      <c r="C223" s="29" t="s">
        <v>42</v>
      </c>
      <c r="D223" s="29" t="s">
        <v>248</v>
      </c>
      <c r="E223" s="50" t="s">
        <v>263</v>
      </c>
      <c r="F223" s="30" t="s">
        <v>39</v>
      </c>
      <c r="G223" s="31"/>
      <c r="H223" s="31"/>
      <c r="I223" s="31">
        <f t="shared" si="3"/>
        <v>0</v>
      </c>
      <c r="J223" s="31"/>
      <c r="K223" s="31"/>
      <c r="L223" s="31">
        <f t="shared" si="5"/>
        <v>0</v>
      </c>
    </row>
    <row r="224" spans="1:12" ht="39">
      <c r="A224" s="35" t="s">
        <v>264</v>
      </c>
      <c r="B224" s="29" t="s">
        <v>667</v>
      </c>
      <c r="C224" s="29" t="s">
        <v>42</v>
      </c>
      <c r="D224" s="29" t="s">
        <v>248</v>
      </c>
      <c r="E224" s="50" t="s">
        <v>265</v>
      </c>
      <c r="F224" s="30"/>
      <c r="G224" s="31">
        <f>G225</f>
        <v>2293096</v>
      </c>
      <c r="H224" s="116"/>
      <c r="I224" s="31">
        <f>G224+H224</f>
        <v>2293096</v>
      </c>
      <c r="J224" s="31">
        <f>J225</f>
        <v>6016620</v>
      </c>
      <c r="K224" s="116"/>
      <c r="L224" s="31">
        <f t="shared" si="5"/>
        <v>6016620</v>
      </c>
    </row>
    <row r="225" spans="1:12" ht="26.25">
      <c r="A225" s="35" t="s">
        <v>92</v>
      </c>
      <c r="B225" s="29" t="s">
        <v>667</v>
      </c>
      <c r="C225" s="29" t="s">
        <v>42</v>
      </c>
      <c r="D225" s="29" t="s">
        <v>248</v>
      </c>
      <c r="E225" s="50" t="s">
        <v>265</v>
      </c>
      <c r="F225" s="30" t="s">
        <v>39</v>
      </c>
      <c r="G225" s="31">
        <f>5871660-743037-2835527</f>
        <v>2293096</v>
      </c>
      <c r="H225" s="116"/>
      <c r="I225" s="31">
        <f>G225+H225</f>
        <v>2293096</v>
      </c>
      <c r="J225" s="31">
        <v>6016620</v>
      </c>
      <c r="K225" s="116"/>
      <c r="L225" s="31">
        <f t="shared" si="5"/>
        <v>6016620</v>
      </c>
    </row>
    <row r="226" spans="1:12" ht="37.5" customHeight="1">
      <c r="A226" s="10" t="s">
        <v>267</v>
      </c>
      <c r="B226" s="29" t="s">
        <v>667</v>
      </c>
      <c r="C226" s="29" t="s">
        <v>42</v>
      </c>
      <c r="D226" s="29" t="s">
        <v>248</v>
      </c>
      <c r="E226" s="50" t="s">
        <v>268</v>
      </c>
      <c r="F226" s="30"/>
      <c r="G226" s="31">
        <f>G227+G231+G229</f>
        <v>743037</v>
      </c>
      <c r="H226" s="31"/>
      <c r="I226" s="31">
        <f t="shared" si="3"/>
        <v>743037</v>
      </c>
      <c r="J226" s="31">
        <f>J227+J231+J229</f>
        <v>0</v>
      </c>
      <c r="K226" s="31"/>
      <c r="L226" s="31">
        <f t="shared" si="5"/>
        <v>0</v>
      </c>
    </row>
    <row r="227" spans="1:12" ht="26.25" hidden="1">
      <c r="A227" s="35" t="s">
        <v>269</v>
      </c>
      <c r="B227" s="29" t="s">
        <v>667</v>
      </c>
      <c r="C227" s="29" t="s">
        <v>42</v>
      </c>
      <c r="D227" s="29" t="s">
        <v>248</v>
      </c>
      <c r="E227" s="50" t="s">
        <v>270</v>
      </c>
      <c r="F227" s="30"/>
      <c r="G227" s="31">
        <f>G228</f>
        <v>0</v>
      </c>
      <c r="H227" s="116"/>
      <c r="I227" s="31">
        <f t="shared" si="3"/>
        <v>0</v>
      </c>
      <c r="J227" s="31">
        <f>J228</f>
        <v>0</v>
      </c>
      <c r="K227" s="116"/>
      <c r="L227" s="31">
        <f t="shared" si="5"/>
        <v>0</v>
      </c>
    </row>
    <row r="228" spans="1:12" ht="26.25" hidden="1">
      <c r="A228" s="16" t="s">
        <v>271</v>
      </c>
      <c r="B228" s="29" t="s">
        <v>667</v>
      </c>
      <c r="C228" s="29" t="s">
        <v>42</v>
      </c>
      <c r="D228" s="29" t="s">
        <v>248</v>
      </c>
      <c r="E228" s="50" t="s">
        <v>270</v>
      </c>
      <c r="F228" s="30" t="s">
        <v>272</v>
      </c>
      <c r="G228" s="31"/>
      <c r="H228" s="116"/>
      <c r="I228" s="31">
        <f t="shared" si="3"/>
        <v>0</v>
      </c>
      <c r="J228" s="31"/>
      <c r="K228" s="116"/>
      <c r="L228" s="31">
        <f t="shared" si="5"/>
        <v>0</v>
      </c>
    </row>
    <row r="229" spans="1:12" ht="38.25">
      <c r="A229" s="10" t="s">
        <v>273</v>
      </c>
      <c r="B229" s="29" t="s">
        <v>667</v>
      </c>
      <c r="C229" s="29" t="s">
        <v>42</v>
      </c>
      <c r="D229" s="29" t="s">
        <v>248</v>
      </c>
      <c r="E229" s="50" t="s">
        <v>274</v>
      </c>
      <c r="F229" s="30"/>
      <c r="G229" s="31">
        <f>G230</f>
        <v>0</v>
      </c>
      <c r="H229" s="116"/>
      <c r="I229" s="31">
        <f>G229+H229</f>
        <v>0</v>
      </c>
      <c r="J229" s="31">
        <f>J230</f>
        <v>0</v>
      </c>
      <c r="K229" s="116"/>
      <c r="L229" s="31">
        <f>J229+K229</f>
        <v>0</v>
      </c>
    </row>
    <row r="230" spans="1:12" ht="25.5" customHeight="1">
      <c r="A230" s="16" t="s">
        <v>271</v>
      </c>
      <c r="B230" s="29" t="s">
        <v>667</v>
      </c>
      <c r="C230" s="29" t="s">
        <v>42</v>
      </c>
      <c r="D230" s="29" t="s">
        <v>248</v>
      </c>
      <c r="E230" s="50" t="s">
        <v>274</v>
      </c>
      <c r="F230" s="30" t="s">
        <v>272</v>
      </c>
      <c r="G230" s="31">
        <f>36408803-36408803</f>
        <v>0</v>
      </c>
      <c r="H230" s="116"/>
      <c r="I230" s="31">
        <f>G230+H230</f>
        <v>0</v>
      </c>
      <c r="J230" s="31"/>
      <c r="K230" s="116"/>
      <c r="L230" s="31">
        <f>J230+K230</f>
        <v>0</v>
      </c>
    </row>
    <row r="231" spans="1:12" ht="51">
      <c r="A231" s="10" t="s">
        <v>275</v>
      </c>
      <c r="B231" s="29" t="s">
        <v>667</v>
      </c>
      <c r="C231" s="29" t="s">
        <v>42</v>
      </c>
      <c r="D231" s="29" t="s">
        <v>248</v>
      </c>
      <c r="E231" s="50" t="s">
        <v>276</v>
      </c>
      <c r="F231" s="30"/>
      <c r="G231" s="31">
        <f>G232</f>
        <v>743037</v>
      </c>
      <c r="H231" s="116"/>
      <c r="I231" s="31">
        <f t="shared" si="3"/>
        <v>743037</v>
      </c>
      <c r="J231" s="31">
        <f>J232</f>
        <v>0</v>
      </c>
      <c r="K231" s="116"/>
      <c r="L231" s="31">
        <f t="shared" si="5"/>
        <v>0</v>
      </c>
    </row>
    <row r="232" spans="1:12" ht="25.5" customHeight="1">
      <c r="A232" s="16" t="s">
        <v>271</v>
      </c>
      <c r="B232" s="29" t="s">
        <v>667</v>
      </c>
      <c r="C232" s="29" t="s">
        <v>42</v>
      </c>
      <c r="D232" s="29" t="s">
        <v>248</v>
      </c>
      <c r="E232" s="50" t="s">
        <v>276</v>
      </c>
      <c r="F232" s="30" t="s">
        <v>272</v>
      </c>
      <c r="G232" s="31">
        <v>743037</v>
      </c>
      <c r="H232" s="116"/>
      <c r="I232" s="31">
        <f t="shared" si="3"/>
        <v>743037</v>
      </c>
      <c r="J232" s="31"/>
      <c r="K232" s="116"/>
      <c r="L232" s="31">
        <f t="shared" si="5"/>
        <v>0</v>
      </c>
    </row>
    <row r="233" spans="1:12" ht="89.25" hidden="1">
      <c r="A233" s="67" t="s">
        <v>159</v>
      </c>
      <c r="B233" s="29" t="s">
        <v>667</v>
      </c>
      <c r="C233" s="29" t="s">
        <v>42</v>
      </c>
      <c r="D233" s="29" t="s">
        <v>248</v>
      </c>
      <c r="E233" s="50" t="s">
        <v>160</v>
      </c>
      <c r="F233" s="30"/>
      <c r="G233" s="31">
        <f>G234</f>
        <v>0</v>
      </c>
      <c r="H233" s="125"/>
      <c r="I233" s="31">
        <f t="shared" si="3"/>
        <v>0</v>
      </c>
      <c r="J233" s="31">
        <f>J234</f>
        <v>0</v>
      </c>
      <c r="K233" s="125"/>
      <c r="L233" s="31">
        <f t="shared" si="5"/>
        <v>0</v>
      </c>
    </row>
    <row r="234" spans="1:12" ht="38.25" hidden="1">
      <c r="A234" s="55" t="s">
        <v>277</v>
      </c>
      <c r="B234" s="29" t="s">
        <v>667</v>
      </c>
      <c r="C234" s="29" t="s">
        <v>42</v>
      </c>
      <c r="D234" s="29" t="s">
        <v>248</v>
      </c>
      <c r="E234" s="50" t="s">
        <v>278</v>
      </c>
      <c r="F234" s="30"/>
      <c r="G234" s="31">
        <f>G237+G235</f>
        <v>0</v>
      </c>
      <c r="H234" s="125"/>
      <c r="I234" s="31">
        <f t="shared" si="3"/>
        <v>0</v>
      </c>
      <c r="J234" s="31">
        <f>J237+J235</f>
        <v>0</v>
      </c>
      <c r="K234" s="125"/>
      <c r="L234" s="31">
        <f t="shared" si="5"/>
        <v>0</v>
      </c>
    </row>
    <row r="235" spans="1:12" ht="25.5" hidden="1">
      <c r="A235" s="10" t="s">
        <v>163</v>
      </c>
      <c r="B235" s="29" t="s">
        <v>667</v>
      </c>
      <c r="C235" s="29" t="s">
        <v>42</v>
      </c>
      <c r="D235" s="29" t="s">
        <v>248</v>
      </c>
      <c r="E235" s="50" t="s">
        <v>279</v>
      </c>
      <c r="F235" s="30"/>
      <c r="G235" s="31">
        <f>G236</f>
        <v>0</v>
      </c>
      <c r="H235" s="125"/>
      <c r="I235" s="31">
        <f t="shared" si="3"/>
        <v>0</v>
      </c>
      <c r="J235" s="31">
        <f>J236</f>
        <v>0</v>
      </c>
      <c r="K235" s="125"/>
      <c r="L235" s="31">
        <f t="shared" si="5"/>
        <v>0</v>
      </c>
    </row>
    <row r="236" spans="1:12" ht="26.25" hidden="1">
      <c r="A236" s="35" t="s">
        <v>92</v>
      </c>
      <c r="B236" s="29" t="s">
        <v>667</v>
      </c>
      <c r="C236" s="29" t="s">
        <v>42</v>
      </c>
      <c r="D236" s="29" t="s">
        <v>248</v>
      </c>
      <c r="E236" s="50" t="s">
        <v>279</v>
      </c>
      <c r="F236" s="30" t="s">
        <v>39</v>
      </c>
      <c r="G236" s="31"/>
      <c r="H236" s="125"/>
      <c r="I236" s="31">
        <f t="shared" si="3"/>
        <v>0</v>
      </c>
      <c r="J236" s="31"/>
      <c r="K236" s="125"/>
      <c r="L236" s="31">
        <f t="shared" si="5"/>
        <v>0</v>
      </c>
    </row>
    <row r="237" spans="1:12" ht="25.5" hidden="1">
      <c r="A237" s="10" t="s">
        <v>280</v>
      </c>
      <c r="B237" s="29" t="s">
        <v>667</v>
      </c>
      <c r="C237" s="29" t="s">
        <v>42</v>
      </c>
      <c r="D237" s="29" t="s">
        <v>248</v>
      </c>
      <c r="E237" s="50" t="s">
        <v>281</v>
      </c>
      <c r="F237" s="30"/>
      <c r="G237" s="31">
        <f>G238</f>
        <v>0</v>
      </c>
      <c r="H237" s="125"/>
      <c r="I237" s="31">
        <f t="shared" si="3"/>
        <v>0</v>
      </c>
      <c r="J237" s="31">
        <f>J238</f>
        <v>0</v>
      </c>
      <c r="K237" s="125"/>
      <c r="L237" s="31">
        <f t="shared" si="5"/>
        <v>0</v>
      </c>
    </row>
    <row r="238" spans="1:12" ht="26.25" hidden="1">
      <c r="A238" s="35" t="s">
        <v>92</v>
      </c>
      <c r="B238" s="29" t="s">
        <v>667</v>
      </c>
      <c r="C238" s="29" t="s">
        <v>42</v>
      </c>
      <c r="D238" s="29" t="s">
        <v>248</v>
      </c>
      <c r="E238" s="50" t="s">
        <v>281</v>
      </c>
      <c r="F238" s="30" t="s">
        <v>39</v>
      </c>
      <c r="G238" s="31"/>
      <c r="H238" s="125"/>
      <c r="I238" s="31">
        <f t="shared" si="3"/>
        <v>0</v>
      </c>
      <c r="J238" s="31"/>
      <c r="K238" s="125"/>
      <c r="L238" s="31">
        <f t="shared" si="5"/>
        <v>0</v>
      </c>
    </row>
    <row r="239" spans="1:12" ht="20.25" customHeight="1">
      <c r="A239" s="16" t="s">
        <v>282</v>
      </c>
      <c r="B239" s="29" t="s">
        <v>667</v>
      </c>
      <c r="C239" s="29" t="s">
        <v>42</v>
      </c>
      <c r="D239" s="29" t="s">
        <v>283</v>
      </c>
      <c r="E239" s="29"/>
      <c r="F239" s="30"/>
      <c r="G239" s="31">
        <f>G240+G252+G263</f>
        <v>621000</v>
      </c>
      <c r="H239" s="116"/>
      <c r="I239" s="31">
        <f t="shared" si="3"/>
        <v>621000</v>
      </c>
      <c r="J239" s="31">
        <f>J240+J252+J263</f>
        <v>1277143</v>
      </c>
      <c r="K239" s="116"/>
      <c r="L239" s="31">
        <f t="shared" si="5"/>
        <v>1277143</v>
      </c>
    </row>
    <row r="240" spans="1:12" ht="59.25" customHeight="1">
      <c r="A240" s="121" t="s">
        <v>284</v>
      </c>
      <c r="B240" s="29" t="s">
        <v>667</v>
      </c>
      <c r="C240" s="29" t="s">
        <v>42</v>
      </c>
      <c r="D240" s="29" t="s">
        <v>283</v>
      </c>
      <c r="E240" s="29" t="s">
        <v>285</v>
      </c>
      <c r="F240" s="30"/>
      <c r="G240" s="31">
        <f>G241</f>
        <v>100000</v>
      </c>
      <c r="H240" s="116"/>
      <c r="I240" s="31">
        <f t="shared" si="3"/>
        <v>100000</v>
      </c>
      <c r="J240" s="31">
        <f>J241</f>
        <v>100000</v>
      </c>
      <c r="K240" s="116"/>
      <c r="L240" s="31">
        <f t="shared" si="5"/>
        <v>100000</v>
      </c>
    </row>
    <row r="241" spans="1:12" ht="79.5" customHeight="1">
      <c r="A241" s="74" t="s">
        <v>286</v>
      </c>
      <c r="B241" s="29" t="s">
        <v>667</v>
      </c>
      <c r="C241" s="29" t="s">
        <v>42</v>
      </c>
      <c r="D241" s="29" t="s">
        <v>283</v>
      </c>
      <c r="E241" s="29" t="s">
        <v>287</v>
      </c>
      <c r="F241" s="30"/>
      <c r="G241" s="31">
        <f>G242</f>
        <v>100000</v>
      </c>
      <c r="H241" s="116"/>
      <c r="I241" s="31">
        <f t="shared" si="3"/>
        <v>100000</v>
      </c>
      <c r="J241" s="31">
        <f>J242</f>
        <v>100000</v>
      </c>
      <c r="K241" s="116"/>
      <c r="L241" s="31">
        <f t="shared" si="5"/>
        <v>100000</v>
      </c>
    </row>
    <row r="242" spans="1:12" ht="41.25" customHeight="1">
      <c r="A242" s="10" t="s">
        <v>288</v>
      </c>
      <c r="B242" s="29" t="s">
        <v>667</v>
      </c>
      <c r="C242" s="29" t="s">
        <v>42</v>
      </c>
      <c r="D242" s="29" t="s">
        <v>283</v>
      </c>
      <c r="E242" s="29" t="s">
        <v>289</v>
      </c>
      <c r="F242" s="30"/>
      <c r="G242" s="31">
        <f>G243+G245</f>
        <v>100000</v>
      </c>
      <c r="H242" s="116"/>
      <c r="I242" s="31">
        <f t="shared" si="3"/>
        <v>100000</v>
      </c>
      <c r="J242" s="31">
        <f>J243+J245</f>
        <v>100000</v>
      </c>
      <c r="K242" s="116"/>
      <c r="L242" s="31">
        <f t="shared" si="5"/>
        <v>100000</v>
      </c>
    </row>
    <row r="243" spans="1:12" ht="42.75" customHeight="1" hidden="1">
      <c r="A243" s="8" t="s">
        <v>290</v>
      </c>
      <c r="B243" s="29" t="s">
        <v>667</v>
      </c>
      <c r="C243" s="29" t="s">
        <v>42</v>
      </c>
      <c r="D243" s="29" t="s">
        <v>283</v>
      </c>
      <c r="E243" s="29" t="s">
        <v>291</v>
      </c>
      <c r="F243" s="30"/>
      <c r="G243" s="31">
        <f>G244</f>
        <v>0</v>
      </c>
      <c r="H243" s="116"/>
      <c r="I243" s="31">
        <f t="shared" si="3"/>
        <v>0</v>
      </c>
      <c r="J243" s="31">
        <f>J244</f>
        <v>0</v>
      </c>
      <c r="K243" s="116"/>
      <c r="L243" s="31">
        <f t="shared" si="5"/>
        <v>0</v>
      </c>
    </row>
    <row r="244" spans="1:12" ht="42.75" customHeight="1" hidden="1">
      <c r="A244" s="35" t="s">
        <v>38</v>
      </c>
      <c r="B244" s="29" t="s">
        <v>667</v>
      </c>
      <c r="C244" s="29" t="s">
        <v>42</v>
      </c>
      <c r="D244" s="29" t="s">
        <v>283</v>
      </c>
      <c r="E244" s="29" t="s">
        <v>291</v>
      </c>
      <c r="F244" s="30" t="s">
        <v>39</v>
      </c>
      <c r="G244" s="31"/>
      <c r="H244" s="116"/>
      <c r="I244" s="31">
        <f t="shared" si="3"/>
        <v>0</v>
      </c>
      <c r="J244" s="31"/>
      <c r="K244" s="116"/>
      <c r="L244" s="31">
        <f t="shared" si="5"/>
        <v>0</v>
      </c>
    </row>
    <row r="245" spans="1:12" ht="15">
      <c r="A245" s="8" t="s">
        <v>292</v>
      </c>
      <c r="B245" s="29" t="s">
        <v>667</v>
      </c>
      <c r="C245" s="29" t="s">
        <v>42</v>
      </c>
      <c r="D245" s="29" t="s">
        <v>283</v>
      </c>
      <c r="E245" s="29" t="s">
        <v>293</v>
      </c>
      <c r="F245" s="30"/>
      <c r="G245" s="31">
        <f>G246</f>
        <v>100000</v>
      </c>
      <c r="H245" s="116"/>
      <c r="I245" s="31">
        <f t="shared" si="3"/>
        <v>100000</v>
      </c>
      <c r="J245" s="31">
        <f>J246</f>
        <v>100000</v>
      </c>
      <c r="K245" s="116"/>
      <c r="L245" s="31">
        <f t="shared" si="5"/>
        <v>100000</v>
      </c>
    </row>
    <row r="246" spans="1:12" ht="29.25" customHeight="1">
      <c r="A246" s="35" t="s">
        <v>38</v>
      </c>
      <c r="B246" s="29" t="s">
        <v>667</v>
      </c>
      <c r="C246" s="29" t="s">
        <v>42</v>
      </c>
      <c r="D246" s="29" t="s">
        <v>283</v>
      </c>
      <c r="E246" s="29" t="s">
        <v>293</v>
      </c>
      <c r="F246" s="30" t="s">
        <v>39</v>
      </c>
      <c r="G246" s="31">
        <v>100000</v>
      </c>
      <c r="H246" s="116"/>
      <c r="I246" s="31">
        <f t="shared" si="3"/>
        <v>100000</v>
      </c>
      <c r="J246" s="31">
        <v>100000</v>
      </c>
      <c r="K246" s="116"/>
      <c r="L246" s="31">
        <f t="shared" si="5"/>
        <v>100000</v>
      </c>
    </row>
    <row r="247" spans="1:12" ht="42.75" customHeight="1" hidden="1">
      <c r="A247" s="126" t="s">
        <v>294</v>
      </c>
      <c r="B247" s="29" t="s">
        <v>667</v>
      </c>
      <c r="C247" s="29" t="s">
        <v>42</v>
      </c>
      <c r="D247" s="29" t="s">
        <v>283</v>
      </c>
      <c r="E247" s="71" t="s">
        <v>295</v>
      </c>
      <c r="F247" s="30"/>
      <c r="G247" s="31">
        <f>G248</f>
        <v>0</v>
      </c>
      <c r="H247" s="116"/>
      <c r="I247" s="31">
        <f t="shared" si="3"/>
        <v>0</v>
      </c>
      <c r="J247" s="31">
        <f>J248</f>
        <v>0</v>
      </c>
      <c r="K247" s="116"/>
      <c r="L247" s="31">
        <f t="shared" si="5"/>
        <v>0</v>
      </c>
    </row>
    <row r="248" spans="1:12" ht="42.75" customHeight="1" hidden="1">
      <c r="A248" s="63" t="s">
        <v>671</v>
      </c>
      <c r="B248" s="29" t="s">
        <v>667</v>
      </c>
      <c r="C248" s="29" t="s">
        <v>42</v>
      </c>
      <c r="D248" s="29" t="s">
        <v>283</v>
      </c>
      <c r="E248" s="71" t="s">
        <v>297</v>
      </c>
      <c r="F248" s="30"/>
      <c r="G248" s="31">
        <f>G249</f>
        <v>0</v>
      </c>
      <c r="H248" s="116"/>
      <c r="I248" s="31">
        <f t="shared" si="3"/>
        <v>0</v>
      </c>
      <c r="J248" s="31">
        <f>J249</f>
        <v>0</v>
      </c>
      <c r="K248" s="116"/>
      <c r="L248" s="31">
        <f t="shared" si="5"/>
        <v>0</v>
      </c>
    </row>
    <row r="249" spans="1:12" ht="42.75" customHeight="1" hidden="1">
      <c r="A249" s="10" t="s">
        <v>298</v>
      </c>
      <c r="B249" s="29" t="s">
        <v>667</v>
      </c>
      <c r="C249" s="29" t="s">
        <v>42</v>
      </c>
      <c r="D249" s="29" t="s">
        <v>283</v>
      </c>
      <c r="E249" s="71" t="s">
        <v>299</v>
      </c>
      <c r="F249" s="30"/>
      <c r="G249" s="31">
        <f>G250</f>
        <v>0</v>
      </c>
      <c r="H249" s="116"/>
      <c r="I249" s="31">
        <f>I250</f>
        <v>0</v>
      </c>
      <c r="J249" s="31">
        <f>J250</f>
        <v>0</v>
      </c>
      <c r="K249" s="116"/>
      <c r="L249" s="31">
        <f>L250</f>
        <v>0</v>
      </c>
    </row>
    <row r="250" spans="1:12" ht="42.75" customHeight="1" hidden="1">
      <c r="A250" s="15" t="s">
        <v>300</v>
      </c>
      <c r="B250" s="29" t="s">
        <v>667</v>
      </c>
      <c r="C250" s="29" t="s">
        <v>42</v>
      </c>
      <c r="D250" s="29" t="s">
        <v>283</v>
      </c>
      <c r="E250" s="71" t="s">
        <v>301</v>
      </c>
      <c r="F250" s="30"/>
      <c r="G250" s="31">
        <f>G251</f>
        <v>0</v>
      </c>
      <c r="H250" s="116"/>
      <c r="I250" s="31">
        <f>G250+H250</f>
        <v>0</v>
      </c>
      <c r="J250" s="31">
        <f>J251</f>
        <v>0</v>
      </c>
      <c r="K250" s="116"/>
      <c r="L250" s="31">
        <f aca="true" t="shared" si="6" ref="L250:L313">J250+K250</f>
        <v>0</v>
      </c>
    </row>
    <row r="251" spans="1:12" ht="42.75" customHeight="1" hidden="1">
      <c r="A251" s="35" t="s">
        <v>38</v>
      </c>
      <c r="B251" s="29" t="s">
        <v>667</v>
      </c>
      <c r="C251" s="29" t="s">
        <v>42</v>
      </c>
      <c r="D251" s="29" t="s">
        <v>283</v>
      </c>
      <c r="E251" s="71" t="s">
        <v>301</v>
      </c>
      <c r="F251" s="30" t="s">
        <v>39</v>
      </c>
      <c r="G251" s="31"/>
      <c r="H251" s="116"/>
      <c r="I251" s="31">
        <f>G251+H251</f>
        <v>0</v>
      </c>
      <c r="J251" s="31"/>
      <c r="K251" s="116"/>
      <c r="L251" s="31">
        <f t="shared" si="6"/>
        <v>0</v>
      </c>
    </row>
    <row r="252" spans="1:12" ht="51.75" customHeight="1">
      <c r="A252" s="121" t="s">
        <v>302</v>
      </c>
      <c r="B252" s="29" t="s">
        <v>667</v>
      </c>
      <c r="C252" s="29" t="s">
        <v>42</v>
      </c>
      <c r="D252" s="29" t="s">
        <v>283</v>
      </c>
      <c r="E252" s="57" t="s">
        <v>303</v>
      </c>
      <c r="F252" s="30"/>
      <c r="G252" s="31">
        <f>G253</f>
        <v>501000</v>
      </c>
      <c r="H252" s="116"/>
      <c r="I252" s="31">
        <f t="shared" si="3"/>
        <v>501000</v>
      </c>
      <c r="J252" s="31">
        <f>J253</f>
        <v>1157143</v>
      </c>
      <c r="K252" s="116"/>
      <c r="L252" s="31">
        <f t="shared" si="6"/>
        <v>1157143</v>
      </c>
    </row>
    <row r="253" spans="1:12" ht="79.5" customHeight="1">
      <c r="A253" s="63" t="s">
        <v>304</v>
      </c>
      <c r="B253" s="29" t="s">
        <v>667</v>
      </c>
      <c r="C253" s="29" t="s">
        <v>42</v>
      </c>
      <c r="D253" s="29" t="s">
        <v>283</v>
      </c>
      <c r="E253" s="57" t="s">
        <v>305</v>
      </c>
      <c r="F253" s="30"/>
      <c r="G253" s="31">
        <f>G254</f>
        <v>501000</v>
      </c>
      <c r="H253" s="116"/>
      <c r="I253" s="31">
        <f>G253+H253</f>
        <v>501000</v>
      </c>
      <c r="J253" s="31">
        <f>J254</f>
        <v>1157143</v>
      </c>
      <c r="K253" s="116"/>
      <c r="L253" s="31">
        <f t="shared" si="6"/>
        <v>1157143</v>
      </c>
    </row>
    <row r="254" spans="1:12" ht="36.75" customHeight="1">
      <c r="A254" s="10" t="s">
        <v>306</v>
      </c>
      <c r="B254" s="29" t="s">
        <v>667</v>
      </c>
      <c r="C254" s="29" t="s">
        <v>42</v>
      </c>
      <c r="D254" s="29" t="s">
        <v>283</v>
      </c>
      <c r="E254" s="47" t="s">
        <v>307</v>
      </c>
      <c r="F254" s="37"/>
      <c r="G254" s="31">
        <f>G261+G255+G259+G257</f>
        <v>501000</v>
      </c>
      <c r="H254" s="116"/>
      <c r="I254" s="31">
        <f t="shared" si="3"/>
        <v>501000</v>
      </c>
      <c r="J254" s="31">
        <f>J261+J255+J259+J257</f>
        <v>1157143</v>
      </c>
      <c r="K254" s="116"/>
      <c r="L254" s="31">
        <f t="shared" si="6"/>
        <v>1157143</v>
      </c>
    </row>
    <row r="255" spans="1:12" ht="53.25" customHeight="1">
      <c r="A255" s="10" t="s">
        <v>308</v>
      </c>
      <c r="B255" s="29" t="s">
        <v>667</v>
      </c>
      <c r="C255" s="29" t="s">
        <v>42</v>
      </c>
      <c r="D255" s="29" t="s">
        <v>283</v>
      </c>
      <c r="E255" s="47" t="s">
        <v>309</v>
      </c>
      <c r="F255" s="37"/>
      <c r="G255" s="31">
        <f>G256</f>
        <v>350700</v>
      </c>
      <c r="H255" s="116"/>
      <c r="I255" s="31">
        <f t="shared" si="3"/>
        <v>350700</v>
      </c>
      <c r="J255" s="31">
        <f>J256</f>
        <v>810000</v>
      </c>
      <c r="K255" s="116"/>
      <c r="L255" s="31">
        <f t="shared" si="6"/>
        <v>810000</v>
      </c>
    </row>
    <row r="256" spans="1:12" ht="24.75" customHeight="1">
      <c r="A256" s="35" t="s">
        <v>38</v>
      </c>
      <c r="B256" s="29" t="s">
        <v>667</v>
      </c>
      <c r="C256" s="29" t="s">
        <v>42</v>
      </c>
      <c r="D256" s="29" t="s">
        <v>283</v>
      </c>
      <c r="E256" s="47" t="s">
        <v>309</v>
      </c>
      <c r="F256" s="37" t="s">
        <v>39</v>
      </c>
      <c r="G256" s="31">
        <v>350700</v>
      </c>
      <c r="H256" s="116"/>
      <c r="I256" s="31">
        <f aca="true" t="shared" si="7" ref="I256:I319">G256+H256</f>
        <v>350700</v>
      </c>
      <c r="J256" s="31">
        <v>810000</v>
      </c>
      <c r="K256" s="116"/>
      <c r="L256" s="31">
        <f t="shared" si="6"/>
        <v>810000</v>
      </c>
    </row>
    <row r="257" spans="1:12" ht="0.75" customHeight="1" hidden="1">
      <c r="A257" s="35" t="s">
        <v>310</v>
      </c>
      <c r="B257" s="29" t="s">
        <v>667</v>
      </c>
      <c r="C257" s="29" t="s">
        <v>42</v>
      </c>
      <c r="D257" s="29" t="s">
        <v>283</v>
      </c>
      <c r="E257" s="47" t="s">
        <v>311</v>
      </c>
      <c r="F257" s="37"/>
      <c r="G257" s="31">
        <f>G258</f>
        <v>0</v>
      </c>
      <c r="H257" s="116"/>
      <c r="I257" s="31">
        <f t="shared" si="7"/>
        <v>0</v>
      </c>
      <c r="J257" s="31">
        <f>J258</f>
        <v>0</v>
      </c>
      <c r="K257" s="116"/>
      <c r="L257" s="31">
        <f t="shared" si="6"/>
        <v>0</v>
      </c>
    </row>
    <row r="258" spans="1:12" ht="26.25" hidden="1">
      <c r="A258" s="35" t="s">
        <v>38</v>
      </c>
      <c r="B258" s="29" t="s">
        <v>667</v>
      </c>
      <c r="C258" s="29" t="s">
        <v>42</v>
      </c>
      <c r="D258" s="29" t="s">
        <v>283</v>
      </c>
      <c r="E258" s="47" t="s">
        <v>311</v>
      </c>
      <c r="F258" s="37" t="s">
        <v>39</v>
      </c>
      <c r="G258" s="31"/>
      <c r="H258" s="116"/>
      <c r="I258" s="31">
        <f t="shared" si="7"/>
        <v>0</v>
      </c>
      <c r="J258" s="31"/>
      <c r="K258" s="116"/>
      <c r="L258" s="31">
        <f t="shared" si="6"/>
        <v>0</v>
      </c>
    </row>
    <row r="259" spans="1:12" ht="37.5" customHeight="1">
      <c r="A259" s="10" t="s">
        <v>312</v>
      </c>
      <c r="B259" s="29" t="s">
        <v>667</v>
      </c>
      <c r="C259" s="29" t="s">
        <v>42</v>
      </c>
      <c r="D259" s="29" t="s">
        <v>283</v>
      </c>
      <c r="E259" s="47" t="s">
        <v>313</v>
      </c>
      <c r="F259" s="37"/>
      <c r="G259" s="31">
        <f>G260</f>
        <v>150300</v>
      </c>
      <c r="H259" s="116"/>
      <c r="I259" s="31">
        <f t="shared" si="7"/>
        <v>150300</v>
      </c>
      <c r="J259" s="31">
        <f>J260</f>
        <v>347143</v>
      </c>
      <c r="K259" s="116"/>
      <c r="L259" s="31">
        <f t="shared" si="6"/>
        <v>347143</v>
      </c>
    </row>
    <row r="260" spans="1:12" ht="26.25">
      <c r="A260" s="35" t="s">
        <v>38</v>
      </c>
      <c r="B260" s="29" t="s">
        <v>667</v>
      </c>
      <c r="C260" s="29" t="s">
        <v>42</v>
      </c>
      <c r="D260" s="29" t="s">
        <v>283</v>
      </c>
      <c r="E260" s="47" t="s">
        <v>313</v>
      </c>
      <c r="F260" s="37" t="s">
        <v>39</v>
      </c>
      <c r="G260" s="31">
        <v>150300</v>
      </c>
      <c r="H260" s="116"/>
      <c r="I260" s="31">
        <f t="shared" si="7"/>
        <v>150300</v>
      </c>
      <c r="J260" s="31">
        <v>347143</v>
      </c>
      <c r="K260" s="116"/>
      <c r="L260" s="31">
        <f t="shared" si="6"/>
        <v>347143</v>
      </c>
    </row>
    <row r="261" spans="1:12" ht="39" customHeight="1" hidden="1">
      <c r="A261" s="73" t="s">
        <v>314</v>
      </c>
      <c r="B261" s="29" t="s">
        <v>667</v>
      </c>
      <c r="C261" s="29" t="s">
        <v>42</v>
      </c>
      <c r="D261" s="29" t="s">
        <v>283</v>
      </c>
      <c r="E261" s="47" t="s">
        <v>311</v>
      </c>
      <c r="F261" s="37"/>
      <c r="G261" s="31">
        <f>G262</f>
        <v>0</v>
      </c>
      <c r="H261" s="116"/>
      <c r="I261" s="31">
        <f t="shared" si="7"/>
        <v>0</v>
      </c>
      <c r="J261" s="31">
        <f>J262</f>
        <v>0</v>
      </c>
      <c r="K261" s="116"/>
      <c r="L261" s="31">
        <f t="shared" si="6"/>
        <v>0</v>
      </c>
    </row>
    <row r="262" spans="1:12" ht="26.25" customHeight="1" hidden="1">
      <c r="A262" s="35" t="s">
        <v>38</v>
      </c>
      <c r="B262" s="29" t="s">
        <v>667</v>
      </c>
      <c r="C262" s="29" t="s">
        <v>42</v>
      </c>
      <c r="D262" s="29" t="s">
        <v>283</v>
      </c>
      <c r="E262" s="47" t="s">
        <v>311</v>
      </c>
      <c r="F262" s="37" t="s">
        <v>39</v>
      </c>
      <c r="G262" s="31"/>
      <c r="H262" s="116"/>
      <c r="I262" s="31">
        <f t="shared" si="7"/>
        <v>0</v>
      </c>
      <c r="J262" s="31"/>
      <c r="K262" s="116"/>
      <c r="L262" s="31">
        <f t="shared" si="6"/>
        <v>0</v>
      </c>
    </row>
    <row r="263" spans="1:12" ht="38.25">
      <c r="A263" s="63" t="s">
        <v>315</v>
      </c>
      <c r="B263" s="29" t="s">
        <v>667</v>
      </c>
      <c r="C263" s="29" t="s">
        <v>42</v>
      </c>
      <c r="D263" s="29" t="s">
        <v>283</v>
      </c>
      <c r="E263" s="29" t="s">
        <v>316</v>
      </c>
      <c r="F263" s="37"/>
      <c r="G263" s="31">
        <f>G264+G268</f>
        <v>20000</v>
      </c>
      <c r="H263" s="116"/>
      <c r="I263" s="31">
        <f t="shared" si="7"/>
        <v>20000</v>
      </c>
      <c r="J263" s="31">
        <f>J264+J268</f>
        <v>20000</v>
      </c>
      <c r="K263" s="116"/>
      <c r="L263" s="31">
        <f t="shared" si="6"/>
        <v>20000</v>
      </c>
    </row>
    <row r="264" spans="1:12" ht="76.5">
      <c r="A264" s="74" t="s">
        <v>317</v>
      </c>
      <c r="B264" s="29" t="s">
        <v>667</v>
      </c>
      <c r="C264" s="29" t="s">
        <v>42</v>
      </c>
      <c r="D264" s="29" t="s">
        <v>283</v>
      </c>
      <c r="E264" s="29" t="s">
        <v>318</v>
      </c>
      <c r="F264" s="37"/>
      <c r="G264" s="31">
        <f>G265</f>
        <v>20000</v>
      </c>
      <c r="H264" s="116"/>
      <c r="I264" s="31">
        <f t="shared" si="7"/>
        <v>20000</v>
      </c>
      <c r="J264" s="31">
        <f>J265</f>
        <v>20000</v>
      </c>
      <c r="K264" s="116"/>
      <c r="L264" s="31">
        <f t="shared" si="6"/>
        <v>20000</v>
      </c>
    </row>
    <row r="265" spans="1:12" ht="25.5">
      <c r="A265" s="13" t="s">
        <v>319</v>
      </c>
      <c r="B265" s="29" t="s">
        <v>667</v>
      </c>
      <c r="C265" s="29" t="s">
        <v>42</v>
      </c>
      <c r="D265" s="29" t="s">
        <v>283</v>
      </c>
      <c r="E265" s="29" t="s">
        <v>320</v>
      </c>
      <c r="F265" s="37"/>
      <c r="G265" s="31">
        <f>G266</f>
        <v>20000</v>
      </c>
      <c r="H265" s="116"/>
      <c r="I265" s="31">
        <f t="shared" si="7"/>
        <v>20000</v>
      </c>
      <c r="J265" s="31">
        <f>J266</f>
        <v>20000</v>
      </c>
      <c r="K265" s="116"/>
      <c r="L265" s="31">
        <f t="shared" si="6"/>
        <v>20000</v>
      </c>
    </row>
    <row r="266" spans="1:12" ht="26.25">
      <c r="A266" s="8" t="s">
        <v>321</v>
      </c>
      <c r="B266" s="29" t="s">
        <v>667</v>
      </c>
      <c r="C266" s="29" t="s">
        <v>42</v>
      </c>
      <c r="D266" s="29" t="s">
        <v>283</v>
      </c>
      <c r="E266" s="29" t="s">
        <v>322</v>
      </c>
      <c r="F266" s="37"/>
      <c r="G266" s="31">
        <f>G267</f>
        <v>20000</v>
      </c>
      <c r="H266" s="116"/>
      <c r="I266" s="31">
        <f t="shared" si="7"/>
        <v>20000</v>
      </c>
      <c r="J266" s="31">
        <f>J267</f>
        <v>20000</v>
      </c>
      <c r="K266" s="116"/>
      <c r="L266" s="31">
        <f t="shared" si="6"/>
        <v>20000</v>
      </c>
    </row>
    <row r="267" spans="1:12" ht="26.25">
      <c r="A267" s="35" t="s">
        <v>38</v>
      </c>
      <c r="B267" s="29" t="s">
        <v>667</v>
      </c>
      <c r="C267" s="29" t="s">
        <v>42</v>
      </c>
      <c r="D267" s="29" t="s">
        <v>283</v>
      </c>
      <c r="E267" s="29" t="s">
        <v>322</v>
      </c>
      <c r="F267" s="37" t="s">
        <v>39</v>
      </c>
      <c r="G267" s="31">
        <v>20000</v>
      </c>
      <c r="H267" s="116"/>
      <c r="I267" s="31">
        <f t="shared" si="7"/>
        <v>20000</v>
      </c>
      <c r="J267" s="31">
        <v>20000</v>
      </c>
      <c r="K267" s="116"/>
      <c r="L267" s="31">
        <f t="shared" si="6"/>
        <v>20000</v>
      </c>
    </row>
    <row r="268" spans="1:12" ht="76.5" hidden="1">
      <c r="A268" s="13" t="s">
        <v>323</v>
      </c>
      <c r="B268" s="29" t="s">
        <v>667</v>
      </c>
      <c r="C268" s="29" t="s">
        <v>42</v>
      </c>
      <c r="D268" s="29" t="s">
        <v>283</v>
      </c>
      <c r="E268" s="29" t="s">
        <v>324</v>
      </c>
      <c r="F268" s="37"/>
      <c r="G268" s="31">
        <f>G269</f>
        <v>0</v>
      </c>
      <c r="H268" s="116"/>
      <c r="I268" s="31">
        <f t="shared" si="7"/>
        <v>0</v>
      </c>
      <c r="J268" s="31">
        <f>J269</f>
        <v>0</v>
      </c>
      <c r="K268" s="116"/>
      <c r="L268" s="31">
        <f t="shared" si="6"/>
        <v>0</v>
      </c>
    </row>
    <row r="269" spans="1:12" ht="51" hidden="1">
      <c r="A269" s="13" t="s">
        <v>325</v>
      </c>
      <c r="B269" s="29" t="s">
        <v>667</v>
      </c>
      <c r="C269" s="29" t="s">
        <v>42</v>
      </c>
      <c r="D269" s="29" t="s">
        <v>283</v>
      </c>
      <c r="E269" s="29" t="s">
        <v>326</v>
      </c>
      <c r="F269" s="37"/>
      <c r="G269" s="31">
        <f>G270</f>
        <v>0</v>
      </c>
      <c r="H269" s="116"/>
      <c r="I269" s="31">
        <f t="shared" si="7"/>
        <v>0</v>
      </c>
      <c r="J269" s="31">
        <f>J270</f>
        <v>0</v>
      </c>
      <c r="K269" s="116"/>
      <c r="L269" s="31">
        <f t="shared" si="6"/>
        <v>0</v>
      </c>
    </row>
    <row r="270" spans="1:12" ht="39" hidden="1">
      <c r="A270" s="35" t="s">
        <v>327</v>
      </c>
      <c r="B270" s="29" t="s">
        <v>667</v>
      </c>
      <c r="C270" s="29" t="s">
        <v>42</v>
      </c>
      <c r="D270" s="29" t="s">
        <v>283</v>
      </c>
      <c r="E270" s="29" t="s">
        <v>328</v>
      </c>
      <c r="F270" s="37"/>
      <c r="G270" s="31">
        <f>G271</f>
        <v>0</v>
      </c>
      <c r="H270" s="116"/>
      <c r="I270" s="31">
        <f t="shared" si="7"/>
        <v>0</v>
      </c>
      <c r="J270" s="31">
        <f>J271</f>
        <v>0</v>
      </c>
      <c r="K270" s="116"/>
      <c r="L270" s="31">
        <f t="shared" si="6"/>
        <v>0</v>
      </c>
    </row>
    <row r="271" spans="1:12" ht="17.25" customHeight="1" hidden="1">
      <c r="A271" s="35" t="s">
        <v>84</v>
      </c>
      <c r="B271" s="29" t="s">
        <v>667</v>
      </c>
      <c r="C271" s="29" t="s">
        <v>42</v>
      </c>
      <c r="D271" s="29" t="s">
        <v>283</v>
      </c>
      <c r="E271" s="29" t="s">
        <v>328</v>
      </c>
      <c r="F271" s="37" t="s">
        <v>85</v>
      </c>
      <c r="G271" s="31"/>
      <c r="H271" s="116"/>
      <c r="I271" s="31">
        <f t="shared" si="7"/>
        <v>0</v>
      </c>
      <c r="J271" s="31"/>
      <c r="K271" s="116"/>
      <c r="L271" s="31">
        <f t="shared" si="6"/>
        <v>0</v>
      </c>
    </row>
    <row r="272" spans="1:12" ht="42.75" customHeight="1" hidden="1">
      <c r="A272" s="35" t="s">
        <v>329</v>
      </c>
      <c r="B272" s="29" t="s">
        <v>667</v>
      </c>
      <c r="C272" s="29" t="s">
        <v>98</v>
      </c>
      <c r="D272" s="29"/>
      <c r="E272" s="29"/>
      <c r="F272" s="37"/>
      <c r="G272" s="31">
        <f>G273</f>
        <v>0</v>
      </c>
      <c r="H272" s="116"/>
      <c r="I272" s="31">
        <f t="shared" si="7"/>
        <v>0</v>
      </c>
      <c r="J272" s="31">
        <f>J273</f>
        <v>0</v>
      </c>
      <c r="K272" s="116"/>
      <c r="L272" s="31">
        <f t="shared" si="6"/>
        <v>0</v>
      </c>
    </row>
    <row r="273" spans="1:12" ht="42.75" customHeight="1" hidden="1">
      <c r="A273" s="35" t="s">
        <v>340</v>
      </c>
      <c r="B273" s="29" t="s">
        <v>667</v>
      </c>
      <c r="C273" s="29" t="s">
        <v>98</v>
      </c>
      <c r="D273" s="29" t="s">
        <v>19</v>
      </c>
      <c r="E273" s="29"/>
      <c r="F273" s="37"/>
      <c r="G273" s="31">
        <f>G274+G283</f>
        <v>0</v>
      </c>
      <c r="H273" s="116"/>
      <c r="I273" s="31">
        <f t="shared" si="7"/>
        <v>0</v>
      </c>
      <c r="J273" s="31">
        <f>J274+J283</f>
        <v>0</v>
      </c>
      <c r="K273" s="116"/>
      <c r="L273" s="31">
        <f t="shared" si="6"/>
        <v>0</v>
      </c>
    </row>
    <row r="274" spans="1:12" ht="42.75" customHeight="1" hidden="1">
      <c r="A274" s="15" t="s">
        <v>341</v>
      </c>
      <c r="B274" s="29" t="s">
        <v>667</v>
      </c>
      <c r="C274" s="29" t="s">
        <v>98</v>
      </c>
      <c r="D274" s="29" t="s">
        <v>19</v>
      </c>
      <c r="E274" s="50" t="s">
        <v>342</v>
      </c>
      <c r="F274" s="37"/>
      <c r="G274" s="31">
        <f>G275</f>
        <v>0</v>
      </c>
      <c r="H274" s="116"/>
      <c r="I274" s="31">
        <f t="shared" si="7"/>
        <v>0</v>
      </c>
      <c r="J274" s="31">
        <f>J275</f>
        <v>0</v>
      </c>
      <c r="K274" s="116"/>
      <c r="L274" s="31">
        <f t="shared" si="6"/>
        <v>0</v>
      </c>
    </row>
    <row r="275" spans="1:12" ht="42.75" customHeight="1" hidden="1">
      <c r="A275" s="75" t="s">
        <v>343</v>
      </c>
      <c r="B275" s="29" t="s">
        <v>667</v>
      </c>
      <c r="C275" s="29" t="s">
        <v>98</v>
      </c>
      <c r="D275" s="29" t="s">
        <v>19</v>
      </c>
      <c r="E275" s="50" t="s">
        <v>673</v>
      </c>
      <c r="F275" s="37"/>
      <c r="G275" s="31">
        <f>G276</f>
        <v>0</v>
      </c>
      <c r="H275" s="116"/>
      <c r="I275" s="31">
        <f t="shared" si="7"/>
        <v>0</v>
      </c>
      <c r="J275" s="31">
        <f>J276</f>
        <v>0</v>
      </c>
      <c r="K275" s="116"/>
      <c r="L275" s="31">
        <f t="shared" si="6"/>
        <v>0</v>
      </c>
    </row>
    <row r="276" spans="1:12" ht="42.75" customHeight="1" hidden="1">
      <c r="A276" s="10" t="s">
        <v>345</v>
      </c>
      <c r="B276" s="29" t="s">
        <v>667</v>
      </c>
      <c r="C276" s="29" t="s">
        <v>98</v>
      </c>
      <c r="D276" s="29" t="s">
        <v>19</v>
      </c>
      <c r="E276" s="50" t="s">
        <v>674</v>
      </c>
      <c r="F276" s="37"/>
      <c r="G276" s="31">
        <f>G277+G279+G281</f>
        <v>0</v>
      </c>
      <c r="H276" s="116"/>
      <c r="I276" s="31">
        <f t="shared" si="7"/>
        <v>0</v>
      </c>
      <c r="J276" s="31">
        <f>J277+J279+J281</f>
        <v>0</v>
      </c>
      <c r="K276" s="116"/>
      <c r="L276" s="31">
        <f t="shared" si="6"/>
        <v>0</v>
      </c>
    </row>
    <row r="277" spans="1:12" ht="42.75" customHeight="1" hidden="1">
      <c r="A277" s="59" t="s">
        <v>346</v>
      </c>
      <c r="B277" s="29" t="s">
        <v>667</v>
      </c>
      <c r="C277" s="29" t="s">
        <v>98</v>
      </c>
      <c r="D277" s="29" t="s">
        <v>19</v>
      </c>
      <c r="E277" s="50" t="s">
        <v>347</v>
      </c>
      <c r="F277" s="37"/>
      <c r="G277" s="31">
        <f>G278</f>
        <v>0</v>
      </c>
      <c r="H277" s="116"/>
      <c r="I277" s="31">
        <f t="shared" si="7"/>
        <v>0</v>
      </c>
      <c r="J277" s="31">
        <f>J278</f>
        <v>0</v>
      </c>
      <c r="K277" s="116"/>
      <c r="L277" s="31">
        <f t="shared" si="6"/>
        <v>0</v>
      </c>
    </row>
    <row r="278" spans="1:12" ht="42.75" customHeight="1" hidden="1">
      <c r="A278" s="16" t="s">
        <v>271</v>
      </c>
      <c r="B278" s="29" t="s">
        <v>667</v>
      </c>
      <c r="C278" s="29" t="s">
        <v>98</v>
      </c>
      <c r="D278" s="29" t="s">
        <v>19</v>
      </c>
      <c r="E278" s="50" t="s">
        <v>347</v>
      </c>
      <c r="F278" s="37" t="s">
        <v>272</v>
      </c>
      <c r="G278" s="31"/>
      <c r="H278" s="116"/>
      <c r="I278" s="31">
        <f t="shared" si="7"/>
        <v>0</v>
      </c>
      <c r="J278" s="31"/>
      <c r="K278" s="116"/>
      <c r="L278" s="31">
        <f t="shared" si="6"/>
        <v>0</v>
      </c>
    </row>
    <row r="279" spans="1:12" ht="42.75" customHeight="1" hidden="1">
      <c r="A279" s="51" t="s">
        <v>348</v>
      </c>
      <c r="B279" s="29" t="s">
        <v>667</v>
      </c>
      <c r="C279" s="29" t="s">
        <v>98</v>
      </c>
      <c r="D279" s="29" t="s">
        <v>19</v>
      </c>
      <c r="E279" s="50" t="s">
        <v>349</v>
      </c>
      <c r="F279" s="37"/>
      <c r="G279" s="31">
        <f>G280</f>
        <v>0</v>
      </c>
      <c r="H279" s="116"/>
      <c r="I279" s="31">
        <f t="shared" si="7"/>
        <v>0</v>
      </c>
      <c r="J279" s="31">
        <f>J280</f>
        <v>0</v>
      </c>
      <c r="K279" s="116"/>
      <c r="L279" s="31">
        <f t="shared" si="6"/>
        <v>0</v>
      </c>
    </row>
    <row r="280" spans="1:12" ht="42.75" customHeight="1" hidden="1">
      <c r="A280" s="16" t="s">
        <v>271</v>
      </c>
      <c r="B280" s="29" t="s">
        <v>667</v>
      </c>
      <c r="C280" s="29" t="s">
        <v>98</v>
      </c>
      <c r="D280" s="29" t="s">
        <v>19</v>
      </c>
      <c r="E280" s="50" t="s">
        <v>349</v>
      </c>
      <c r="F280" s="37" t="s">
        <v>272</v>
      </c>
      <c r="G280" s="31"/>
      <c r="H280" s="116"/>
      <c r="I280" s="31">
        <f>G280+H280</f>
        <v>0</v>
      </c>
      <c r="J280" s="31"/>
      <c r="K280" s="116"/>
      <c r="L280" s="31">
        <f t="shared" si="6"/>
        <v>0</v>
      </c>
    </row>
    <row r="281" spans="1:12" ht="42.75" customHeight="1" hidden="1">
      <c r="A281" s="51" t="s">
        <v>675</v>
      </c>
      <c r="B281" s="29" t="s">
        <v>667</v>
      </c>
      <c r="C281" s="29" t="s">
        <v>98</v>
      </c>
      <c r="D281" s="29" t="s">
        <v>19</v>
      </c>
      <c r="E281" s="50" t="s">
        <v>676</v>
      </c>
      <c r="F281" s="37"/>
      <c r="G281" s="31">
        <f>G282</f>
        <v>0</v>
      </c>
      <c r="H281" s="116"/>
      <c r="I281" s="31">
        <f>G281+H281</f>
        <v>0</v>
      </c>
      <c r="J281" s="31">
        <f>J282</f>
        <v>0</v>
      </c>
      <c r="K281" s="116"/>
      <c r="L281" s="31">
        <f t="shared" si="6"/>
        <v>0</v>
      </c>
    </row>
    <row r="282" spans="1:12" ht="42.75" customHeight="1" hidden="1">
      <c r="A282" s="16" t="s">
        <v>271</v>
      </c>
      <c r="B282" s="29" t="s">
        <v>667</v>
      </c>
      <c r="C282" s="29" t="s">
        <v>98</v>
      </c>
      <c r="D282" s="29" t="s">
        <v>19</v>
      </c>
      <c r="E282" s="50" t="s">
        <v>676</v>
      </c>
      <c r="F282" s="37" t="s">
        <v>272</v>
      </c>
      <c r="G282" s="31"/>
      <c r="H282" s="116"/>
      <c r="I282" s="31">
        <f>G282+H282</f>
        <v>0</v>
      </c>
      <c r="J282" s="31"/>
      <c r="K282" s="116"/>
      <c r="L282" s="31">
        <f t="shared" si="6"/>
        <v>0</v>
      </c>
    </row>
    <row r="283" spans="1:12" ht="42.75" customHeight="1" hidden="1">
      <c r="A283" s="75" t="s">
        <v>333</v>
      </c>
      <c r="B283" s="29" t="s">
        <v>667</v>
      </c>
      <c r="C283" s="29" t="s">
        <v>98</v>
      </c>
      <c r="D283" s="29" t="s">
        <v>19</v>
      </c>
      <c r="E283" s="50" t="s">
        <v>303</v>
      </c>
      <c r="F283" s="37"/>
      <c r="G283" s="31">
        <f>G284</f>
        <v>0</v>
      </c>
      <c r="H283" s="116"/>
      <c r="I283" s="31">
        <f t="shared" si="7"/>
        <v>0</v>
      </c>
      <c r="J283" s="31">
        <f>J284</f>
        <v>0</v>
      </c>
      <c r="K283" s="116"/>
      <c r="L283" s="31">
        <f t="shared" si="6"/>
        <v>0</v>
      </c>
    </row>
    <row r="284" spans="1:12" ht="42.75" customHeight="1" hidden="1">
      <c r="A284" s="73" t="s">
        <v>334</v>
      </c>
      <c r="B284" s="29" t="s">
        <v>667</v>
      </c>
      <c r="C284" s="29" t="s">
        <v>98</v>
      </c>
      <c r="D284" s="29" t="s">
        <v>19</v>
      </c>
      <c r="E284" s="50" t="s">
        <v>335</v>
      </c>
      <c r="F284" s="37"/>
      <c r="G284" s="31">
        <f>G290</f>
        <v>0</v>
      </c>
      <c r="H284" s="116"/>
      <c r="I284" s="31">
        <f t="shared" si="7"/>
        <v>0</v>
      </c>
      <c r="J284" s="31">
        <f>J290</f>
        <v>0</v>
      </c>
      <c r="K284" s="116"/>
      <c r="L284" s="31">
        <f t="shared" si="6"/>
        <v>0</v>
      </c>
    </row>
    <row r="285" spans="1:12" ht="42.75" customHeight="1" hidden="1">
      <c r="A285" s="10" t="s">
        <v>424</v>
      </c>
      <c r="B285" s="29" t="s">
        <v>667</v>
      </c>
      <c r="C285" s="29" t="s">
        <v>98</v>
      </c>
      <c r="D285" s="29" t="s">
        <v>19</v>
      </c>
      <c r="E285" s="47" t="s">
        <v>677</v>
      </c>
      <c r="F285" s="37"/>
      <c r="G285" s="31">
        <f>G286+G288</f>
        <v>0</v>
      </c>
      <c r="H285" s="116"/>
      <c r="I285" s="31">
        <f t="shared" si="7"/>
        <v>0</v>
      </c>
      <c r="J285" s="31">
        <f>J286+J288</f>
        <v>0</v>
      </c>
      <c r="K285" s="116"/>
      <c r="L285" s="31">
        <f t="shared" si="6"/>
        <v>0</v>
      </c>
    </row>
    <row r="286" spans="1:12" ht="42.75" customHeight="1" hidden="1">
      <c r="A286" s="59" t="s">
        <v>426</v>
      </c>
      <c r="B286" s="29" t="s">
        <v>667</v>
      </c>
      <c r="C286" s="29" t="s">
        <v>98</v>
      </c>
      <c r="D286" s="29" t="s">
        <v>19</v>
      </c>
      <c r="E286" s="47" t="s">
        <v>427</v>
      </c>
      <c r="F286" s="37"/>
      <c r="G286" s="31">
        <f>G287</f>
        <v>0</v>
      </c>
      <c r="H286" s="116"/>
      <c r="I286" s="31">
        <f t="shared" si="7"/>
        <v>0</v>
      </c>
      <c r="J286" s="31">
        <f>J287</f>
        <v>0</v>
      </c>
      <c r="K286" s="116"/>
      <c r="L286" s="31">
        <f t="shared" si="6"/>
        <v>0</v>
      </c>
    </row>
    <row r="287" spans="1:12" ht="42.75" customHeight="1" hidden="1">
      <c r="A287" s="73" t="s">
        <v>193</v>
      </c>
      <c r="B287" s="29" t="s">
        <v>667</v>
      </c>
      <c r="C287" s="29" t="s">
        <v>98</v>
      </c>
      <c r="D287" s="29" t="s">
        <v>19</v>
      </c>
      <c r="E287" s="47" t="s">
        <v>427</v>
      </c>
      <c r="F287" s="37" t="s">
        <v>194</v>
      </c>
      <c r="G287" s="31"/>
      <c r="H287" s="116"/>
      <c r="I287" s="31">
        <f t="shared" si="7"/>
        <v>0</v>
      </c>
      <c r="J287" s="31"/>
      <c r="K287" s="116"/>
      <c r="L287" s="31">
        <f t="shared" si="6"/>
        <v>0</v>
      </c>
    </row>
    <row r="288" spans="1:12" ht="42.75" customHeight="1" hidden="1">
      <c r="A288" s="59" t="s">
        <v>428</v>
      </c>
      <c r="B288" s="29" t="s">
        <v>667</v>
      </c>
      <c r="C288" s="29" t="s">
        <v>98</v>
      </c>
      <c r="D288" s="29" t="s">
        <v>19</v>
      </c>
      <c r="E288" s="47" t="s">
        <v>429</v>
      </c>
      <c r="F288" s="37"/>
      <c r="G288" s="31">
        <f>G289</f>
        <v>0</v>
      </c>
      <c r="H288" s="116"/>
      <c r="I288" s="31">
        <f t="shared" si="7"/>
        <v>0</v>
      </c>
      <c r="J288" s="31">
        <f>J289</f>
        <v>0</v>
      </c>
      <c r="K288" s="116"/>
      <c r="L288" s="31">
        <f t="shared" si="6"/>
        <v>0</v>
      </c>
    </row>
    <row r="289" spans="1:12" ht="42.75" customHeight="1" hidden="1">
      <c r="A289" s="73" t="s">
        <v>193</v>
      </c>
      <c r="B289" s="29" t="s">
        <v>667</v>
      </c>
      <c r="C289" s="29" t="s">
        <v>98</v>
      </c>
      <c r="D289" s="29" t="s">
        <v>19</v>
      </c>
      <c r="E289" s="47" t="s">
        <v>429</v>
      </c>
      <c r="F289" s="37" t="s">
        <v>194</v>
      </c>
      <c r="G289" s="31"/>
      <c r="H289" s="116"/>
      <c r="I289" s="31">
        <f t="shared" si="7"/>
        <v>0</v>
      </c>
      <c r="J289" s="31"/>
      <c r="K289" s="116"/>
      <c r="L289" s="31">
        <f t="shared" si="6"/>
        <v>0</v>
      </c>
    </row>
    <row r="290" spans="1:12" ht="42.75" customHeight="1" hidden="1">
      <c r="A290" s="10" t="s">
        <v>352</v>
      </c>
      <c r="B290" s="29" t="s">
        <v>667</v>
      </c>
      <c r="C290" s="29" t="s">
        <v>98</v>
      </c>
      <c r="D290" s="29" t="s">
        <v>19</v>
      </c>
      <c r="E290" s="47" t="s">
        <v>353</v>
      </c>
      <c r="F290" s="37"/>
      <c r="G290" s="31">
        <f>G291</f>
        <v>0</v>
      </c>
      <c r="H290" s="116"/>
      <c r="I290" s="31">
        <f t="shared" si="7"/>
        <v>0</v>
      </c>
      <c r="J290" s="31">
        <f>J291</f>
        <v>0</v>
      </c>
      <c r="K290" s="116"/>
      <c r="L290" s="31">
        <f t="shared" si="6"/>
        <v>0</v>
      </c>
    </row>
    <row r="291" spans="1:12" ht="42.75" customHeight="1" hidden="1">
      <c r="A291" s="10" t="s">
        <v>354</v>
      </c>
      <c r="B291" s="29" t="s">
        <v>667</v>
      </c>
      <c r="C291" s="29" t="s">
        <v>98</v>
      </c>
      <c r="D291" s="29" t="s">
        <v>19</v>
      </c>
      <c r="E291" s="47" t="s">
        <v>355</v>
      </c>
      <c r="F291" s="37"/>
      <c r="G291" s="31">
        <f>G292</f>
        <v>0</v>
      </c>
      <c r="H291" s="116"/>
      <c r="I291" s="31">
        <f t="shared" si="7"/>
        <v>0</v>
      </c>
      <c r="J291" s="31">
        <f>J292</f>
        <v>0</v>
      </c>
      <c r="K291" s="116"/>
      <c r="L291" s="31">
        <f t="shared" si="6"/>
        <v>0</v>
      </c>
    </row>
    <row r="292" spans="1:12" ht="42.75" customHeight="1" hidden="1">
      <c r="A292" s="35" t="s">
        <v>92</v>
      </c>
      <c r="B292" s="29" t="s">
        <v>667</v>
      </c>
      <c r="C292" s="29" t="s">
        <v>98</v>
      </c>
      <c r="D292" s="29" t="s">
        <v>19</v>
      </c>
      <c r="E292" s="47" t="s">
        <v>355</v>
      </c>
      <c r="F292" s="37" t="s">
        <v>39</v>
      </c>
      <c r="G292" s="31"/>
      <c r="H292" s="116"/>
      <c r="I292" s="31">
        <f t="shared" si="7"/>
        <v>0</v>
      </c>
      <c r="J292" s="31"/>
      <c r="K292" s="116"/>
      <c r="L292" s="31">
        <f t="shared" si="6"/>
        <v>0</v>
      </c>
    </row>
    <row r="293" spans="1:12" ht="42.75" customHeight="1" hidden="1">
      <c r="A293" s="73" t="s">
        <v>362</v>
      </c>
      <c r="B293" s="29" t="s">
        <v>667</v>
      </c>
      <c r="C293" s="29" t="s">
        <v>102</v>
      </c>
      <c r="D293" s="29"/>
      <c r="E293" s="50"/>
      <c r="F293" s="37"/>
      <c r="G293" s="31">
        <f aca="true" t="shared" si="8" ref="G293:G298">G294</f>
        <v>0</v>
      </c>
      <c r="H293" s="116"/>
      <c r="I293" s="31">
        <f t="shared" si="7"/>
        <v>0</v>
      </c>
      <c r="J293" s="31">
        <f aca="true" t="shared" si="9" ref="J293:J298">J294</f>
        <v>0</v>
      </c>
      <c r="K293" s="116"/>
      <c r="L293" s="31">
        <f t="shared" si="6"/>
        <v>0</v>
      </c>
    </row>
    <row r="294" spans="1:12" ht="42.75" customHeight="1" hidden="1">
      <c r="A294" s="48" t="s">
        <v>363</v>
      </c>
      <c r="B294" s="29" t="s">
        <v>667</v>
      </c>
      <c r="C294" s="29" t="s">
        <v>102</v>
      </c>
      <c r="D294" s="29" t="s">
        <v>98</v>
      </c>
      <c r="E294" s="50"/>
      <c r="F294" s="37"/>
      <c r="G294" s="31">
        <f t="shared" si="8"/>
        <v>0</v>
      </c>
      <c r="H294" s="116"/>
      <c r="I294" s="31">
        <f t="shared" si="7"/>
        <v>0</v>
      </c>
      <c r="J294" s="31">
        <f t="shared" si="9"/>
        <v>0</v>
      </c>
      <c r="K294" s="116"/>
      <c r="L294" s="31">
        <f t="shared" si="6"/>
        <v>0</v>
      </c>
    </row>
    <row r="295" spans="1:12" ht="42.75" customHeight="1" hidden="1">
      <c r="A295" s="16" t="s">
        <v>341</v>
      </c>
      <c r="B295" s="29" t="s">
        <v>667</v>
      </c>
      <c r="C295" s="29" t="s">
        <v>102</v>
      </c>
      <c r="D295" s="29" t="s">
        <v>98</v>
      </c>
      <c r="E295" s="50" t="s">
        <v>342</v>
      </c>
      <c r="F295" s="37"/>
      <c r="G295" s="31">
        <f t="shared" si="8"/>
        <v>0</v>
      </c>
      <c r="H295" s="116"/>
      <c r="I295" s="31">
        <f t="shared" si="7"/>
        <v>0</v>
      </c>
      <c r="J295" s="31">
        <f t="shared" si="9"/>
        <v>0</v>
      </c>
      <c r="K295" s="116"/>
      <c r="L295" s="31">
        <f t="shared" si="6"/>
        <v>0</v>
      </c>
    </row>
    <row r="296" spans="1:12" ht="42.75" customHeight="1" hidden="1">
      <c r="A296" s="16" t="s">
        <v>343</v>
      </c>
      <c r="B296" s="29" t="s">
        <v>667</v>
      </c>
      <c r="C296" s="29" t="s">
        <v>102</v>
      </c>
      <c r="D296" s="29" t="s">
        <v>98</v>
      </c>
      <c r="E296" s="50" t="s">
        <v>673</v>
      </c>
      <c r="F296" s="37"/>
      <c r="G296" s="31">
        <f t="shared" si="8"/>
        <v>0</v>
      </c>
      <c r="H296" s="116"/>
      <c r="I296" s="31">
        <f t="shared" si="7"/>
        <v>0</v>
      </c>
      <c r="J296" s="31">
        <f t="shared" si="9"/>
        <v>0</v>
      </c>
      <c r="K296" s="116"/>
      <c r="L296" s="31">
        <f t="shared" si="6"/>
        <v>0</v>
      </c>
    </row>
    <row r="297" spans="1:12" ht="42.75" customHeight="1" hidden="1">
      <c r="A297" s="16" t="s">
        <v>364</v>
      </c>
      <c r="B297" s="29" t="s">
        <v>667</v>
      </c>
      <c r="C297" s="29" t="s">
        <v>102</v>
      </c>
      <c r="D297" s="29" t="s">
        <v>98</v>
      </c>
      <c r="E297" s="50" t="s">
        <v>678</v>
      </c>
      <c r="F297" s="37"/>
      <c r="G297" s="31">
        <f t="shared" si="8"/>
        <v>0</v>
      </c>
      <c r="H297" s="116"/>
      <c r="I297" s="31">
        <f t="shared" si="7"/>
        <v>0</v>
      </c>
      <c r="J297" s="31">
        <f t="shared" si="9"/>
        <v>0</v>
      </c>
      <c r="K297" s="116"/>
      <c r="L297" s="31">
        <f t="shared" si="6"/>
        <v>0</v>
      </c>
    </row>
    <row r="298" spans="1:12" ht="42.75" customHeight="1" hidden="1">
      <c r="A298" s="16" t="s">
        <v>366</v>
      </c>
      <c r="B298" s="29" t="s">
        <v>667</v>
      </c>
      <c r="C298" s="29" t="s">
        <v>102</v>
      </c>
      <c r="D298" s="29" t="s">
        <v>98</v>
      </c>
      <c r="E298" s="50" t="s">
        <v>367</v>
      </c>
      <c r="F298" s="37"/>
      <c r="G298" s="31">
        <f t="shared" si="8"/>
        <v>0</v>
      </c>
      <c r="H298" s="116"/>
      <c r="I298" s="31">
        <f t="shared" si="7"/>
        <v>0</v>
      </c>
      <c r="J298" s="31">
        <f t="shared" si="9"/>
        <v>0</v>
      </c>
      <c r="K298" s="116"/>
      <c r="L298" s="31">
        <f t="shared" si="6"/>
        <v>0</v>
      </c>
    </row>
    <row r="299" spans="1:12" ht="42.75" customHeight="1" hidden="1">
      <c r="A299" s="35" t="s">
        <v>38</v>
      </c>
      <c r="B299" s="29" t="s">
        <v>667</v>
      </c>
      <c r="C299" s="29" t="s">
        <v>102</v>
      </c>
      <c r="D299" s="29" t="s">
        <v>98</v>
      </c>
      <c r="E299" s="50" t="s">
        <v>367</v>
      </c>
      <c r="F299" s="37" t="s">
        <v>39</v>
      </c>
      <c r="G299" s="31"/>
      <c r="H299" s="116"/>
      <c r="I299" s="31">
        <f t="shared" si="7"/>
        <v>0</v>
      </c>
      <c r="J299" s="31"/>
      <c r="K299" s="116"/>
      <c r="L299" s="31">
        <f t="shared" si="6"/>
        <v>0</v>
      </c>
    </row>
    <row r="300" spans="1:19" ht="13.5" customHeight="1">
      <c r="A300" s="16" t="s">
        <v>368</v>
      </c>
      <c r="B300" s="29" t="s">
        <v>667</v>
      </c>
      <c r="C300" s="29" t="s">
        <v>109</v>
      </c>
      <c r="D300" s="29"/>
      <c r="E300" s="50"/>
      <c r="F300" s="56"/>
      <c r="G300" s="31">
        <f>G301</f>
        <v>1192000</v>
      </c>
      <c r="H300" s="116"/>
      <c r="I300" s="31">
        <f t="shared" si="7"/>
        <v>1192000</v>
      </c>
      <c r="J300" s="31">
        <f>J301</f>
        <v>1192000</v>
      </c>
      <c r="K300" s="116"/>
      <c r="L300" s="31">
        <f t="shared" si="6"/>
        <v>1192000</v>
      </c>
      <c r="N300" s="21"/>
      <c r="O300" s="21"/>
      <c r="P300" s="21"/>
      <c r="Q300" s="21"/>
      <c r="R300" s="21"/>
      <c r="S300" s="21"/>
    </row>
    <row r="301" spans="1:12" ht="15">
      <c r="A301" s="16" t="s">
        <v>679</v>
      </c>
      <c r="B301" s="29" t="s">
        <v>667</v>
      </c>
      <c r="C301" s="29" t="s">
        <v>109</v>
      </c>
      <c r="D301" s="29" t="s">
        <v>109</v>
      </c>
      <c r="E301" s="29"/>
      <c r="F301" s="30"/>
      <c r="G301" s="31">
        <f>G302</f>
        <v>1192000</v>
      </c>
      <c r="H301" s="116"/>
      <c r="I301" s="31">
        <f t="shared" si="7"/>
        <v>1192000</v>
      </c>
      <c r="J301" s="31">
        <f>J302</f>
        <v>1192000</v>
      </c>
      <c r="K301" s="116"/>
      <c r="L301" s="31">
        <f t="shared" si="6"/>
        <v>1192000</v>
      </c>
    </row>
    <row r="302" spans="1:15" ht="75.75" customHeight="1">
      <c r="A302" s="10" t="s">
        <v>463</v>
      </c>
      <c r="B302" s="29" t="s">
        <v>667</v>
      </c>
      <c r="C302" s="29" t="s">
        <v>109</v>
      </c>
      <c r="D302" s="29" t="s">
        <v>109</v>
      </c>
      <c r="E302" s="50" t="s">
        <v>464</v>
      </c>
      <c r="F302" s="30"/>
      <c r="G302" s="31">
        <f>G303+G308</f>
        <v>1192000</v>
      </c>
      <c r="H302" s="116"/>
      <c r="I302" s="31">
        <f t="shared" si="7"/>
        <v>1192000</v>
      </c>
      <c r="J302" s="31">
        <f>J303+J308</f>
        <v>1192000</v>
      </c>
      <c r="K302" s="116"/>
      <c r="L302" s="31">
        <f t="shared" si="6"/>
        <v>1192000</v>
      </c>
      <c r="N302" s="21"/>
      <c r="O302" s="21"/>
    </row>
    <row r="303" spans="1:18" ht="76.5" customHeight="1">
      <c r="A303" s="10" t="s">
        <v>465</v>
      </c>
      <c r="B303" s="29" t="s">
        <v>667</v>
      </c>
      <c r="C303" s="29" t="s">
        <v>109</v>
      </c>
      <c r="D303" s="29" t="s">
        <v>109</v>
      </c>
      <c r="E303" s="50" t="s">
        <v>466</v>
      </c>
      <c r="F303" s="56"/>
      <c r="G303" s="31">
        <f>G304</f>
        <v>100000</v>
      </c>
      <c r="H303" s="116"/>
      <c r="I303" s="31">
        <f t="shared" si="7"/>
        <v>100000</v>
      </c>
      <c r="J303" s="31">
        <f>J304</f>
        <v>100000</v>
      </c>
      <c r="K303" s="116"/>
      <c r="L303" s="31">
        <f t="shared" si="6"/>
        <v>100000</v>
      </c>
      <c r="Q303" s="21"/>
      <c r="R303" s="21"/>
    </row>
    <row r="304" spans="1:12" ht="39.75" customHeight="1">
      <c r="A304" s="10" t="s">
        <v>467</v>
      </c>
      <c r="B304" s="29" t="s">
        <v>667</v>
      </c>
      <c r="C304" s="29" t="s">
        <v>109</v>
      </c>
      <c r="D304" s="29" t="s">
        <v>109</v>
      </c>
      <c r="E304" s="50" t="s">
        <v>468</v>
      </c>
      <c r="F304" s="56"/>
      <c r="G304" s="31">
        <f>G305</f>
        <v>100000</v>
      </c>
      <c r="H304" s="116"/>
      <c r="I304" s="31">
        <f t="shared" si="7"/>
        <v>100000</v>
      </c>
      <c r="J304" s="31">
        <f>J305</f>
        <v>100000</v>
      </c>
      <c r="K304" s="116"/>
      <c r="L304" s="31">
        <f t="shared" si="6"/>
        <v>100000</v>
      </c>
    </row>
    <row r="305" spans="1:12" ht="19.5" customHeight="1">
      <c r="A305" s="10" t="s">
        <v>469</v>
      </c>
      <c r="B305" s="29" t="s">
        <v>667</v>
      </c>
      <c r="C305" s="29" t="s">
        <v>109</v>
      </c>
      <c r="D305" s="29" t="s">
        <v>109</v>
      </c>
      <c r="E305" s="50" t="s">
        <v>470</v>
      </c>
      <c r="F305" s="56"/>
      <c r="G305" s="31">
        <f>G306+G307</f>
        <v>100000</v>
      </c>
      <c r="H305" s="116"/>
      <c r="I305" s="31">
        <f t="shared" si="7"/>
        <v>100000</v>
      </c>
      <c r="J305" s="31">
        <f>J306+J307</f>
        <v>100000</v>
      </c>
      <c r="K305" s="116"/>
      <c r="L305" s="31">
        <f t="shared" si="6"/>
        <v>100000</v>
      </c>
    </row>
    <row r="306" spans="1:12" ht="27" customHeight="1">
      <c r="A306" s="35" t="s">
        <v>38</v>
      </c>
      <c r="B306" s="29" t="s">
        <v>667</v>
      </c>
      <c r="C306" s="29" t="s">
        <v>109</v>
      </c>
      <c r="D306" s="29" t="s">
        <v>109</v>
      </c>
      <c r="E306" s="50" t="s">
        <v>470</v>
      </c>
      <c r="F306" s="56" t="s">
        <v>39</v>
      </c>
      <c r="G306" s="31">
        <v>100000</v>
      </c>
      <c r="H306" s="116"/>
      <c r="I306" s="31">
        <f t="shared" si="7"/>
        <v>100000</v>
      </c>
      <c r="J306" s="31">
        <v>100000</v>
      </c>
      <c r="K306" s="116"/>
      <c r="L306" s="31">
        <f t="shared" si="6"/>
        <v>100000</v>
      </c>
    </row>
    <row r="307" spans="1:12" ht="19.5" customHeight="1" hidden="1">
      <c r="A307" s="16" t="s">
        <v>211</v>
      </c>
      <c r="B307" s="29" t="s">
        <v>667</v>
      </c>
      <c r="C307" s="29" t="s">
        <v>109</v>
      </c>
      <c r="D307" s="29" t="s">
        <v>109</v>
      </c>
      <c r="E307" s="50" t="s">
        <v>470</v>
      </c>
      <c r="F307" s="56" t="s">
        <v>212</v>
      </c>
      <c r="G307" s="31"/>
      <c r="H307" s="116"/>
      <c r="I307" s="31">
        <f t="shared" si="7"/>
        <v>0</v>
      </c>
      <c r="J307" s="31"/>
      <c r="K307" s="116"/>
      <c r="L307" s="31">
        <f t="shared" si="6"/>
        <v>0</v>
      </c>
    </row>
    <row r="308" spans="1:12" ht="84" customHeight="1">
      <c r="A308" s="63" t="s">
        <v>471</v>
      </c>
      <c r="B308" s="29" t="s">
        <v>667</v>
      </c>
      <c r="C308" s="29" t="s">
        <v>109</v>
      </c>
      <c r="D308" s="29" t="s">
        <v>109</v>
      </c>
      <c r="E308" s="50" t="s">
        <v>472</v>
      </c>
      <c r="F308" s="56"/>
      <c r="G308" s="31">
        <f>G309</f>
        <v>1092000</v>
      </c>
      <c r="H308" s="116"/>
      <c r="I308" s="31">
        <f t="shared" si="7"/>
        <v>1092000</v>
      </c>
      <c r="J308" s="31">
        <f>J309</f>
        <v>1092000</v>
      </c>
      <c r="K308" s="116"/>
      <c r="L308" s="31">
        <f t="shared" si="6"/>
        <v>1092000</v>
      </c>
    </row>
    <row r="309" spans="1:12" ht="24.75" customHeight="1">
      <c r="A309" s="10" t="s">
        <v>473</v>
      </c>
      <c r="B309" s="29" t="s">
        <v>667</v>
      </c>
      <c r="C309" s="29" t="s">
        <v>109</v>
      </c>
      <c r="D309" s="29" t="s">
        <v>109</v>
      </c>
      <c r="E309" s="50" t="s">
        <v>474</v>
      </c>
      <c r="F309" s="56"/>
      <c r="G309" s="31">
        <f>G310+G312+G314</f>
        <v>1092000</v>
      </c>
      <c r="H309" s="116"/>
      <c r="I309" s="31">
        <f t="shared" si="7"/>
        <v>1092000</v>
      </c>
      <c r="J309" s="31">
        <f>J310+J312+J314</f>
        <v>1092000</v>
      </c>
      <c r="K309" s="116"/>
      <c r="L309" s="31">
        <f t="shared" si="6"/>
        <v>1092000</v>
      </c>
    </row>
    <row r="310" spans="1:12" ht="42.75" customHeight="1" hidden="1">
      <c r="A310" s="16" t="s">
        <v>475</v>
      </c>
      <c r="B310" s="29" t="s">
        <v>667</v>
      </c>
      <c r="C310" s="29" t="s">
        <v>109</v>
      </c>
      <c r="D310" s="29" t="s">
        <v>109</v>
      </c>
      <c r="E310" s="50" t="s">
        <v>476</v>
      </c>
      <c r="F310" s="30"/>
      <c r="G310" s="31">
        <f>G311</f>
        <v>0</v>
      </c>
      <c r="H310" s="116"/>
      <c r="I310" s="31">
        <f t="shared" si="7"/>
        <v>0</v>
      </c>
      <c r="J310" s="31">
        <f>J311</f>
        <v>0</v>
      </c>
      <c r="K310" s="116"/>
      <c r="L310" s="31">
        <f t="shared" si="6"/>
        <v>0</v>
      </c>
    </row>
    <row r="311" spans="1:12" ht="42.75" customHeight="1" hidden="1">
      <c r="A311" s="16" t="s">
        <v>211</v>
      </c>
      <c r="B311" s="29" t="s">
        <v>667</v>
      </c>
      <c r="C311" s="29" t="s">
        <v>109</v>
      </c>
      <c r="D311" s="29" t="s">
        <v>109</v>
      </c>
      <c r="E311" s="50" t="s">
        <v>476</v>
      </c>
      <c r="F311" s="56" t="s">
        <v>212</v>
      </c>
      <c r="G311" s="31"/>
      <c r="H311" s="116"/>
      <c r="I311" s="31">
        <f t="shared" si="7"/>
        <v>0</v>
      </c>
      <c r="J311" s="31"/>
      <c r="K311" s="116"/>
      <c r="L311" s="31">
        <f t="shared" si="6"/>
        <v>0</v>
      </c>
    </row>
    <row r="312" spans="1:12" ht="30" customHeight="1">
      <c r="A312" s="118" t="s">
        <v>477</v>
      </c>
      <c r="B312" s="29" t="s">
        <v>667</v>
      </c>
      <c r="C312" s="29" t="s">
        <v>109</v>
      </c>
      <c r="D312" s="29" t="s">
        <v>109</v>
      </c>
      <c r="E312" s="50" t="s">
        <v>478</v>
      </c>
      <c r="F312" s="30"/>
      <c r="G312" s="31">
        <f>G313</f>
        <v>1092000</v>
      </c>
      <c r="H312" s="116"/>
      <c r="I312" s="31">
        <f>G312+H312</f>
        <v>1092000</v>
      </c>
      <c r="J312" s="31">
        <f>J313</f>
        <v>1092000</v>
      </c>
      <c r="K312" s="116"/>
      <c r="L312" s="31">
        <f t="shared" si="6"/>
        <v>1092000</v>
      </c>
    </row>
    <row r="313" spans="1:12" ht="15">
      <c r="A313" s="16" t="s">
        <v>211</v>
      </c>
      <c r="B313" s="29" t="s">
        <v>667</v>
      </c>
      <c r="C313" s="29" t="s">
        <v>109</v>
      </c>
      <c r="D313" s="29" t="s">
        <v>109</v>
      </c>
      <c r="E313" s="50" t="s">
        <v>478</v>
      </c>
      <c r="F313" s="56" t="s">
        <v>212</v>
      </c>
      <c r="G313" s="31">
        <v>1092000</v>
      </c>
      <c r="H313" s="116"/>
      <c r="I313" s="31">
        <f>G313+H313</f>
        <v>1092000</v>
      </c>
      <c r="J313" s="31">
        <v>1092000</v>
      </c>
      <c r="K313" s="116"/>
      <c r="L313" s="31">
        <f t="shared" si="6"/>
        <v>1092000</v>
      </c>
    </row>
    <row r="314" spans="1:12" ht="42.75" customHeight="1" hidden="1">
      <c r="A314" s="118" t="s">
        <v>479</v>
      </c>
      <c r="B314" s="29" t="s">
        <v>667</v>
      </c>
      <c r="C314" s="29" t="s">
        <v>109</v>
      </c>
      <c r="D314" s="29" t="s">
        <v>109</v>
      </c>
      <c r="E314" s="50" t="s">
        <v>480</v>
      </c>
      <c r="F314" s="30"/>
      <c r="G314" s="31">
        <f>G315</f>
        <v>0</v>
      </c>
      <c r="H314" s="116"/>
      <c r="I314" s="31">
        <f>G314+H314</f>
        <v>0</v>
      </c>
      <c r="J314" s="31">
        <f>J315</f>
        <v>0</v>
      </c>
      <c r="K314" s="116"/>
      <c r="L314" s="31">
        <f>J314+K314</f>
        <v>0</v>
      </c>
    </row>
    <row r="315" spans="1:12" ht="42.75" customHeight="1" hidden="1">
      <c r="A315" s="16" t="s">
        <v>211</v>
      </c>
      <c r="B315" s="29" t="s">
        <v>667</v>
      </c>
      <c r="C315" s="29" t="s">
        <v>109</v>
      </c>
      <c r="D315" s="29" t="s">
        <v>109</v>
      </c>
      <c r="E315" s="50" t="s">
        <v>480</v>
      </c>
      <c r="F315" s="56" t="s">
        <v>212</v>
      </c>
      <c r="G315" s="31"/>
      <c r="H315" s="116"/>
      <c r="I315" s="31">
        <f>G315+H315</f>
        <v>0</v>
      </c>
      <c r="J315" s="31"/>
      <c r="K315" s="116"/>
      <c r="L315" s="31">
        <f>J315+K315</f>
        <v>0</v>
      </c>
    </row>
    <row r="316" spans="1:12" ht="15">
      <c r="A316" s="16" t="s">
        <v>540</v>
      </c>
      <c r="B316" s="29" t="s">
        <v>667</v>
      </c>
      <c r="C316" s="29" t="s">
        <v>248</v>
      </c>
      <c r="D316" s="29"/>
      <c r="E316" s="50"/>
      <c r="F316" s="56"/>
      <c r="G316" s="31">
        <f>G317</f>
        <v>851087</v>
      </c>
      <c r="H316" s="116"/>
      <c r="I316" s="31">
        <f t="shared" si="7"/>
        <v>851087</v>
      </c>
      <c r="J316" s="31">
        <f>J317</f>
        <v>851087</v>
      </c>
      <c r="K316" s="116"/>
      <c r="L316" s="31">
        <f aca="true" t="shared" si="10" ref="L316:L379">J316+K316</f>
        <v>851087</v>
      </c>
    </row>
    <row r="317" spans="1:12" ht="15">
      <c r="A317" s="10" t="s">
        <v>541</v>
      </c>
      <c r="B317" s="29" t="s">
        <v>667</v>
      </c>
      <c r="C317" s="29" t="s">
        <v>248</v>
      </c>
      <c r="D317" s="29" t="s">
        <v>109</v>
      </c>
      <c r="E317" s="29"/>
      <c r="F317" s="30"/>
      <c r="G317" s="31">
        <f>G318</f>
        <v>851087</v>
      </c>
      <c r="H317" s="116"/>
      <c r="I317" s="31">
        <f t="shared" si="7"/>
        <v>851087</v>
      </c>
      <c r="J317" s="31">
        <f>J318</f>
        <v>851087</v>
      </c>
      <c r="K317" s="116"/>
      <c r="L317" s="31">
        <f t="shared" si="10"/>
        <v>851087</v>
      </c>
    </row>
    <row r="318" spans="1:12" ht="26.25">
      <c r="A318" s="16" t="s">
        <v>86</v>
      </c>
      <c r="B318" s="29" t="s">
        <v>667</v>
      </c>
      <c r="C318" s="29" t="s">
        <v>248</v>
      </c>
      <c r="D318" s="29" t="s">
        <v>109</v>
      </c>
      <c r="E318" s="47" t="s">
        <v>87</v>
      </c>
      <c r="F318" s="37"/>
      <c r="G318" s="31">
        <f>G319</f>
        <v>851087</v>
      </c>
      <c r="H318" s="116"/>
      <c r="I318" s="31">
        <f t="shared" si="7"/>
        <v>851087</v>
      </c>
      <c r="J318" s="31">
        <f>J319</f>
        <v>851087</v>
      </c>
      <c r="K318" s="116"/>
      <c r="L318" s="31">
        <f t="shared" si="10"/>
        <v>851087</v>
      </c>
    </row>
    <row r="319" spans="1:12" ht="26.25">
      <c r="A319" s="16" t="s">
        <v>93</v>
      </c>
      <c r="B319" s="29" t="s">
        <v>667</v>
      </c>
      <c r="C319" s="29" t="s">
        <v>248</v>
      </c>
      <c r="D319" s="29" t="s">
        <v>109</v>
      </c>
      <c r="E319" s="29" t="s">
        <v>94</v>
      </c>
      <c r="F319" s="30"/>
      <c r="G319" s="31">
        <f>G320+G322</f>
        <v>851087</v>
      </c>
      <c r="H319" s="116"/>
      <c r="I319" s="31">
        <f t="shared" si="7"/>
        <v>851087</v>
      </c>
      <c r="J319" s="31">
        <f>J320+J322</f>
        <v>851087</v>
      </c>
      <c r="K319" s="116"/>
      <c r="L319" s="31">
        <f t="shared" si="10"/>
        <v>851087</v>
      </c>
    </row>
    <row r="320" spans="1:12" ht="38.25">
      <c r="A320" s="12" t="s">
        <v>542</v>
      </c>
      <c r="B320" s="29" t="s">
        <v>667</v>
      </c>
      <c r="C320" s="29" t="s">
        <v>248</v>
      </c>
      <c r="D320" s="29" t="s">
        <v>109</v>
      </c>
      <c r="E320" s="29" t="s">
        <v>543</v>
      </c>
      <c r="F320" s="30"/>
      <c r="G320" s="31">
        <f>G321</f>
        <v>851087</v>
      </c>
      <c r="H320" s="116"/>
      <c r="I320" s="31">
        <f aca="true" t="shared" si="11" ref="I320:I383">G320+H320</f>
        <v>851087</v>
      </c>
      <c r="J320" s="31">
        <f>J321</f>
        <v>851087</v>
      </c>
      <c r="K320" s="116"/>
      <c r="L320" s="31">
        <f t="shared" si="10"/>
        <v>851087</v>
      </c>
    </row>
    <row r="321" spans="1:12" ht="26.25">
      <c r="A321" s="35" t="s">
        <v>38</v>
      </c>
      <c r="B321" s="29" t="s">
        <v>667</v>
      </c>
      <c r="C321" s="29" t="s">
        <v>248</v>
      </c>
      <c r="D321" s="29" t="s">
        <v>109</v>
      </c>
      <c r="E321" s="29" t="s">
        <v>543</v>
      </c>
      <c r="F321" s="37" t="s">
        <v>39</v>
      </c>
      <c r="G321" s="31">
        <v>851087</v>
      </c>
      <c r="H321" s="116"/>
      <c r="I321" s="31">
        <f t="shared" si="11"/>
        <v>851087</v>
      </c>
      <c r="J321" s="31">
        <v>851087</v>
      </c>
      <c r="K321" s="116"/>
      <c r="L321" s="31">
        <f t="shared" si="10"/>
        <v>851087</v>
      </c>
    </row>
    <row r="322" spans="1:12" ht="42.75" customHeight="1" hidden="1">
      <c r="A322" s="10" t="s">
        <v>680</v>
      </c>
      <c r="B322" s="29" t="s">
        <v>667</v>
      </c>
      <c r="C322" s="29" t="s">
        <v>248</v>
      </c>
      <c r="D322" s="29" t="s">
        <v>109</v>
      </c>
      <c r="E322" s="29" t="s">
        <v>96</v>
      </c>
      <c r="F322" s="30"/>
      <c r="G322" s="31">
        <f>G323</f>
        <v>0</v>
      </c>
      <c r="H322" s="116"/>
      <c r="I322" s="31">
        <f t="shared" si="11"/>
        <v>0</v>
      </c>
      <c r="J322" s="31">
        <f>J323</f>
        <v>0</v>
      </c>
      <c r="K322" s="116"/>
      <c r="L322" s="31">
        <f t="shared" si="10"/>
        <v>0</v>
      </c>
    </row>
    <row r="323" spans="1:12" ht="42.75" customHeight="1" hidden="1">
      <c r="A323" s="35" t="s">
        <v>38</v>
      </c>
      <c r="B323" s="29" t="s">
        <v>667</v>
      </c>
      <c r="C323" s="29" t="s">
        <v>248</v>
      </c>
      <c r="D323" s="29" t="s">
        <v>109</v>
      </c>
      <c r="E323" s="29" t="s">
        <v>96</v>
      </c>
      <c r="F323" s="37" t="s">
        <v>27</v>
      </c>
      <c r="G323" s="31"/>
      <c r="H323" s="116"/>
      <c r="I323" s="31">
        <f t="shared" si="11"/>
        <v>0</v>
      </c>
      <c r="J323" s="31"/>
      <c r="K323" s="116"/>
      <c r="L323" s="31">
        <f t="shared" si="10"/>
        <v>0</v>
      </c>
    </row>
    <row r="324" spans="1:12" ht="17.25" customHeight="1">
      <c r="A324" s="16" t="s">
        <v>544</v>
      </c>
      <c r="B324" s="29" t="s">
        <v>667</v>
      </c>
      <c r="C324" s="29" t="s">
        <v>216</v>
      </c>
      <c r="D324" s="29"/>
      <c r="E324" s="50"/>
      <c r="F324" s="56"/>
      <c r="G324" s="31">
        <f>G325+G331+G347</f>
        <v>77821878</v>
      </c>
      <c r="H324" s="116"/>
      <c r="I324" s="31">
        <f t="shared" si="11"/>
        <v>77821878</v>
      </c>
      <c r="J324" s="31">
        <f>J325+J331+J347</f>
        <v>77077001</v>
      </c>
      <c r="K324" s="116"/>
      <c r="L324" s="31">
        <f t="shared" si="10"/>
        <v>77077001</v>
      </c>
    </row>
    <row r="325" spans="1:12" ht="15">
      <c r="A325" s="16" t="s">
        <v>545</v>
      </c>
      <c r="B325" s="29" t="s">
        <v>667</v>
      </c>
      <c r="C325" s="29" t="s">
        <v>216</v>
      </c>
      <c r="D325" s="29" t="s">
        <v>17</v>
      </c>
      <c r="E325" s="29"/>
      <c r="F325" s="30"/>
      <c r="G325" s="31">
        <f>G326</f>
        <v>295400</v>
      </c>
      <c r="H325" s="116"/>
      <c r="I325" s="31">
        <f t="shared" si="11"/>
        <v>295400</v>
      </c>
      <c r="J325" s="31">
        <f>J326</f>
        <v>295400</v>
      </c>
      <c r="K325" s="116"/>
      <c r="L325" s="31">
        <f t="shared" si="10"/>
        <v>295400</v>
      </c>
    </row>
    <row r="326" spans="1:12" ht="47.25" customHeight="1">
      <c r="A326" s="16" t="s">
        <v>546</v>
      </c>
      <c r="B326" s="29" t="s">
        <v>667</v>
      </c>
      <c r="C326" s="29" t="s">
        <v>216</v>
      </c>
      <c r="D326" s="29" t="s">
        <v>17</v>
      </c>
      <c r="E326" s="29" t="s">
        <v>44</v>
      </c>
      <c r="F326" s="30"/>
      <c r="G326" s="31">
        <f>G327</f>
        <v>295400</v>
      </c>
      <c r="H326" s="116"/>
      <c r="I326" s="31">
        <f t="shared" si="11"/>
        <v>295400</v>
      </c>
      <c r="J326" s="31">
        <f>J327</f>
        <v>295400</v>
      </c>
      <c r="K326" s="116"/>
      <c r="L326" s="31">
        <f t="shared" si="10"/>
        <v>295400</v>
      </c>
    </row>
    <row r="327" spans="1:12" ht="51.75" customHeight="1">
      <c r="A327" s="63" t="s">
        <v>547</v>
      </c>
      <c r="B327" s="29" t="s">
        <v>667</v>
      </c>
      <c r="C327" s="29" t="s">
        <v>216</v>
      </c>
      <c r="D327" s="29" t="s">
        <v>17</v>
      </c>
      <c r="E327" s="29" t="s">
        <v>126</v>
      </c>
      <c r="F327" s="30"/>
      <c r="G327" s="31">
        <f>G329</f>
        <v>295400</v>
      </c>
      <c r="H327" s="116"/>
      <c r="I327" s="31">
        <f t="shared" si="11"/>
        <v>295400</v>
      </c>
      <c r="J327" s="31">
        <f>J329</f>
        <v>295400</v>
      </c>
      <c r="K327" s="116"/>
      <c r="L327" s="31">
        <f t="shared" si="10"/>
        <v>295400</v>
      </c>
    </row>
    <row r="328" spans="1:12" ht="40.5" customHeight="1">
      <c r="A328" s="14" t="s">
        <v>548</v>
      </c>
      <c r="B328" s="29" t="s">
        <v>667</v>
      </c>
      <c r="C328" s="29" t="s">
        <v>216</v>
      </c>
      <c r="D328" s="29" t="s">
        <v>17</v>
      </c>
      <c r="E328" s="29" t="s">
        <v>549</v>
      </c>
      <c r="F328" s="30"/>
      <c r="G328" s="31">
        <f>G329</f>
        <v>295400</v>
      </c>
      <c r="H328" s="116"/>
      <c r="I328" s="31">
        <f t="shared" si="11"/>
        <v>295400</v>
      </c>
      <c r="J328" s="31">
        <f>J329</f>
        <v>295400</v>
      </c>
      <c r="K328" s="116"/>
      <c r="L328" s="31">
        <f t="shared" si="10"/>
        <v>295400</v>
      </c>
    </row>
    <row r="329" spans="1:12" ht="45.75" customHeight="1">
      <c r="A329" s="63" t="s">
        <v>550</v>
      </c>
      <c r="B329" s="29" t="s">
        <v>667</v>
      </c>
      <c r="C329" s="29" t="s">
        <v>551</v>
      </c>
      <c r="D329" s="29" t="s">
        <v>17</v>
      </c>
      <c r="E329" s="29" t="s">
        <v>552</v>
      </c>
      <c r="F329" s="30"/>
      <c r="G329" s="31">
        <f>G330</f>
        <v>295400</v>
      </c>
      <c r="H329" s="116"/>
      <c r="I329" s="31">
        <f t="shared" si="11"/>
        <v>295400</v>
      </c>
      <c r="J329" s="31">
        <f>J330</f>
        <v>295400</v>
      </c>
      <c r="K329" s="116"/>
      <c r="L329" s="31">
        <f t="shared" si="10"/>
        <v>295400</v>
      </c>
    </row>
    <row r="330" spans="1:12" ht="15">
      <c r="A330" s="48" t="s">
        <v>211</v>
      </c>
      <c r="B330" s="29" t="s">
        <v>667</v>
      </c>
      <c r="C330" s="29" t="s">
        <v>551</v>
      </c>
      <c r="D330" s="29" t="s">
        <v>17</v>
      </c>
      <c r="E330" s="29" t="s">
        <v>552</v>
      </c>
      <c r="F330" s="30" t="s">
        <v>212</v>
      </c>
      <c r="G330" s="31">
        <v>295400</v>
      </c>
      <c r="H330" s="116"/>
      <c r="I330" s="31">
        <f t="shared" si="11"/>
        <v>295400</v>
      </c>
      <c r="J330" s="31">
        <v>295400</v>
      </c>
      <c r="K330" s="116"/>
      <c r="L330" s="31">
        <f t="shared" si="10"/>
        <v>295400</v>
      </c>
    </row>
    <row r="331" spans="1:12" ht="17.25" customHeight="1">
      <c r="A331" s="16" t="s">
        <v>553</v>
      </c>
      <c r="B331" s="29" t="s">
        <v>667</v>
      </c>
      <c r="C331" s="29">
        <v>10</v>
      </c>
      <c r="D331" s="29" t="s">
        <v>29</v>
      </c>
      <c r="E331" s="29"/>
      <c r="F331" s="30"/>
      <c r="G331" s="31">
        <f>G332</f>
        <v>9839363</v>
      </c>
      <c r="H331" s="116"/>
      <c r="I331" s="31">
        <f t="shared" si="11"/>
        <v>9839363</v>
      </c>
      <c r="J331" s="31">
        <f>J332</f>
        <v>9839363</v>
      </c>
      <c r="K331" s="116"/>
      <c r="L331" s="31">
        <f t="shared" si="10"/>
        <v>9839363</v>
      </c>
    </row>
    <row r="332" spans="1:12" ht="44.25" customHeight="1">
      <c r="A332" s="16" t="s">
        <v>546</v>
      </c>
      <c r="B332" s="29" t="s">
        <v>667</v>
      </c>
      <c r="C332" s="29">
        <v>10</v>
      </c>
      <c r="D332" s="29" t="s">
        <v>29</v>
      </c>
      <c r="E332" s="29" t="s">
        <v>44</v>
      </c>
      <c r="F332" s="30"/>
      <c r="G332" s="31">
        <f>G333</f>
        <v>9839363</v>
      </c>
      <c r="H332" s="116"/>
      <c r="I332" s="31">
        <f t="shared" si="11"/>
        <v>9839363</v>
      </c>
      <c r="J332" s="31">
        <f>J333</f>
        <v>9839363</v>
      </c>
      <c r="K332" s="116"/>
      <c r="L332" s="31">
        <f t="shared" si="10"/>
        <v>9839363</v>
      </c>
    </row>
    <row r="333" spans="1:12" ht="73.5" customHeight="1">
      <c r="A333" s="9" t="s">
        <v>559</v>
      </c>
      <c r="B333" s="29" t="s">
        <v>667</v>
      </c>
      <c r="C333" s="29">
        <v>10</v>
      </c>
      <c r="D333" s="29" t="s">
        <v>29</v>
      </c>
      <c r="E333" s="29" t="s">
        <v>126</v>
      </c>
      <c r="F333" s="30"/>
      <c r="G333" s="31">
        <f>G334</f>
        <v>9839363</v>
      </c>
      <c r="H333" s="116"/>
      <c r="I333" s="31">
        <f t="shared" si="11"/>
        <v>9839363</v>
      </c>
      <c r="J333" s="31">
        <f>J334</f>
        <v>9839363</v>
      </c>
      <c r="K333" s="116"/>
      <c r="L333" s="31">
        <f t="shared" si="10"/>
        <v>9839363</v>
      </c>
    </row>
    <row r="334" spans="1:12" ht="42" customHeight="1">
      <c r="A334" s="9" t="s">
        <v>560</v>
      </c>
      <c r="B334" s="29" t="s">
        <v>667</v>
      </c>
      <c r="C334" s="29">
        <v>10</v>
      </c>
      <c r="D334" s="29" t="s">
        <v>29</v>
      </c>
      <c r="E334" s="29" t="s">
        <v>561</v>
      </c>
      <c r="F334" s="30"/>
      <c r="G334" s="31">
        <f>G335+G338+G341+G344</f>
        <v>9839363</v>
      </c>
      <c r="H334" s="116"/>
      <c r="I334" s="31">
        <f t="shared" si="11"/>
        <v>9839363</v>
      </c>
      <c r="J334" s="31">
        <f>J335+J338+J341+J344</f>
        <v>9839363</v>
      </c>
      <c r="K334" s="116"/>
      <c r="L334" s="31">
        <f t="shared" si="10"/>
        <v>9839363</v>
      </c>
    </row>
    <row r="335" spans="1:12" ht="39">
      <c r="A335" s="8" t="s">
        <v>562</v>
      </c>
      <c r="B335" s="29" t="s">
        <v>667</v>
      </c>
      <c r="C335" s="29">
        <v>10</v>
      </c>
      <c r="D335" s="29" t="s">
        <v>29</v>
      </c>
      <c r="E335" s="29" t="s">
        <v>563</v>
      </c>
      <c r="F335" s="30"/>
      <c r="G335" s="31">
        <f>G337+G336</f>
        <v>45722</v>
      </c>
      <c r="H335" s="116"/>
      <c r="I335" s="31">
        <f t="shared" si="11"/>
        <v>45722</v>
      </c>
      <c r="J335" s="31">
        <f>J337+J336</f>
        <v>45722</v>
      </c>
      <c r="K335" s="116"/>
      <c r="L335" s="31">
        <f t="shared" si="10"/>
        <v>45722</v>
      </c>
    </row>
    <row r="336" spans="1:12" ht="26.25" customHeight="1">
      <c r="A336" s="35" t="s">
        <v>38</v>
      </c>
      <c r="B336" s="29" t="s">
        <v>667</v>
      </c>
      <c r="C336" s="29">
        <v>10</v>
      </c>
      <c r="D336" s="29" t="s">
        <v>29</v>
      </c>
      <c r="E336" s="29" t="s">
        <v>563</v>
      </c>
      <c r="F336" s="30" t="s">
        <v>39</v>
      </c>
      <c r="G336" s="31">
        <f>450+120</f>
        <v>570</v>
      </c>
      <c r="H336" s="116"/>
      <c r="I336" s="31">
        <f t="shared" si="11"/>
        <v>570</v>
      </c>
      <c r="J336" s="31">
        <f>450+120</f>
        <v>570</v>
      </c>
      <c r="K336" s="116"/>
      <c r="L336" s="31">
        <f t="shared" si="10"/>
        <v>570</v>
      </c>
    </row>
    <row r="337" spans="1:12" ht="17.25" customHeight="1">
      <c r="A337" s="88" t="s">
        <v>211</v>
      </c>
      <c r="B337" s="29" t="s">
        <v>667</v>
      </c>
      <c r="C337" s="29">
        <v>10</v>
      </c>
      <c r="D337" s="29" t="s">
        <v>29</v>
      </c>
      <c r="E337" s="29" t="s">
        <v>563</v>
      </c>
      <c r="F337" s="30" t="s">
        <v>212</v>
      </c>
      <c r="G337" s="31">
        <v>45152</v>
      </c>
      <c r="H337" s="116"/>
      <c r="I337" s="31">
        <f t="shared" si="11"/>
        <v>45152</v>
      </c>
      <c r="J337" s="31">
        <v>45152</v>
      </c>
      <c r="K337" s="116"/>
      <c r="L337" s="31">
        <f t="shared" si="10"/>
        <v>45152</v>
      </c>
    </row>
    <row r="338" spans="1:12" ht="47.25" customHeight="1">
      <c r="A338" s="8" t="s">
        <v>564</v>
      </c>
      <c r="B338" s="29" t="s">
        <v>667</v>
      </c>
      <c r="C338" s="29">
        <v>10</v>
      </c>
      <c r="D338" s="29" t="s">
        <v>29</v>
      </c>
      <c r="E338" s="29" t="s">
        <v>565</v>
      </c>
      <c r="F338" s="30"/>
      <c r="G338" s="31">
        <f>G340+G339</f>
        <v>204221</v>
      </c>
      <c r="H338" s="116"/>
      <c r="I338" s="31">
        <f t="shared" si="11"/>
        <v>204221</v>
      </c>
      <c r="J338" s="31">
        <f>J340+J339</f>
        <v>204221</v>
      </c>
      <c r="K338" s="116"/>
      <c r="L338" s="31">
        <f t="shared" si="10"/>
        <v>204221</v>
      </c>
    </row>
    <row r="339" spans="1:12" ht="34.5" customHeight="1">
      <c r="A339" s="35" t="s">
        <v>38</v>
      </c>
      <c r="B339" s="29" t="s">
        <v>667</v>
      </c>
      <c r="C339" s="29">
        <v>10</v>
      </c>
      <c r="D339" s="29" t="s">
        <v>29</v>
      </c>
      <c r="E339" s="29" t="s">
        <v>565</v>
      </c>
      <c r="F339" s="30" t="s">
        <v>39</v>
      </c>
      <c r="G339" s="31">
        <f>2500+500</f>
        <v>3000</v>
      </c>
      <c r="H339" s="116"/>
      <c r="I339" s="31">
        <f t="shared" si="11"/>
        <v>3000</v>
      </c>
      <c r="J339" s="31">
        <f>2500+500</f>
        <v>3000</v>
      </c>
      <c r="K339" s="116"/>
      <c r="L339" s="31">
        <f t="shared" si="10"/>
        <v>3000</v>
      </c>
    </row>
    <row r="340" spans="1:12" ht="24.75" customHeight="1">
      <c r="A340" s="88" t="s">
        <v>211</v>
      </c>
      <c r="B340" s="29" t="s">
        <v>667</v>
      </c>
      <c r="C340" s="29">
        <v>10</v>
      </c>
      <c r="D340" s="29" t="s">
        <v>29</v>
      </c>
      <c r="E340" s="29" t="s">
        <v>565</v>
      </c>
      <c r="F340" s="30" t="s">
        <v>212</v>
      </c>
      <c r="G340" s="31">
        <v>201221</v>
      </c>
      <c r="H340" s="116"/>
      <c r="I340" s="31">
        <f t="shared" si="11"/>
        <v>201221</v>
      </c>
      <c r="J340" s="31">
        <v>201221</v>
      </c>
      <c r="K340" s="116"/>
      <c r="L340" s="31">
        <f t="shared" si="10"/>
        <v>201221</v>
      </c>
    </row>
    <row r="341" spans="1:12" ht="36.75" customHeight="1">
      <c r="A341" s="16" t="s">
        <v>566</v>
      </c>
      <c r="B341" s="29" t="s">
        <v>667</v>
      </c>
      <c r="C341" s="29">
        <v>10</v>
      </c>
      <c r="D341" s="29" t="s">
        <v>29</v>
      </c>
      <c r="E341" s="29" t="s">
        <v>567</v>
      </c>
      <c r="F341" s="30"/>
      <c r="G341" s="31">
        <f>G343+G342</f>
        <v>8869420</v>
      </c>
      <c r="H341" s="116"/>
      <c r="I341" s="31">
        <f t="shared" si="11"/>
        <v>8869420</v>
      </c>
      <c r="J341" s="31">
        <f>J343+J342</f>
        <v>8869420</v>
      </c>
      <c r="K341" s="116"/>
      <c r="L341" s="31">
        <f t="shared" si="10"/>
        <v>8869420</v>
      </c>
    </row>
    <row r="342" spans="1:12" ht="39.75" customHeight="1">
      <c r="A342" s="35" t="s">
        <v>38</v>
      </c>
      <c r="B342" s="29" t="s">
        <v>667</v>
      </c>
      <c r="C342" s="29">
        <v>10</v>
      </c>
      <c r="D342" s="29" t="s">
        <v>29</v>
      </c>
      <c r="E342" s="29" t="s">
        <v>567</v>
      </c>
      <c r="F342" s="30" t="s">
        <v>39</v>
      </c>
      <c r="G342" s="31">
        <f>80000+23000</f>
        <v>103000</v>
      </c>
      <c r="H342" s="116"/>
      <c r="I342" s="31">
        <f t="shared" si="11"/>
        <v>103000</v>
      </c>
      <c r="J342" s="31">
        <f>80000+23000</f>
        <v>103000</v>
      </c>
      <c r="K342" s="116"/>
      <c r="L342" s="31">
        <f t="shared" si="10"/>
        <v>103000</v>
      </c>
    </row>
    <row r="343" spans="1:12" ht="20.25" customHeight="1">
      <c r="A343" s="88" t="s">
        <v>211</v>
      </c>
      <c r="B343" s="29" t="s">
        <v>667</v>
      </c>
      <c r="C343" s="29">
        <v>10</v>
      </c>
      <c r="D343" s="29" t="s">
        <v>29</v>
      </c>
      <c r="E343" s="29" t="s">
        <v>567</v>
      </c>
      <c r="F343" s="30" t="s">
        <v>212</v>
      </c>
      <c r="G343" s="31">
        <v>8766420</v>
      </c>
      <c r="H343" s="116"/>
      <c r="I343" s="31">
        <f t="shared" si="11"/>
        <v>8766420</v>
      </c>
      <c r="J343" s="31">
        <v>8766420</v>
      </c>
      <c r="K343" s="116"/>
      <c r="L343" s="31">
        <f t="shared" si="10"/>
        <v>8766420</v>
      </c>
    </row>
    <row r="344" spans="1:12" s="3" customFormat="1" ht="26.25">
      <c r="A344" s="16" t="s">
        <v>568</v>
      </c>
      <c r="B344" s="29" t="s">
        <v>667</v>
      </c>
      <c r="C344" s="29">
        <v>10</v>
      </c>
      <c r="D344" s="29" t="s">
        <v>29</v>
      </c>
      <c r="E344" s="29" t="s">
        <v>569</v>
      </c>
      <c r="F344" s="30"/>
      <c r="G344" s="31">
        <f>G346+G345</f>
        <v>720000</v>
      </c>
      <c r="H344" s="116"/>
      <c r="I344" s="31">
        <f t="shared" si="11"/>
        <v>720000</v>
      </c>
      <c r="J344" s="31">
        <f>J346+J345</f>
        <v>720000</v>
      </c>
      <c r="K344" s="116"/>
      <c r="L344" s="31">
        <f t="shared" si="10"/>
        <v>720000</v>
      </c>
    </row>
    <row r="345" spans="1:12" ht="26.25">
      <c r="A345" s="35" t="s">
        <v>38</v>
      </c>
      <c r="B345" s="29" t="s">
        <v>667</v>
      </c>
      <c r="C345" s="29">
        <v>10</v>
      </c>
      <c r="D345" s="29" t="s">
        <v>29</v>
      </c>
      <c r="E345" s="29" t="s">
        <v>569</v>
      </c>
      <c r="F345" s="30" t="s">
        <v>39</v>
      </c>
      <c r="G345" s="31">
        <f>10800+800</f>
        <v>11600</v>
      </c>
      <c r="H345" s="116"/>
      <c r="I345" s="31">
        <f t="shared" si="11"/>
        <v>11600</v>
      </c>
      <c r="J345" s="31">
        <f>10800+800</f>
        <v>11600</v>
      </c>
      <c r="K345" s="116"/>
      <c r="L345" s="31">
        <f t="shared" si="10"/>
        <v>11600</v>
      </c>
    </row>
    <row r="346" spans="1:12" ht="15">
      <c r="A346" s="88" t="s">
        <v>211</v>
      </c>
      <c r="B346" s="29" t="s">
        <v>667</v>
      </c>
      <c r="C346" s="29">
        <v>10</v>
      </c>
      <c r="D346" s="29" t="s">
        <v>29</v>
      </c>
      <c r="E346" s="29" t="s">
        <v>569</v>
      </c>
      <c r="F346" s="30" t="s">
        <v>212</v>
      </c>
      <c r="G346" s="31">
        <v>708400</v>
      </c>
      <c r="H346" s="116"/>
      <c r="I346" s="31">
        <f t="shared" si="11"/>
        <v>708400</v>
      </c>
      <c r="J346" s="31">
        <v>708400</v>
      </c>
      <c r="K346" s="116"/>
      <c r="L346" s="31">
        <f t="shared" si="10"/>
        <v>708400</v>
      </c>
    </row>
    <row r="347" spans="1:12" ht="24" customHeight="1">
      <c r="A347" s="16" t="s">
        <v>579</v>
      </c>
      <c r="B347" s="29" t="s">
        <v>667</v>
      </c>
      <c r="C347" s="29">
        <v>10</v>
      </c>
      <c r="D347" s="29" t="s">
        <v>42</v>
      </c>
      <c r="E347" s="29"/>
      <c r="F347" s="30"/>
      <c r="G347" s="31">
        <f>G348+G364</f>
        <v>67687115</v>
      </c>
      <c r="H347" s="31">
        <f>H348</f>
        <v>0</v>
      </c>
      <c r="I347" s="31">
        <f t="shared" si="11"/>
        <v>67687115</v>
      </c>
      <c r="J347" s="31">
        <f>J348+J364</f>
        <v>66942238</v>
      </c>
      <c r="K347" s="31">
        <f>K348</f>
        <v>0</v>
      </c>
      <c r="L347" s="31">
        <f t="shared" si="10"/>
        <v>66942238</v>
      </c>
    </row>
    <row r="348" spans="1:12" ht="44.25" customHeight="1">
      <c r="A348" s="16" t="s">
        <v>124</v>
      </c>
      <c r="B348" s="29" t="s">
        <v>667</v>
      </c>
      <c r="C348" s="29">
        <v>10</v>
      </c>
      <c r="D348" s="29" t="s">
        <v>42</v>
      </c>
      <c r="E348" s="90" t="s">
        <v>44</v>
      </c>
      <c r="F348" s="30"/>
      <c r="G348" s="31">
        <f>G349+G360</f>
        <v>67687115</v>
      </c>
      <c r="H348" s="31">
        <f>H349+H359</f>
        <v>0</v>
      </c>
      <c r="I348" s="31">
        <f t="shared" si="11"/>
        <v>67687115</v>
      </c>
      <c r="J348" s="31">
        <f>J349+J360</f>
        <v>66942238</v>
      </c>
      <c r="K348" s="31">
        <f>K349+K359</f>
        <v>0</v>
      </c>
      <c r="L348" s="31">
        <f t="shared" si="10"/>
        <v>66942238</v>
      </c>
    </row>
    <row r="349" spans="1:12" ht="54.75" customHeight="1">
      <c r="A349" s="9" t="s">
        <v>559</v>
      </c>
      <c r="B349" s="29" t="s">
        <v>667</v>
      </c>
      <c r="C349" s="29">
        <v>10</v>
      </c>
      <c r="D349" s="29" t="s">
        <v>42</v>
      </c>
      <c r="E349" s="90" t="s">
        <v>126</v>
      </c>
      <c r="F349" s="30"/>
      <c r="G349" s="31">
        <f>G350</f>
        <v>55434522</v>
      </c>
      <c r="H349" s="31">
        <f>H350</f>
        <v>0</v>
      </c>
      <c r="I349" s="31">
        <f t="shared" si="11"/>
        <v>55434522</v>
      </c>
      <c r="J349" s="31">
        <f>J350</f>
        <v>58773843</v>
      </c>
      <c r="K349" s="31">
        <f>K350</f>
        <v>0</v>
      </c>
      <c r="L349" s="31">
        <f t="shared" si="10"/>
        <v>58773843</v>
      </c>
    </row>
    <row r="350" spans="1:12" ht="41.25" customHeight="1">
      <c r="A350" s="9" t="s">
        <v>560</v>
      </c>
      <c r="B350" s="29" t="s">
        <v>667</v>
      </c>
      <c r="C350" s="29">
        <v>10</v>
      </c>
      <c r="D350" s="29" t="s">
        <v>42</v>
      </c>
      <c r="E350" s="29" t="s">
        <v>561</v>
      </c>
      <c r="F350" s="30"/>
      <c r="G350" s="31">
        <f>G351+G354+G358+G356</f>
        <v>55434522</v>
      </c>
      <c r="H350" s="31"/>
      <c r="I350" s="31">
        <f t="shared" si="11"/>
        <v>55434522</v>
      </c>
      <c r="J350" s="31">
        <f>J351+J354+J358+J356</f>
        <v>58773843</v>
      </c>
      <c r="K350" s="31"/>
      <c r="L350" s="31">
        <f t="shared" si="10"/>
        <v>58773843</v>
      </c>
    </row>
    <row r="351" spans="1:12" ht="25.5" customHeight="1">
      <c r="A351" s="16" t="s">
        <v>580</v>
      </c>
      <c r="B351" s="29" t="s">
        <v>667</v>
      </c>
      <c r="C351" s="29" t="s">
        <v>216</v>
      </c>
      <c r="D351" s="29" t="s">
        <v>42</v>
      </c>
      <c r="E351" s="29" t="s">
        <v>581</v>
      </c>
      <c r="F351" s="30"/>
      <c r="G351" s="31">
        <f>G352+G353</f>
        <v>2093641</v>
      </c>
      <c r="H351" s="31"/>
      <c r="I351" s="31">
        <f t="shared" si="11"/>
        <v>2093641</v>
      </c>
      <c r="J351" s="31">
        <f>J352+J353</f>
        <v>2093641</v>
      </c>
      <c r="K351" s="31"/>
      <c r="L351" s="31">
        <f t="shared" si="10"/>
        <v>2093641</v>
      </c>
    </row>
    <row r="352" spans="1:12" ht="27" customHeight="1">
      <c r="A352" s="35" t="s">
        <v>38</v>
      </c>
      <c r="B352" s="29" t="s">
        <v>667</v>
      </c>
      <c r="C352" s="29" t="s">
        <v>216</v>
      </c>
      <c r="D352" s="29" t="s">
        <v>42</v>
      </c>
      <c r="E352" s="29" t="s">
        <v>581</v>
      </c>
      <c r="F352" s="30" t="s">
        <v>39</v>
      </c>
      <c r="G352" s="31">
        <v>350</v>
      </c>
      <c r="H352" s="116"/>
      <c r="I352" s="31">
        <f t="shared" si="11"/>
        <v>350</v>
      </c>
      <c r="J352" s="31">
        <v>350</v>
      </c>
      <c r="K352" s="116"/>
      <c r="L352" s="31">
        <f t="shared" si="10"/>
        <v>350</v>
      </c>
    </row>
    <row r="353" spans="1:12" ht="15">
      <c r="A353" s="88" t="s">
        <v>211</v>
      </c>
      <c r="B353" s="29" t="s">
        <v>667</v>
      </c>
      <c r="C353" s="29" t="s">
        <v>216</v>
      </c>
      <c r="D353" s="29" t="s">
        <v>42</v>
      </c>
      <c r="E353" s="29" t="s">
        <v>581</v>
      </c>
      <c r="F353" s="30" t="s">
        <v>212</v>
      </c>
      <c r="G353" s="31">
        <v>2093291</v>
      </c>
      <c r="H353" s="116"/>
      <c r="I353" s="31">
        <f t="shared" si="11"/>
        <v>2093291</v>
      </c>
      <c r="J353" s="31">
        <v>2093291</v>
      </c>
      <c r="K353" s="116"/>
      <c r="L353" s="31">
        <f t="shared" si="10"/>
        <v>2093291</v>
      </c>
    </row>
    <row r="354" spans="1:12" ht="25.5">
      <c r="A354" s="88" t="s">
        <v>582</v>
      </c>
      <c r="B354" s="29" t="s">
        <v>667</v>
      </c>
      <c r="C354" s="29" t="s">
        <v>216</v>
      </c>
      <c r="D354" s="29" t="s">
        <v>42</v>
      </c>
      <c r="E354" s="29" t="s">
        <v>583</v>
      </c>
      <c r="F354" s="30"/>
      <c r="G354" s="31">
        <f>G355</f>
        <v>52313590</v>
      </c>
      <c r="H354" s="116"/>
      <c r="I354" s="31">
        <f t="shared" si="11"/>
        <v>52313590</v>
      </c>
      <c r="J354" s="31">
        <f>J355</f>
        <v>55606484</v>
      </c>
      <c r="K354" s="116"/>
      <c r="L354" s="31">
        <f t="shared" si="10"/>
        <v>55606484</v>
      </c>
    </row>
    <row r="355" spans="1:12" ht="12.75" customHeight="1">
      <c r="A355" s="88" t="s">
        <v>211</v>
      </c>
      <c r="B355" s="29" t="s">
        <v>667</v>
      </c>
      <c r="C355" s="29" t="s">
        <v>216</v>
      </c>
      <c r="D355" s="29" t="s">
        <v>42</v>
      </c>
      <c r="E355" s="29" t="s">
        <v>583</v>
      </c>
      <c r="F355" s="30" t="s">
        <v>212</v>
      </c>
      <c r="G355" s="31">
        <v>52313590</v>
      </c>
      <c r="H355" s="116"/>
      <c r="I355" s="31">
        <f t="shared" si="11"/>
        <v>52313590</v>
      </c>
      <c r="J355" s="31">
        <v>55606484</v>
      </c>
      <c r="K355" s="116"/>
      <c r="L355" s="31">
        <f t="shared" si="10"/>
        <v>55606484</v>
      </c>
    </row>
    <row r="356" spans="1:12" ht="42.75" customHeight="1" hidden="1">
      <c r="A356" s="10" t="s">
        <v>584</v>
      </c>
      <c r="B356" s="29" t="s">
        <v>667</v>
      </c>
      <c r="C356" s="29" t="s">
        <v>216</v>
      </c>
      <c r="D356" s="29" t="s">
        <v>42</v>
      </c>
      <c r="E356" s="29" t="s">
        <v>585</v>
      </c>
      <c r="F356" s="30"/>
      <c r="G356" s="31">
        <f>G357</f>
        <v>0</v>
      </c>
      <c r="H356" s="116"/>
      <c r="I356" s="31">
        <f t="shared" si="11"/>
        <v>0</v>
      </c>
      <c r="J356" s="31">
        <f>J357</f>
        <v>0</v>
      </c>
      <c r="K356" s="116"/>
      <c r="L356" s="31">
        <f t="shared" si="10"/>
        <v>0</v>
      </c>
    </row>
    <row r="357" spans="1:12" ht="42.75" customHeight="1" hidden="1">
      <c r="A357" s="88" t="s">
        <v>211</v>
      </c>
      <c r="B357" s="29" t="s">
        <v>667</v>
      </c>
      <c r="C357" s="29" t="s">
        <v>216</v>
      </c>
      <c r="D357" s="29" t="s">
        <v>42</v>
      </c>
      <c r="E357" s="29" t="s">
        <v>585</v>
      </c>
      <c r="F357" s="30" t="s">
        <v>212</v>
      </c>
      <c r="G357" s="31"/>
      <c r="H357" s="116"/>
      <c r="I357" s="31">
        <f t="shared" si="11"/>
        <v>0</v>
      </c>
      <c r="J357" s="31"/>
      <c r="K357" s="116"/>
      <c r="L357" s="31">
        <f t="shared" si="10"/>
        <v>0</v>
      </c>
    </row>
    <row r="358" spans="1:12" ht="33.75" customHeight="1">
      <c r="A358" s="88" t="s">
        <v>586</v>
      </c>
      <c r="B358" s="29" t="s">
        <v>667</v>
      </c>
      <c r="C358" s="29" t="s">
        <v>216</v>
      </c>
      <c r="D358" s="29" t="s">
        <v>42</v>
      </c>
      <c r="E358" s="29" t="s">
        <v>587</v>
      </c>
      <c r="F358" s="30"/>
      <c r="G358" s="31">
        <f>G359</f>
        <v>1027291</v>
      </c>
      <c r="H358" s="116"/>
      <c r="I358" s="31">
        <f t="shared" si="11"/>
        <v>1027291</v>
      </c>
      <c r="J358" s="31">
        <f>J359</f>
        <v>1073718</v>
      </c>
      <c r="K358" s="116"/>
      <c r="L358" s="31">
        <f t="shared" si="10"/>
        <v>1073718</v>
      </c>
    </row>
    <row r="359" spans="1:12" ht="38.25" customHeight="1">
      <c r="A359" s="35" t="s">
        <v>38</v>
      </c>
      <c r="B359" s="29" t="s">
        <v>667</v>
      </c>
      <c r="C359" s="29" t="s">
        <v>216</v>
      </c>
      <c r="D359" s="29" t="s">
        <v>42</v>
      </c>
      <c r="E359" s="29" t="s">
        <v>587</v>
      </c>
      <c r="F359" s="30" t="s">
        <v>39</v>
      </c>
      <c r="G359" s="31">
        <v>1027291</v>
      </c>
      <c r="H359" s="116"/>
      <c r="I359" s="31">
        <f t="shared" si="11"/>
        <v>1027291</v>
      </c>
      <c r="J359" s="31">
        <v>1073718</v>
      </c>
      <c r="K359" s="116"/>
      <c r="L359" s="31">
        <f t="shared" si="10"/>
        <v>1073718</v>
      </c>
    </row>
    <row r="360" spans="1:12" ht="42.75" customHeight="1" hidden="1">
      <c r="A360" s="53" t="s">
        <v>588</v>
      </c>
      <c r="B360" s="29" t="s">
        <v>667</v>
      </c>
      <c r="C360" s="29" t="s">
        <v>216</v>
      </c>
      <c r="D360" s="29" t="s">
        <v>42</v>
      </c>
      <c r="E360" s="29" t="s">
        <v>46</v>
      </c>
      <c r="F360" s="30"/>
      <c r="G360" s="31">
        <f>G361</f>
        <v>12252593</v>
      </c>
      <c r="H360" s="116"/>
      <c r="I360" s="31">
        <f t="shared" si="11"/>
        <v>12252593</v>
      </c>
      <c r="J360" s="31">
        <f>J361</f>
        <v>8168395</v>
      </c>
      <c r="K360" s="116"/>
      <c r="L360" s="31">
        <f t="shared" si="10"/>
        <v>8168395</v>
      </c>
    </row>
    <row r="361" spans="1:12" ht="38.25">
      <c r="A361" s="43" t="s">
        <v>745</v>
      </c>
      <c r="B361" s="29" t="s">
        <v>667</v>
      </c>
      <c r="C361" s="29" t="s">
        <v>216</v>
      </c>
      <c r="D361" s="29" t="s">
        <v>42</v>
      </c>
      <c r="E361" s="36" t="s">
        <v>746</v>
      </c>
      <c r="F361" s="37"/>
      <c r="G361" s="31">
        <f>G362</f>
        <v>12252593</v>
      </c>
      <c r="H361" s="116"/>
      <c r="I361" s="31">
        <f t="shared" si="11"/>
        <v>12252593</v>
      </c>
      <c r="J361" s="31">
        <f>J362</f>
        <v>8168395</v>
      </c>
      <c r="K361" s="116"/>
      <c r="L361" s="31">
        <f t="shared" si="10"/>
        <v>8168395</v>
      </c>
    </row>
    <row r="362" spans="1:12" ht="51.75">
      <c r="A362" s="44" t="s">
        <v>598</v>
      </c>
      <c r="B362" s="29" t="s">
        <v>667</v>
      </c>
      <c r="C362" s="29">
        <v>10</v>
      </c>
      <c r="D362" s="29" t="s">
        <v>42</v>
      </c>
      <c r="E362" s="29" t="s">
        <v>747</v>
      </c>
      <c r="F362" s="30"/>
      <c r="G362" s="31">
        <f>G363</f>
        <v>12252593</v>
      </c>
      <c r="H362" s="116"/>
      <c r="I362" s="31">
        <f t="shared" si="11"/>
        <v>12252593</v>
      </c>
      <c r="J362" s="31">
        <f>J363</f>
        <v>8168395</v>
      </c>
      <c r="K362" s="116"/>
      <c r="L362" s="31">
        <f t="shared" si="10"/>
        <v>8168395</v>
      </c>
    </row>
    <row r="363" spans="1:12" ht="25.5" customHeight="1">
      <c r="A363" s="16" t="s">
        <v>271</v>
      </c>
      <c r="B363" s="29" t="s">
        <v>667</v>
      </c>
      <c r="C363" s="29">
        <v>10</v>
      </c>
      <c r="D363" s="29" t="s">
        <v>42</v>
      </c>
      <c r="E363" s="29" t="s">
        <v>747</v>
      </c>
      <c r="F363" s="30" t="s">
        <v>272</v>
      </c>
      <c r="G363" s="31">
        <v>12252593</v>
      </c>
      <c r="H363" s="116"/>
      <c r="I363" s="31">
        <f t="shared" si="11"/>
        <v>12252593</v>
      </c>
      <c r="J363" s="11">
        <v>8168395</v>
      </c>
      <c r="K363" s="116"/>
      <c r="L363" s="31">
        <f t="shared" si="10"/>
        <v>8168395</v>
      </c>
    </row>
    <row r="364" spans="1:12" ht="26.25" hidden="1">
      <c r="A364" s="16" t="s">
        <v>86</v>
      </c>
      <c r="B364" s="29" t="s">
        <v>667</v>
      </c>
      <c r="C364" s="29">
        <v>10</v>
      </c>
      <c r="D364" s="29" t="s">
        <v>42</v>
      </c>
      <c r="E364" s="47" t="s">
        <v>87</v>
      </c>
      <c r="F364" s="37"/>
      <c r="G364" s="31">
        <f>G365</f>
        <v>0</v>
      </c>
      <c r="H364" s="116"/>
      <c r="I364" s="31">
        <f t="shared" si="11"/>
        <v>0</v>
      </c>
      <c r="J364" s="31">
        <f>J365</f>
        <v>0</v>
      </c>
      <c r="K364" s="116"/>
      <c r="L364" s="31">
        <f t="shared" si="10"/>
        <v>0</v>
      </c>
    </row>
    <row r="365" spans="1:12" ht="26.25" hidden="1">
      <c r="A365" s="16" t="s">
        <v>93</v>
      </c>
      <c r="B365" s="29" t="s">
        <v>667</v>
      </c>
      <c r="C365" s="29">
        <v>10</v>
      </c>
      <c r="D365" s="29" t="s">
        <v>42</v>
      </c>
      <c r="E365" s="39" t="s">
        <v>94</v>
      </c>
      <c r="F365" s="37"/>
      <c r="G365" s="31">
        <f>G366</f>
        <v>0</v>
      </c>
      <c r="H365" s="116"/>
      <c r="I365" s="31">
        <f t="shared" si="11"/>
        <v>0</v>
      </c>
      <c r="J365" s="31">
        <f>J366</f>
        <v>0</v>
      </c>
      <c r="K365" s="116"/>
      <c r="L365" s="31">
        <f t="shared" si="10"/>
        <v>0</v>
      </c>
    </row>
    <row r="366" spans="1:12" ht="51.75" hidden="1">
      <c r="A366" s="44" t="s">
        <v>598</v>
      </c>
      <c r="B366" s="29" t="s">
        <v>667</v>
      </c>
      <c r="C366" s="29">
        <v>10</v>
      </c>
      <c r="D366" s="29" t="s">
        <v>42</v>
      </c>
      <c r="E366" s="29" t="s">
        <v>599</v>
      </c>
      <c r="F366" s="30"/>
      <c r="G366" s="31">
        <f>G367</f>
        <v>0</v>
      </c>
      <c r="H366" s="116"/>
      <c r="I366" s="31">
        <f t="shared" si="11"/>
        <v>0</v>
      </c>
      <c r="J366" s="31">
        <f>J367</f>
        <v>0</v>
      </c>
      <c r="K366" s="116"/>
      <c r="L366" s="31">
        <f t="shared" si="10"/>
        <v>0</v>
      </c>
    </row>
    <row r="367" spans="1:12" ht="26.25" hidden="1">
      <c r="A367" s="16" t="s">
        <v>271</v>
      </c>
      <c r="B367" s="29" t="s">
        <v>667</v>
      </c>
      <c r="C367" s="29">
        <v>10</v>
      </c>
      <c r="D367" s="29" t="s">
        <v>42</v>
      </c>
      <c r="E367" s="29" t="s">
        <v>599</v>
      </c>
      <c r="F367" s="37" t="s">
        <v>272</v>
      </c>
      <c r="G367" s="31"/>
      <c r="H367" s="116"/>
      <c r="I367" s="31">
        <f t="shared" si="11"/>
        <v>0</v>
      </c>
      <c r="J367" s="11"/>
      <c r="K367" s="116"/>
      <c r="L367" s="31">
        <f t="shared" si="10"/>
        <v>0</v>
      </c>
    </row>
    <row r="368" spans="1:12" ht="15">
      <c r="A368" s="16" t="s">
        <v>600</v>
      </c>
      <c r="B368" s="29" t="s">
        <v>667</v>
      </c>
      <c r="C368" s="29" t="s">
        <v>115</v>
      </c>
      <c r="D368" s="29"/>
      <c r="E368" s="29"/>
      <c r="F368" s="30"/>
      <c r="G368" s="31">
        <f>G369</f>
        <v>100000</v>
      </c>
      <c r="H368" s="116"/>
      <c r="I368" s="31">
        <f t="shared" si="11"/>
        <v>100000</v>
      </c>
      <c r="J368" s="31">
        <f>J369</f>
        <v>100000</v>
      </c>
      <c r="K368" s="116"/>
      <c r="L368" s="31">
        <f t="shared" si="10"/>
        <v>100000</v>
      </c>
    </row>
    <row r="369" spans="1:12" ht="15">
      <c r="A369" s="16" t="s">
        <v>601</v>
      </c>
      <c r="B369" s="29" t="s">
        <v>667</v>
      </c>
      <c r="C369" s="29" t="s">
        <v>115</v>
      </c>
      <c r="D369" s="29" t="s">
        <v>17</v>
      </c>
      <c r="E369" s="29"/>
      <c r="F369" s="30"/>
      <c r="G369" s="31">
        <f>G370</f>
        <v>100000</v>
      </c>
      <c r="H369" s="116"/>
      <c r="I369" s="31">
        <f t="shared" si="11"/>
        <v>100000</v>
      </c>
      <c r="J369" s="31">
        <f>J370</f>
        <v>100000</v>
      </c>
      <c r="K369" s="116"/>
      <c r="L369" s="31">
        <f t="shared" si="10"/>
        <v>100000</v>
      </c>
    </row>
    <row r="370" spans="1:12" ht="72.75" customHeight="1">
      <c r="A370" s="10" t="s">
        <v>463</v>
      </c>
      <c r="B370" s="29" t="s">
        <v>667</v>
      </c>
      <c r="C370" s="29" t="s">
        <v>115</v>
      </c>
      <c r="D370" s="29" t="s">
        <v>17</v>
      </c>
      <c r="E370" s="50" t="s">
        <v>464</v>
      </c>
      <c r="F370" s="30"/>
      <c r="G370" s="31">
        <f>G371</f>
        <v>100000</v>
      </c>
      <c r="H370" s="116"/>
      <c r="I370" s="31">
        <f t="shared" si="11"/>
        <v>100000</v>
      </c>
      <c r="J370" s="31">
        <f>J371</f>
        <v>100000</v>
      </c>
      <c r="K370" s="116"/>
      <c r="L370" s="31">
        <f t="shared" si="10"/>
        <v>100000</v>
      </c>
    </row>
    <row r="371" spans="1:12" ht="101.25" customHeight="1">
      <c r="A371" s="63" t="s">
        <v>602</v>
      </c>
      <c r="B371" s="29" t="s">
        <v>667</v>
      </c>
      <c r="C371" s="29" t="s">
        <v>115</v>
      </c>
      <c r="D371" s="29" t="s">
        <v>17</v>
      </c>
      <c r="E371" s="50" t="s">
        <v>603</v>
      </c>
      <c r="F371" s="30"/>
      <c r="G371" s="31">
        <f>G372+G377+G381</f>
        <v>100000</v>
      </c>
      <c r="H371" s="31">
        <f>H372+H377</f>
        <v>0</v>
      </c>
      <c r="I371" s="31">
        <f t="shared" si="11"/>
        <v>100000</v>
      </c>
      <c r="J371" s="31">
        <f>J372+J377+J381</f>
        <v>100000</v>
      </c>
      <c r="K371" s="31">
        <f>K372+K377</f>
        <v>0</v>
      </c>
      <c r="L371" s="31">
        <f t="shared" si="10"/>
        <v>100000</v>
      </c>
    </row>
    <row r="372" spans="1:12" ht="58.5" customHeight="1">
      <c r="A372" s="63" t="s">
        <v>604</v>
      </c>
      <c r="B372" s="29" t="s">
        <v>667</v>
      </c>
      <c r="C372" s="29" t="s">
        <v>115</v>
      </c>
      <c r="D372" s="29" t="s">
        <v>17</v>
      </c>
      <c r="E372" s="50" t="s">
        <v>605</v>
      </c>
      <c r="F372" s="30"/>
      <c r="G372" s="31">
        <f>G373</f>
        <v>100000</v>
      </c>
      <c r="H372" s="116"/>
      <c r="I372" s="31">
        <f t="shared" si="11"/>
        <v>100000</v>
      </c>
      <c r="J372" s="31">
        <f>J373</f>
        <v>100000</v>
      </c>
      <c r="K372" s="116"/>
      <c r="L372" s="31">
        <f t="shared" si="10"/>
        <v>100000</v>
      </c>
    </row>
    <row r="373" spans="1:12" ht="63.75" customHeight="1">
      <c r="A373" s="16" t="s">
        <v>606</v>
      </c>
      <c r="B373" s="29" t="s">
        <v>667</v>
      </c>
      <c r="C373" s="29" t="s">
        <v>115</v>
      </c>
      <c r="D373" s="29" t="s">
        <v>17</v>
      </c>
      <c r="E373" s="50" t="s">
        <v>607</v>
      </c>
      <c r="F373" s="30"/>
      <c r="G373" s="31">
        <f>G375+G374</f>
        <v>100000</v>
      </c>
      <c r="H373" s="116"/>
      <c r="I373" s="31">
        <f t="shared" si="11"/>
        <v>100000</v>
      </c>
      <c r="J373" s="31">
        <f>J375+J374</f>
        <v>100000</v>
      </c>
      <c r="K373" s="116"/>
      <c r="L373" s="31">
        <f t="shared" si="10"/>
        <v>100000</v>
      </c>
    </row>
    <row r="374" spans="1:12" ht="42.75" customHeight="1" hidden="1">
      <c r="A374" s="35" t="s">
        <v>26</v>
      </c>
      <c r="B374" s="29" t="s">
        <v>667</v>
      </c>
      <c r="C374" s="29" t="s">
        <v>115</v>
      </c>
      <c r="D374" s="29" t="s">
        <v>17</v>
      </c>
      <c r="E374" s="50" t="s">
        <v>607</v>
      </c>
      <c r="F374" s="30" t="s">
        <v>27</v>
      </c>
      <c r="G374" s="31">
        <f>3195-3195</f>
        <v>0</v>
      </c>
      <c r="H374" s="116"/>
      <c r="I374" s="31">
        <f t="shared" si="11"/>
        <v>0</v>
      </c>
      <c r="J374" s="31">
        <f>3195-3195</f>
        <v>0</v>
      </c>
      <c r="K374" s="116"/>
      <c r="L374" s="31">
        <f t="shared" si="10"/>
        <v>0</v>
      </c>
    </row>
    <row r="375" spans="1:12" ht="25.5" customHeight="1">
      <c r="A375" s="35" t="s">
        <v>38</v>
      </c>
      <c r="B375" s="29" t="s">
        <v>667</v>
      </c>
      <c r="C375" s="29" t="s">
        <v>115</v>
      </c>
      <c r="D375" s="29" t="s">
        <v>17</v>
      </c>
      <c r="E375" s="50" t="s">
        <v>607</v>
      </c>
      <c r="F375" s="30" t="s">
        <v>39</v>
      </c>
      <c r="G375" s="31">
        <v>100000</v>
      </c>
      <c r="H375" s="116"/>
      <c r="I375" s="31">
        <f t="shared" si="11"/>
        <v>100000</v>
      </c>
      <c r="J375" s="31">
        <v>100000</v>
      </c>
      <c r="K375" s="116"/>
      <c r="L375" s="31">
        <f t="shared" si="10"/>
        <v>100000</v>
      </c>
    </row>
    <row r="376" spans="1:12" ht="42.75" customHeight="1" hidden="1">
      <c r="A376" s="53" t="s">
        <v>608</v>
      </c>
      <c r="B376" s="29" t="s">
        <v>667</v>
      </c>
      <c r="C376" s="29" t="s">
        <v>115</v>
      </c>
      <c r="D376" s="29" t="s">
        <v>17</v>
      </c>
      <c r="E376" s="50" t="s">
        <v>609</v>
      </c>
      <c r="F376" s="30"/>
      <c r="G376" s="31">
        <f>G377</f>
        <v>0</v>
      </c>
      <c r="H376" s="116"/>
      <c r="I376" s="31">
        <f t="shared" si="11"/>
        <v>0</v>
      </c>
      <c r="J376" s="31">
        <f>J377</f>
        <v>0</v>
      </c>
      <c r="K376" s="116"/>
      <c r="L376" s="31">
        <f t="shared" si="10"/>
        <v>0</v>
      </c>
    </row>
    <row r="377" spans="1:12" ht="42.75" customHeight="1" hidden="1">
      <c r="A377" s="16" t="s">
        <v>201</v>
      </c>
      <c r="B377" s="29" t="s">
        <v>667</v>
      </c>
      <c r="C377" s="29" t="s">
        <v>115</v>
      </c>
      <c r="D377" s="29" t="s">
        <v>17</v>
      </c>
      <c r="E377" s="50" t="s">
        <v>610</v>
      </c>
      <c r="F377" s="30"/>
      <c r="G377" s="31">
        <f>G379+G378+G380</f>
        <v>0</v>
      </c>
      <c r="H377" s="116"/>
      <c r="I377" s="31">
        <f t="shared" si="11"/>
        <v>0</v>
      </c>
      <c r="J377" s="31">
        <f>J379+J378+J380</f>
        <v>0</v>
      </c>
      <c r="K377" s="116"/>
      <c r="L377" s="31">
        <f t="shared" si="10"/>
        <v>0</v>
      </c>
    </row>
    <row r="378" spans="1:12" ht="42.75" customHeight="1" hidden="1">
      <c r="A378" s="35" t="s">
        <v>26</v>
      </c>
      <c r="B378" s="29" t="s">
        <v>667</v>
      </c>
      <c r="C378" s="29" t="s">
        <v>115</v>
      </c>
      <c r="D378" s="29" t="s">
        <v>17</v>
      </c>
      <c r="E378" s="50" t="s">
        <v>610</v>
      </c>
      <c r="F378" s="30" t="s">
        <v>27</v>
      </c>
      <c r="G378" s="31"/>
      <c r="H378" s="116"/>
      <c r="I378" s="31">
        <f t="shared" si="11"/>
        <v>0</v>
      </c>
      <c r="J378" s="31"/>
      <c r="K378" s="116"/>
      <c r="L378" s="31">
        <f t="shared" si="10"/>
        <v>0</v>
      </c>
    </row>
    <row r="379" spans="1:12" ht="42.75" customHeight="1" hidden="1">
      <c r="A379" s="35" t="s">
        <v>38</v>
      </c>
      <c r="B379" s="29" t="s">
        <v>667</v>
      </c>
      <c r="C379" s="29" t="s">
        <v>115</v>
      </c>
      <c r="D379" s="29" t="s">
        <v>17</v>
      </c>
      <c r="E379" s="50" t="s">
        <v>610</v>
      </c>
      <c r="F379" s="30" t="s">
        <v>39</v>
      </c>
      <c r="G379" s="31"/>
      <c r="H379" s="116"/>
      <c r="I379" s="31">
        <f t="shared" si="11"/>
        <v>0</v>
      </c>
      <c r="J379" s="31"/>
      <c r="K379" s="116"/>
      <c r="L379" s="31">
        <f t="shared" si="10"/>
        <v>0</v>
      </c>
    </row>
    <row r="380" spans="1:12" ht="42.75" customHeight="1" hidden="1">
      <c r="A380" s="48" t="s">
        <v>84</v>
      </c>
      <c r="B380" s="29" t="s">
        <v>667</v>
      </c>
      <c r="C380" s="29" t="s">
        <v>115</v>
      </c>
      <c r="D380" s="29" t="s">
        <v>17</v>
      </c>
      <c r="E380" s="50" t="s">
        <v>610</v>
      </c>
      <c r="F380" s="30" t="s">
        <v>85</v>
      </c>
      <c r="G380" s="31"/>
      <c r="H380" s="116"/>
      <c r="I380" s="31">
        <f t="shared" si="11"/>
        <v>0</v>
      </c>
      <c r="J380" s="31"/>
      <c r="K380" s="116"/>
      <c r="L380" s="31">
        <f aca="true" t="shared" si="12" ref="L380:L402">J380+K380</f>
        <v>0</v>
      </c>
    </row>
    <row r="381" spans="1:12" ht="42.75" customHeight="1" hidden="1">
      <c r="A381" s="53" t="s">
        <v>612</v>
      </c>
      <c r="B381" s="29" t="s">
        <v>667</v>
      </c>
      <c r="C381" s="29" t="s">
        <v>115</v>
      </c>
      <c r="D381" s="29" t="s">
        <v>17</v>
      </c>
      <c r="E381" s="50" t="s">
        <v>613</v>
      </c>
      <c r="F381" s="30"/>
      <c r="G381" s="31">
        <f>G382</f>
        <v>0</v>
      </c>
      <c r="H381" s="116"/>
      <c r="I381" s="31">
        <f t="shared" si="11"/>
        <v>0</v>
      </c>
      <c r="J381" s="31">
        <f>J382</f>
        <v>0</v>
      </c>
      <c r="K381" s="116"/>
      <c r="L381" s="31">
        <f t="shared" si="12"/>
        <v>0</v>
      </c>
    </row>
    <row r="382" spans="1:12" ht="42.75" customHeight="1" hidden="1">
      <c r="A382" s="16" t="s">
        <v>606</v>
      </c>
      <c r="B382" s="29" t="s">
        <v>667</v>
      </c>
      <c r="C382" s="29" t="s">
        <v>115</v>
      </c>
      <c r="D382" s="29" t="s">
        <v>17</v>
      </c>
      <c r="E382" s="50" t="s">
        <v>614</v>
      </c>
      <c r="F382" s="30"/>
      <c r="G382" s="31">
        <f>G383</f>
        <v>0</v>
      </c>
      <c r="H382" s="116"/>
      <c r="I382" s="31">
        <f t="shared" si="11"/>
        <v>0</v>
      </c>
      <c r="J382" s="31">
        <f>J383</f>
        <v>0</v>
      </c>
      <c r="K382" s="116"/>
      <c r="L382" s="31">
        <f t="shared" si="12"/>
        <v>0</v>
      </c>
    </row>
    <row r="383" spans="1:12" ht="42.75" customHeight="1" hidden="1">
      <c r="A383" s="16" t="s">
        <v>271</v>
      </c>
      <c r="B383" s="29" t="s">
        <v>667</v>
      </c>
      <c r="C383" s="29" t="s">
        <v>115</v>
      </c>
      <c r="D383" s="29" t="s">
        <v>17</v>
      </c>
      <c r="E383" s="50" t="s">
        <v>614</v>
      </c>
      <c r="F383" s="30" t="s">
        <v>272</v>
      </c>
      <c r="G383" s="31"/>
      <c r="H383" s="116"/>
      <c r="I383" s="31">
        <f t="shared" si="11"/>
        <v>0</v>
      </c>
      <c r="J383" s="31"/>
      <c r="K383" s="116"/>
      <c r="L383" s="31">
        <f t="shared" si="12"/>
        <v>0</v>
      </c>
    </row>
    <row r="384" spans="1:12" ht="21" customHeight="1">
      <c r="A384" s="16" t="s">
        <v>615</v>
      </c>
      <c r="B384" s="29" t="s">
        <v>667</v>
      </c>
      <c r="C384" s="29" t="s">
        <v>123</v>
      </c>
      <c r="D384" s="29"/>
      <c r="E384" s="29"/>
      <c r="F384" s="30"/>
      <c r="G384" s="31">
        <f>G385</f>
        <v>3000</v>
      </c>
      <c r="H384" s="116"/>
      <c r="I384" s="31">
        <f aca="true" t="shared" si="13" ref="I384:I470">G384+H384</f>
        <v>3000</v>
      </c>
      <c r="J384" s="31">
        <f>J385</f>
        <v>3000</v>
      </c>
      <c r="K384" s="116"/>
      <c r="L384" s="31">
        <f t="shared" si="12"/>
        <v>3000</v>
      </c>
    </row>
    <row r="385" spans="1:12" ht="32.25" customHeight="1">
      <c r="A385" s="16" t="s">
        <v>616</v>
      </c>
      <c r="B385" s="29" t="s">
        <v>667</v>
      </c>
      <c r="C385" s="29" t="s">
        <v>123</v>
      </c>
      <c r="D385" s="29" t="s">
        <v>17</v>
      </c>
      <c r="E385" s="29"/>
      <c r="F385" s="30"/>
      <c r="G385" s="31">
        <f>G386</f>
        <v>3000</v>
      </c>
      <c r="H385" s="116"/>
      <c r="I385" s="31">
        <f t="shared" si="13"/>
        <v>3000</v>
      </c>
      <c r="J385" s="31">
        <f>J386</f>
        <v>3000</v>
      </c>
      <c r="K385" s="116"/>
      <c r="L385" s="31">
        <f t="shared" si="12"/>
        <v>3000</v>
      </c>
    </row>
    <row r="386" spans="1:12" ht="59.25" customHeight="1">
      <c r="A386" s="13" t="s">
        <v>681</v>
      </c>
      <c r="B386" s="29" t="s">
        <v>667</v>
      </c>
      <c r="C386" s="29" t="s">
        <v>123</v>
      </c>
      <c r="D386" s="29" t="s">
        <v>17</v>
      </c>
      <c r="E386" s="47" t="s">
        <v>618</v>
      </c>
      <c r="F386" s="30"/>
      <c r="G386" s="31">
        <f>G387</f>
        <v>3000</v>
      </c>
      <c r="H386" s="116"/>
      <c r="I386" s="31">
        <f t="shared" si="13"/>
        <v>3000</v>
      </c>
      <c r="J386" s="31">
        <f>J387</f>
        <v>3000</v>
      </c>
      <c r="K386" s="116"/>
      <c r="L386" s="31">
        <f t="shared" si="12"/>
        <v>3000</v>
      </c>
    </row>
    <row r="387" spans="1:12" ht="70.5" customHeight="1">
      <c r="A387" s="15" t="s">
        <v>619</v>
      </c>
      <c r="B387" s="29" t="s">
        <v>667</v>
      </c>
      <c r="C387" s="38" t="s">
        <v>123</v>
      </c>
      <c r="D387" s="38" t="s">
        <v>17</v>
      </c>
      <c r="E387" s="47" t="s">
        <v>620</v>
      </c>
      <c r="F387" s="45"/>
      <c r="G387" s="41">
        <f>G389</f>
        <v>3000</v>
      </c>
      <c r="H387" s="116"/>
      <c r="I387" s="31">
        <f t="shared" si="13"/>
        <v>3000</v>
      </c>
      <c r="J387" s="41">
        <f>J389</f>
        <v>3000</v>
      </c>
      <c r="K387" s="116"/>
      <c r="L387" s="31">
        <f t="shared" si="12"/>
        <v>3000</v>
      </c>
    </row>
    <row r="388" spans="1:12" ht="58.5" customHeight="1">
      <c r="A388" s="15" t="s">
        <v>621</v>
      </c>
      <c r="B388" s="29" t="s">
        <v>667</v>
      </c>
      <c r="C388" s="29" t="s">
        <v>123</v>
      </c>
      <c r="D388" s="29" t="s">
        <v>17</v>
      </c>
      <c r="E388" s="47" t="s">
        <v>622</v>
      </c>
      <c r="F388" s="45"/>
      <c r="G388" s="41">
        <f>G389</f>
        <v>3000</v>
      </c>
      <c r="H388" s="116"/>
      <c r="I388" s="31">
        <f t="shared" si="13"/>
        <v>3000</v>
      </c>
      <c r="J388" s="41">
        <f>J389</f>
        <v>3000</v>
      </c>
      <c r="K388" s="116"/>
      <c r="L388" s="31">
        <f t="shared" si="12"/>
        <v>3000</v>
      </c>
    </row>
    <row r="389" spans="1:12" ht="19.5" customHeight="1">
      <c r="A389" s="16" t="s">
        <v>623</v>
      </c>
      <c r="B389" s="29" t="s">
        <v>667</v>
      </c>
      <c r="C389" s="29" t="s">
        <v>123</v>
      </c>
      <c r="D389" s="29" t="s">
        <v>17</v>
      </c>
      <c r="E389" s="47" t="s">
        <v>624</v>
      </c>
      <c r="F389" s="30"/>
      <c r="G389" s="31">
        <f>G390</f>
        <v>3000</v>
      </c>
      <c r="H389" s="116"/>
      <c r="I389" s="31">
        <f t="shared" si="13"/>
        <v>3000</v>
      </c>
      <c r="J389" s="31">
        <f>J390</f>
        <v>3000</v>
      </c>
      <c r="K389" s="116"/>
      <c r="L389" s="31">
        <f t="shared" si="12"/>
        <v>3000</v>
      </c>
    </row>
    <row r="390" spans="1:12" ht="21.75" customHeight="1">
      <c r="A390" s="15" t="s">
        <v>625</v>
      </c>
      <c r="B390" s="29" t="s">
        <v>667</v>
      </c>
      <c r="C390" s="29" t="s">
        <v>123</v>
      </c>
      <c r="D390" s="29" t="s">
        <v>17</v>
      </c>
      <c r="E390" s="47" t="s">
        <v>624</v>
      </c>
      <c r="F390" s="30" t="s">
        <v>626</v>
      </c>
      <c r="G390" s="31">
        <v>3000</v>
      </c>
      <c r="H390" s="116"/>
      <c r="I390" s="31">
        <f t="shared" si="13"/>
        <v>3000</v>
      </c>
      <c r="J390" s="31">
        <v>3000</v>
      </c>
      <c r="K390" s="116"/>
      <c r="L390" s="31">
        <f t="shared" si="12"/>
        <v>3000</v>
      </c>
    </row>
    <row r="391" spans="1:12" ht="45.75" customHeight="1">
      <c r="A391" s="16" t="s">
        <v>627</v>
      </c>
      <c r="B391" s="29" t="s">
        <v>667</v>
      </c>
      <c r="C391" s="29" t="s">
        <v>628</v>
      </c>
      <c r="D391" s="29"/>
      <c r="E391" s="29"/>
      <c r="F391" s="30"/>
      <c r="G391" s="31">
        <f aca="true" t="shared" si="14" ref="G391:G396">G392</f>
        <v>9891675</v>
      </c>
      <c r="H391" s="116"/>
      <c r="I391" s="31">
        <f t="shared" si="13"/>
        <v>9891675</v>
      </c>
      <c r="J391" s="31">
        <f aca="true" t="shared" si="15" ref="J391:J396">J392</f>
        <v>9095793</v>
      </c>
      <c r="K391" s="116"/>
      <c r="L391" s="31">
        <f t="shared" si="12"/>
        <v>9095793</v>
      </c>
    </row>
    <row r="392" spans="1:12" ht="45" customHeight="1">
      <c r="A392" s="16" t="s">
        <v>629</v>
      </c>
      <c r="B392" s="29" t="s">
        <v>667</v>
      </c>
      <c r="C392" s="29" t="s">
        <v>628</v>
      </c>
      <c r="D392" s="29" t="s">
        <v>17</v>
      </c>
      <c r="E392" s="29"/>
      <c r="F392" s="30"/>
      <c r="G392" s="31">
        <f t="shared" si="14"/>
        <v>9891675</v>
      </c>
      <c r="H392" s="116"/>
      <c r="I392" s="31">
        <f t="shared" si="13"/>
        <v>9891675</v>
      </c>
      <c r="J392" s="31">
        <f t="shared" si="15"/>
        <v>9095793</v>
      </c>
      <c r="K392" s="116"/>
      <c r="L392" s="31">
        <f t="shared" si="12"/>
        <v>9095793</v>
      </c>
    </row>
    <row r="393" spans="1:12" ht="53.25" customHeight="1">
      <c r="A393" s="13" t="s">
        <v>617</v>
      </c>
      <c r="B393" s="29" t="s">
        <v>667</v>
      </c>
      <c r="C393" s="29" t="s">
        <v>628</v>
      </c>
      <c r="D393" s="29" t="s">
        <v>17</v>
      </c>
      <c r="E393" s="29" t="s">
        <v>618</v>
      </c>
      <c r="F393" s="30"/>
      <c r="G393" s="31">
        <f t="shared" si="14"/>
        <v>9891675</v>
      </c>
      <c r="H393" s="116"/>
      <c r="I393" s="31">
        <f t="shared" si="13"/>
        <v>9891675</v>
      </c>
      <c r="J393" s="31">
        <f t="shared" si="15"/>
        <v>9095793</v>
      </c>
      <c r="K393" s="116"/>
      <c r="L393" s="31">
        <f>J393+K393</f>
        <v>9095793</v>
      </c>
    </row>
    <row r="394" spans="1:12" ht="65.25" customHeight="1">
      <c r="A394" s="15" t="s">
        <v>630</v>
      </c>
      <c r="B394" s="29" t="s">
        <v>667</v>
      </c>
      <c r="C394" s="29" t="s">
        <v>628</v>
      </c>
      <c r="D394" s="29" t="s">
        <v>17</v>
      </c>
      <c r="E394" s="29" t="s">
        <v>631</v>
      </c>
      <c r="F394" s="30"/>
      <c r="G394" s="31">
        <f t="shared" si="14"/>
        <v>9891675</v>
      </c>
      <c r="H394" s="116"/>
      <c r="I394" s="31">
        <f t="shared" si="13"/>
        <v>9891675</v>
      </c>
      <c r="J394" s="31">
        <f t="shared" si="15"/>
        <v>9095793</v>
      </c>
      <c r="K394" s="116"/>
      <c r="L394" s="31">
        <f t="shared" si="12"/>
        <v>9095793</v>
      </c>
    </row>
    <row r="395" spans="1:12" ht="42.75" customHeight="1">
      <c r="A395" s="13" t="s">
        <v>632</v>
      </c>
      <c r="B395" s="29" t="s">
        <v>667</v>
      </c>
      <c r="C395" s="29" t="s">
        <v>628</v>
      </c>
      <c r="D395" s="29" t="s">
        <v>17</v>
      </c>
      <c r="E395" s="29" t="s">
        <v>633</v>
      </c>
      <c r="F395" s="30"/>
      <c r="G395" s="31">
        <f t="shared" si="14"/>
        <v>9891675</v>
      </c>
      <c r="H395" s="116"/>
      <c r="I395" s="31">
        <f t="shared" si="13"/>
        <v>9891675</v>
      </c>
      <c r="J395" s="31">
        <f t="shared" si="15"/>
        <v>9095793</v>
      </c>
      <c r="K395" s="116"/>
      <c r="L395" s="31">
        <f t="shared" si="12"/>
        <v>9095793</v>
      </c>
    </row>
    <row r="396" spans="1:12" ht="34.5" customHeight="1">
      <c r="A396" s="13" t="s">
        <v>634</v>
      </c>
      <c r="B396" s="29" t="s">
        <v>667</v>
      </c>
      <c r="C396" s="29" t="s">
        <v>628</v>
      </c>
      <c r="D396" s="29" t="s">
        <v>17</v>
      </c>
      <c r="E396" s="29" t="s">
        <v>635</v>
      </c>
      <c r="F396" s="30"/>
      <c r="G396" s="31">
        <f t="shared" si="14"/>
        <v>9891675</v>
      </c>
      <c r="H396" s="116"/>
      <c r="I396" s="31">
        <f t="shared" si="13"/>
        <v>9891675</v>
      </c>
      <c r="J396" s="31">
        <f t="shared" si="15"/>
        <v>9095793</v>
      </c>
      <c r="K396" s="116"/>
      <c r="L396" s="31">
        <f t="shared" si="12"/>
        <v>9095793</v>
      </c>
    </row>
    <row r="397" spans="1:12" ht="15">
      <c r="A397" s="73" t="s">
        <v>193</v>
      </c>
      <c r="B397" s="29" t="s">
        <v>667</v>
      </c>
      <c r="C397" s="29" t="s">
        <v>628</v>
      </c>
      <c r="D397" s="29" t="s">
        <v>17</v>
      </c>
      <c r="E397" s="29" t="s">
        <v>635</v>
      </c>
      <c r="F397" s="37" t="s">
        <v>194</v>
      </c>
      <c r="G397" s="31">
        <v>9891675</v>
      </c>
      <c r="H397" s="116"/>
      <c r="I397" s="31">
        <f t="shared" si="13"/>
        <v>9891675</v>
      </c>
      <c r="J397" s="31">
        <v>9095793</v>
      </c>
      <c r="K397" s="116"/>
      <c r="L397" s="31">
        <f t="shared" si="12"/>
        <v>9095793</v>
      </c>
    </row>
    <row r="398" spans="1:12" ht="31.5" customHeight="1">
      <c r="A398" s="15" t="s">
        <v>682</v>
      </c>
      <c r="B398" s="29" t="s">
        <v>683</v>
      </c>
      <c r="C398" s="29"/>
      <c r="D398" s="29"/>
      <c r="E398" s="50"/>
      <c r="F398" s="56"/>
      <c r="G398" s="31">
        <f>G399+G406+G559+G583</f>
        <v>481510889</v>
      </c>
      <c r="H398" s="31">
        <f>H399+H406+H559+H583</f>
        <v>7809100</v>
      </c>
      <c r="I398" s="31">
        <f t="shared" si="13"/>
        <v>489319989</v>
      </c>
      <c r="J398" s="31">
        <f>J399+J406+J559+J583</f>
        <v>482203924</v>
      </c>
      <c r="K398" s="31">
        <f>K399+K406+K559+K583</f>
        <v>7809100</v>
      </c>
      <c r="L398" s="31">
        <f t="shared" si="12"/>
        <v>490013024</v>
      </c>
    </row>
    <row r="399" spans="1:12" ht="42.75" customHeight="1" hidden="1">
      <c r="A399" s="16" t="s">
        <v>238</v>
      </c>
      <c r="B399" s="29" t="s">
        <v>683</v>
      </c>
      <c r="C399" s="29" t="s">
        <v>42</v>
      </c>
      <c r="D399" s="29"/>
      <c r="E399" s="29"/>
      <c r="F399" s="30"/>
      <c r="G399" s="31">
        <f>G400</f>
        <v>0</v>
      </c>
      <c r="H399" s="116">
        <f>H400</f>
        <v>0</v>
      </c>
      <c r="I399" s="31">
        <f t="shared" si="13"/>
        <v>0</v>
      </c>
      <c r="J399" s="31">
        <f>J400</f>
        <v>0</v>
      </c>
      <c r="K399" s="116">
        <f>K400</f>
        <v>0</v>
      </c>
      <c r="L399" s="31">
        <f t="shared" si="12"/>
        <v>0</v>
      </c>
    </row>
    <row r="400" spans="1:12" ht="42.75" customHeight="1" hidden="1">
      <c r="A400" s="16" t="s">
        <v>282</v>
      </c>
      <c r="B400" s="29" t="s">
        <v>683</v>
      </c>
      <c r="C400" s="29" t="s">
        <v>42</v>
      </c>
      <c r="D400" s="29" t="s">
        <v>283</v>
      </c>
      <c r="E400" s="29"/>
      <c r="F400" s="30"/>
      <c r="G400" s="31">
        <f>G401</f>
        <v>0</v>
      </c>
      <c r="H400" s="116">
        <f>H401</f>
        <v>0</v>
      </c>
      <c r="I400" s="31">
        <f t="shared" si="13"/>
        <v>0</v>
      </c>
      <c r="J400" s="31">
        <f>J401</f>
        <v>0</v>
      </c>
      <c r="K400" s="116">
        <f>K401</f>
        <v>0</v>
      </c>
      <c r="L400" s="31">
        <f t="shared" si="12"/>
        <v>0</v>
      </c>
    </row>
    <row r="401" spans="1:12" ht="42.75" customHeight="1" hidden="1">
      <c r="A401" s="126" t="s">
        <v>684</v>
      </c>
      <c r="B401" s="29" t="s">
        <v>683</v>
      </c>
      <c r="C401" s="29" t="s">
        <v>42</v>
      </c>
      <c r="D401" s="29" t="s">
        <v>283</v>
      </c>
      <c r="E401" s="71" t="s">
        <v>295</v>
      </c>
      <c r="F401" s="30"/>
      <c r="G401" s="31">
        <f>G402</f>
        <v>0</v>
      </c>
      <c r="H401" s="116"/>
      <c r="I401" s="31">
        <f t="shared" si="13"/>
        <v>0</v>
      </c>
      <c r="J401" s="31">
        <f>J402</f>
        <v>0</v>
      </c>
      <c r="K401" s="116"/>
      <c r="L401" s="31">
        <f t="shared" si="12"/>
        <v>0</v>
      </c>
    </row>
    <row r="402" spans="1:12" ht="42.75" customHeight="1" hidden="1">
      <c r="A402" s="63" t="s">
        <v>685</v>
      </c>
      <c r="B402" s="29" t="s">
        <v>683</v>
      </c>
      <c r="C402" s="29" t="s">
        <v>42</v>
      </c>
      <c r="D402" s="29" t="s">
        <v>283</v>
      </c>
      <c r="E402" s="71" t="s">
        <v>297</v>
      </c>
      <c r="F402" s="30"/>
      <c r="G402" s="31">
        <f>G403</f>
        <v>0</v>
      </c>
      <c r="H402" s="116"/>
      <c r="I402" s="31">
        <f t="shared" si="13"/>
        <v>0</v>
      </c>
      <c r="J402" s="31">
        <f>J403</f>
        <v>0</v>
      </c>
      <c r="K402" s="116"/>
      <c r="L402" s="31">
        <f t="shared" si="12"/>
        <v>0</v>
      </c>
    </row>
    <row r="403" spans="1:12" ht="42.75" customHeight="1" hidden="1">
      <c r="A403" s="10" t="s">
        <v>298</v>
      </c>
      <c r="B403" s="29" t="s">
        <v>683</v>
      </c>
      <c r="C403" s="29" t="s">
        <v>42</v>
      </c>
      <c r="D403" s="29" t="s">
        <v>283</v>
      </c>
      <c r="E403" s="71" t="s">
        <v>299</v>
      </c>
      <c r="F403" s="30"/>
      <c r="G403" s="31">
        <f>G404</f>
        <v>0</v>
      </c>
      <c r="H403" s="116"/>
      <c r="I403" s="31">
        <f>I404</f>
        <v>0</v>
      </c>
      <c r="J403" s="31">
        <f>J404</f>
        <v>0</v>
      </c>
      <c r="K403" s="116"/>
      <c r="L403" s="31">
        <f>L404</f>
        <v>0</v>
      </c>
    </row>
    <row r="404" spans="1:12" ht="42.75" customHeight="1" hidden="1">
      <c r="A404" s="15" t="s">
        <v>300</v>
      </c>
      <c r="B404" s="29" t="s">
        <v>683</v>
      </c>
      <c r="C404" s="29" t="s">
        <v>42</v>
      </c>
      <c r="D404" s="29" t="s">
        <v>283</v>
      </c>
      <c r="E404" s="71" t="s">
        <v>301</v>
      </c>
      <c r="F404" s="30"/>
      <c r="G404" s="31">
        <f>G405</f>
        <v>0</v>
      </c>
      <c r="H404" s="116"/>
      <c r="I404" s="31">
        <f t="shared" si="13"/>
        <v>0</v>
      </c>
      <c r="J404" s="31">
        <f>J405</f>
        <v>0</v>
      </c>
      <c r="K404" s="116"/>
      <c r="L404" s="31">
        <f aca="true" t="shared" si="16" ref="L404:L413">J404+K404</f>
        <v>0</v>
      </c>
    </row>
    <row r="405" spans="1:12" ht="42.75" customHeight="1" hidden="1">
      <c r="A405" s="35" t="s">
        <v>38</v>
      </c>
      <c r="B405" s="29" t="s">
        <v>683</v>
      </c>
      <c r="C405" s="29" t="s">
        <v>42</v>
      </c>
      <c r="D405" s="29" t="s">
        <v>283</v>
      </c>
      <c r="E405" s="71" t="s">
        <v>301</v>
      </c>
      <c r="F405" s="30" t="s">
        <v>39</v>
      </c>
      <c r="G405" s="31"/>
      <c r="H405" s="116"/>
      <c r="I405" s="31">
        <f t="shared" si="13"/>
        <v>0</v>
      </c>
      <c r="J405" s="31"/>
      <c r="K405" s="116"/>
      <c r="L405" s="31">
        <f t="shared" si="16"/>
        <v>0</v>
      </c>
    </row>
    <row r="406" spans="1:12" ht="16.5" customHeight="1">
      <c r="A406" s="16" t="s">
        <v>368</v>
      </c>
      <c r="B406" s="29" t="s">
        <v>683</v>
      </c>
      <c r="C406" s="29" t="s">
        <v>109</v>
      </c>
      <c r="D406" s="29"/>
      <c r="E406" s="50"/>
      <c r="F406" s="56"/>
      <c r="G406" s="31">
        <f>G407+G432+G501+G517+G540</f>
        <v>433424127</v>
      </c>
      <c r="H406" s="31">
        <f>H407+H432+H501+H517+H540</f>
        <v>7809100</v>
      </c>
      <c r="I406" s="31">
        <f t="shared" si="13"/>
        <v>441233227</v>
      </c>
      <c r="J406" s="31">
        <f>J407+J432+J501+J517+J540</f>
        <v>433967332</v>
      </c>
      <c r="K406" s="31">
        <f>K407+K432+K501+K517+K540</f>
        <v>7809100</v>
      </c>
      <c r="L406" s="31">
        <f t="shared" si="16"/>
        <v>441776432</v>
      </c>
    </row>
    <row r="407" spans="1:12" ht="18" customHeight="1">
      <c r="A407" s="16" t="s">
        <v>369</v>
      </c>
      <c r="B407" s="29" t="s">
        <v>683</v>
      </c>
      <c r="C407" s="29" t="s">
        <v>109</v>
      </c>
      <c r="D407" s="29" t="s">
        <v>17</v>
      </c>
      <c r="E407" s="50"/>
      <c r="F407" s="56"/>
      <c r="G407" s="31">
        <f>G408+G427</f>
        <v>87321690</v>
      </c>
      <c r="H407" s="31">
        <f>H408+H427</f>
        <v>4082700</v>
      </c>
      <c r="I407" s="31">
        <f t="shared" si="13"/>
        <v>91404390</v>
      </c>
      <c r="J407" s="31">
        <f>J408+J427</f>
        <v>86504727</v>
      </c>
      <c r="K407" s="31">
        <f>K408+K427</f>
        <v>4082700</v>
      </c>
      <c r="L407" s="31">
        <f t="shared" si="16"/>
        <v>90587427</v>
      </c>
    </row>
    <row r="408" spans="1:15" ht="48" customHeight="1">
      <c r="A408" s="16" t="s">
        <v>370</v>
      </c>
      <c r="B408" s="29" t="s">
        <v>683</v>
      </c>
      <c r="C408" s="29" t="s">
        <v>109</v>
      </c>
      <c r="D408" s="29" t="s">
        <v>17</v>
      </c>
      <c r="E408" s="29" t="s">
        <v>371</v>
      </c>
      <c r="F408" s="30"/>
      <c r="G408" s="31">
        <f>G409</f>
        <v>87321690</v>
      </c>
      <c r="H408" s="116">
        <f>H409</f>
        <v>4082700</v>
      </c>
      <c r="I408" s="31">
        <f t="shared" si="13"/>
        <v>91404390</v>
      </c>
      <c r="J408" s="31">
        <f>J409</f>
        <v>86504727</v>
      </c>
      <c r="K408" s="116">
        <f>K409</f>
        <v>4082700</v>
      </c>
      <c r="L408" s="31">
        <f t="shared" si="16"/>
        <v>90587427</v>
      </c>
      <c r="N408" s="21"/>
      <c r="O408" s="21"/>
    </row>
    <row r="409" spans="1:12" ht="65.25" customHeight="1">
      <c r="A409" s="81" t="s">
        <v>372</v>
      </c>
      <c r="B409" s="29" t="s">
        <v>683</v>
      </c>
      <c r="C409" s="29" t="s">
        <v>109</v>
      </c>
      <c r="D409" s="29" t="s">
        <v>17</v>
      </c>
      <c r="E409" s="29" t="s">
        <v>373</v>
      </c>
      <c r="F409" s="30"/>
      <c r="G409" s="31">
        <f>G410</f>
        <v>87321690</v>
      </c>
      <c r="H409" s="31">
        <f>H410</f>
        <v>4082700</v>
      </c>
      <c r="I409" s="31">
        <f t="shared" si="13"/>
        <v>91404390</v>
      </c>
      <c r="J409" s="31">
        <f>J410</f>
        <v>86504727</v>
      </c>
      <c r="K409" s="31">
        <f>K410</f>
        <v>4082700</v>
      </c>
      <c r="L409" s="31">
        <f t="shared" si="16"/>
        <v>90587427</v>
      </c>
    </row>
    <row r="410" spans="1:12" ht="45" customHeight="1">
      <c r="A410" s="10" t="s">
        <v>374</v>
      </c>
      <c r="B410" s="29" t="s">
        <v>683</v>
      </c>
      <c r="C410" s="29" t="s">
        <v>109</v>
      </c>
      <c r="D410" s="29" t="s">
        <v>17</v>
      </c>
      <c r="E410" s="29" t="s">
        <v>375</v>
      </c>
      <c r="F410" s="30"/>
      <c r="G410" s="31">
        <f>G411+G418+G420+G416+G414+G425</f>
        <v>87321690</v>
      </c>
      <c r="H410" s="31">
        <f>H411+H418+H420+H416+H414+H425</f>
        <v>4082700</v>
      </c>
      <c r="I410" s="31">
        <f t="shared" si="13"/>
        <v>91404390</v>
      </c>
      <c r="J410" s="31">
        <f>J411+J418+J420+J416+J414+J425</f>
        <v>86504727</v>
      </c>
      <c r="K410" s="31">
        <f>K411+K418+K420+K416+K414+K425</f>
        <v>4082700</v>
      </c>
      <c r="L410" s="31">
        <f t="shared" si="16"/>
        <v>90587427</v>
      </c>
    </row>
    <row r="411" spans="1:12" ht="99" customHeight="1">
      <c r="A411" s="118" t="s">
        <v>376</v>
      </c>
      <c r="B411" s="29" t="s">
        <v>683</v>
      </c>
      <c r="C411" s="29" t="s">
        <v>109</v>
      </c>
      <c r="D411" s="29" t="s">
        <v>17</v>
      </c>
      <c r="E411" s="29" t="s">
        <v>377</v>
      </c>
      <c r="F411" s="30"/>
      <c r="G411" s="31">
        <f>G412+G413</f>
        <v>57617557</v>
      </c>
      <c r="H411" s="116"/>
      <c r="I411" s="31">
        <f t="shared" si="13"/>
        <v>57617557</v>
      </c>
      <c r="J411" s="31">
        <f>J412+J413</f>
        <v>57617557</v>
      </c>
      <c r="K411" s="116"/>
      <c r="L411" s="31">
        <f t="shared" si="16"/>
        <v>57617557</v>
      </c>
    </row>
    <row r="412" spans="1:12" ht="81.75" customHeight="1">
      <c r="A412" s="78" t="s">
        <v>26</v>
      </c>
      <c r="B412" s="29" t="s">
        <v>683</v>
      </c>
      <c r="C412" s="29" t="s">
        <v>109</v>
      </c>
      <c r="D412" s="29" t="s">
        <v>17</v>
      </c>
      <c r="E412" s="29" t="s">
        <v>377</v>
      </c>
      <c r="F412" s="30" t="s">
        <v>27</v>
      </c>
      <c r="G412" s="31">
        <v>57132120</v>
      </c>
      <c r="H412" s="116"/>
      <c r="I412" s="31">
        <f t="shared" si="13"/>
        <v>57132120</v>
      </c>
      <c r="J412" s="31">
        <v>57132120</v>
      </c>
      <c r="K412" s="116"/>
      <c r="L412" s="31">
        <f t="shared" si="16"/>
        <v>57132120</v>
      </c>
    </row>
    <row r="413" spans="1:12" ht="29.25" customHeight="1">
      <c r="A413" s="35" t="s">
        <v>38</v>
      </c>
      <c r="B413" s="29" t="s">
        <v>683</v>
      </c>
      <c r="C413" s="29" t="s">
        <v>109</v>
      </c>
      <c r="D413" s="29" t="s">
        <v>17</v>
      </c>
      <c r="E413" s="29" t="s">
        <v>377</v>
      </c>
      <c r="F413" s="30" t="s">
        <v>39</v>
      </c>
      <c r="G413" s="31">
        <v>485437</v>
      </c>
      <c r="H413" s="116"/>
      <c r="I413" s="31">
        <f t="shared" si="13"/>
        <v>485437</v>
      </c>
      <c r="J413" s="31">
        <v>485437</v>
      </c>
      <c r="K413" s="116"/>
      <c r="L413" s="31">
        <f t="shared" si="16"/>
        <v>485437</v>
      </c>
    </row>
    <row r="414" spans="1:12" ht="42.75" customHeight="1" hidden="1">
      <c r="A414" s="118" t="s">
        <v>408</v>
      </c>
      <c r="B414" s="29" t="s">
        <v>683</v>
      </c>
      <c r="C414" s="29" t="s">
        <v>109</v>
      </c>
      <c r="D414" s="29" t="s">
        <v>17</v>
      </c>
      <c r="E414" s="29" t="s">
        <v>686</v>
      </c>
      <c r="F414" s="30"/>
      <c r="G414" s="31">
        <f>G415</f>
        <v>0</v>
      </c>
      <c r="H414" s="116"/>
      <c r="I414" s="31">
        <f>G414+H414</f>
        <v>0</v>
      </c>
      <c r="J414" s="31">
        <f>J415</f>
        <v>0</v>
      </c>
      <c r="K414" s="116"/>
      <c r="L414" s="31">
        <f>J414+K414</f>
        <v>0</v>
      </c>
    </row>
    <row r="415" spans="1:12" ht="42.75" customHeight="1" hidden="1">
      <c r="A415" s="35" t="s">
        <v>38</v>
      </c>
      <c r="B415" s="29" t="s">
        <v>683</v>
      </c>
      <c r="C415" s="29" t="s">
        <v>109</v>
      </c>
      <c r="D415" s="29" t="s">
        <v>17</v>
      </c>
      <c r="E415" s="29" t="s">
        <v>686</v>
      </c>
      <c r="F415" s="30" t="s">
        <v>39</v>
      </c>
      <c r="G415" s="31"/>
      <c r="H415" s="116"/>
      <c r="I415" s="31">
        <f>G415+H415</f>
        <v>0</v>
      </c>
      <c r="J415" s="31"/>
      <c r="K415" s="116"/>
      <c r="L415" s="31">
        <f>J415+K415</f>
        <v>0</v>
      </c>
    </row>
    <row r="416" spans="1:12" ht="42.75" customHeight="1" hidden="1">
      <c r="A416" s="118" t="s">
        <v>410</v>
      </c>
      <c r="B416" s="29" t="s">
        <v>683</v>
      </c>
      <c r="C416" s="29" t="s">
        <v>109</v>
      </c>
      <c r="D416" s="29" t="s">
        <v>17</v>
      </c>
      <c r="E416" s="29" t="s">
        <v>687</v>
      </c>
      <c r="F416" s="30"/>
      <c r="G416" s="31">
        <f>G417</f>
        <v>0</v>
      </c>
      <c r="H416" s="116"/>
      <c r="I416" s="31">
        <f t="shared" si="13"/>
        <v>0</v>
      </c>
      <c r="J416" s="31">
        <f>J417</f>
        <v>0</v>
      </c>
      <c r="K416" s="116"/>
      <c r="L416" s="31">
        <f aca="true" t="shared" si="17" ref="L416:L431">J416+K416</f>
        <v>0</v>
      </c>
    </row>
    <row r="417" spans="1:12" ht="42.75" customHeight="1" hidden="1">
      <c r="A417" s="35" t="s">
        <v>38</v>
      </c>
      <c r="B417" s="29" t="s">
        <v>683</v>
      </c>
      <c r="C417" s="29" t="s">
        <v>109</v>
      </c>
      <c r="D417" s="29" t="s">
        <v>17</v>
      </c>
      <c r="E417" s="29" t="s">
        <v>687</v>
      </c>
      <c r="F417" s="30" t="s">
        <v>39</v>
      </c>
      <c r="G417" s="31">
        <f>175343-175343</f>
        <v>0</v>
      </c>
      <c r="H417" s="116"/>
      <c r="I417" s="31">
        <f t="shared" si="13"/>
        <v>0</v>
      </c>
      <c r="J417" s="31">
        <f>175343-175343</f>
        <v>0</v>
      </c>
      <c r="K417" s="116"/>
      <c r="L417" s="31">
        <f t="shared" si="17"/>
        <v>0</v>
      </c>
    </row>
    <row r="418" spans="1:12" ht="42.75" customHeight="1" hidden="1">
      <c r="A418" s="118" t="s">
        <v>688</v>
      </c>
      <c r="B418" s="29" t="s">
        <v>683</v>
      </c>
      <c r="C418" s="29" t="s">
        <v>109</v>
      </c>
      <c r="D418" s="29" t="s">
        <v>17</v>
      </c>
      <c r="E418" s="29" t="s">
        <v>689</v>
      </c>
      <c r="F418" s="30"/>
      <c r="G418" s="31">
        <f>G419</f>
        <v>0</v>
      </c>
      <c r="H418" s="116"/>
      <c r="I418" s="31">
        <f t="shared" si="13"/>
        <v>0</v>
      </c>
      <c r="J418" s="31">
        <f>J419</f>
        <v>0</v>
      </c>
      <c r="K418" s="116"/>
      <c r="L418" s="31">
        <f t="shared" si="17"/>
        <v>0</v>
      </c>
    </row>
    <row r="419" spans="1:12" ht="42.75" customHeight="1" hidden="1">
      <c r="A419" s="35" t="s">
        <v>38</v>
      </c>
      <c r="B419" s="29" t="s">
        <v>683</v>
      </c>
      <c r="C419" s="29" t="s">
        <v>109</v>
      </c>
      <c r="D419" s="29" t="s">
        <v>17</v>
      </c>
      <c r="E419" s="29" t="s">
        <v>689</v>
      </c>
      <c r="F419" s="30" t="s">
        <v>39</v>
      </c>
      <c r="G419" s="31"/>
      <c r="H419" s="116"/>
      <c r="I419" s="31">
        <f t="shared" si="13"/>
        <v>0</v>
      </c>
      <c r="J419" s="31"/>
      <c r="K419" s="116"/>
      <c r="L419" s="31">
        <f t="shared" si="17"/>
        <v>0</v>
      </c>
    </row>
    <row r="420" spans="1:12" ht="39" customHeight="1">
      <c r="A420" s="10" t="s">
        <v>201</v>
      </c>
      <c r="B420" s="29" t="s">
        <v>683</v>
      </c>
      <c r="C420" s="29" t="s">
        <v>109</v>
      </c>
      <c r="D420" s="29" t="s">
        <v>17</v>
      </c>
      <c r="E420" s="29" t="s">
        <v>378</v>
      </c>
      <c r="F420" s="30"/>
      <c r="G420" s="31">
        <f>G421+G422+G424+G423</f>
        <v>29704133</v>
      </c>
      <c r="H420" s="31">
        <f>H421+H422+H424+H423</f>
        <v>4082700</v>
      </c>
      <c r="I420" s="31">
        <f t="shared" si="13"/>
        <v>33786833</v>
      </c>
      <c r="J420" s="31">
        <f>J421+J422+J424+J423</f>
        <v>28887170</v>
      </c>
      <c r="K420" s="31">
        <f>K421+K422+K424+K423</f>
        <v>4082700</v>
      </c>
      <c r="L420" s="31">
        <f t="shared" si="17"/>
        <v>32969870</v>
      </c>
    </row>
    <row r="421" spans="1:12" ht="70.5" customHeight="1">
      <c r="A421" s="35" t="s">
        <v>26</v>
      </c>
      <c r="B421" s="29" t="s">
        <v>683</v>
      </c>
      <c r="C421" s="29" t="s">
        <v>109</v>
      </c>
      <c r="D421" s="29" t="s">
        <v>17</v>
      </c>
      <c r="E421" s="29" t="s">
        <v>378</v>
      </c>
      <c r="F421" s="30" t="s">
        <v>27</v>
      </c>
      <c r="G421" s="31">
        <v>21420696</v>
      </c>
      <c r="H421" s="116"/>
      <c r="I421" s="31">
        <f t="shared" si="13"/>
        <v>21420696</v>
      </c>
      <c r="J421" s="31">
        <v>20603733</v>
      </c>
      <c r="K421" s="116"/>
      <c r="L421" s="31">
        <f t="shared" si="17"/>
        <v>20603733</v>
      </c>
    </row>
    <row r="422" spans="1:12" ht="28.5" customHeight="1">
      <c r="A422" s="35" t="s">
        <v>38</v>
      </c>
      <c r="B422" s="29" t="s">
        <v>683</v>
      </c>
      <c r="C422" s="29" t="s">
        <v>109</v>
      </c>
      <c r="D422" s="29" t="s">
        <v>17</v>
      </c>
      <c r="E422" s="29" t="s">
        <v>378</v>
      </c>
      <c r="F422" s="30" t="s">
        <v>39</v>
      </c>
      <c r="G422" s="31">
        <f>11142752-4082700</f>
        <v>7060052</v>
      </c>
      <c r="H422" s="116">
        <v>4082700</v>
      </c>
      <c r="I422" s="31">
        <f t="shared" si="13"/>
        <v>11142752</v>
      </c>
      <c r="J422" s="31">
        <f>11142752-4082700</f>
        <v>7060052</v>
      </c>
      <c r="K422" s="116">
        <v>4082700</v>
      </c>
      <c r="L422" s="31">
        <f t="shared" si="17"/>
        <v>11142752</v>
      </c>
    </row>
    <row r="423" spans="1:12" ht="42.75" customHeight="1" hidden="1">
      <c r="A423" s="16" t="s">
        <v>271</v>
      </c>
      <c r="B423" s="29" t="s">
        <v>683</v>
      </c>
      <c r="C423" s="29" t="s">
        <v>109</v>
      </c>
      <c r="D423" s="29" t="s">
        <v>17</v>
      </c>
      <c r="E423" s="29" t="s">
        <v>378</v>
      </c>
      <c r="F423" s="30" t="s">
        <v>272</v>
      </c>
      <c r="G423" s="31"/>
      <c r="H423" s="116"/>
      <c r="I423" s="31">
        <f t="shared" si="13"/>
        <v>0</v>
      </c>
      <c r="J423" s="31"/>
      <c r="K423" s="116"/>
      <c r="L423" s="31">
        <f t="shared" si="17"/>
        <v>0</v>
      </c>
    </row>
    <row r="424" spans="1:12" ht="13.5" customHeight="1">
      <c r="A424" s="10" t="s">
        <v>84</v>
      </c>
      <c r="B424" s="29" t="s">
        <v>683</v>
      </c>
      <c r="C424" s="29" t="s">
        <v>109</v>
      </c>
      <c r="D424" s="29" t="s">
        <v>17</v>
      </c>
      <c r="E424" s="29" t="s">
        <v>378</v>
      </c>
      <c r="F424" s="30" t="s">
        <v>85</v>
      </c>
      <c r="G424" s="31">
        <v>1223385</v>
      </c>
      <c r="H424" s="116"/>
      <c r="I424" s="31">
        <f t="shared" si="13"/>
        <v>1223385</v>
      </c>
      <c r="J424" s="31">
        <v>1223385</v>
      </c>
      <c r="K424" s="116"/>
      <c r="L424" s="31">
        <f t="shared" si="17"/>
        <v>1223385</v>
      </c>
    </row>
    <row r="425" spans="1:12" ht="42.75" customHeight="1" hidden="1">
      <c r="A425" s="10" t="s">
        <v>236</v>
      </c>
      <c r="B425" s="29" t="s">
        <v>683</v>
      </c>
      <c r="C425" s="29" t="s">
        <v>109</v>
      </c>
      <c r="D425" s="29" t="s">
        <v>17</v>
      </c>
      <c r="E425" s="29" t="s">
        <v>690</v>
      </c>
      <c r="F425" s="30"/>
      <c r="G425" s="31">
        <f>G426</f>
        <v>0</v>
      </c>
      <c r="H425" s="116"/>
      <c r="I425" s="31">
        <f t="shared" si="13"/>
        <v>0</v>
      </c>
      <c r="J425" s="31">
        <f>J426</f>
        <v>0</v>
      </c>
      <c r="K425" s="116"/>
      <c r="L425" s="31">
        <f t="shared" si="17"/>
        <v>0</v>
      </c>
    </row>
    <row r="426" spans="1:12" ht="42.75" customHeight="1" hidden="1">
      <c r="A426" s="35" t="s">
        <v>38</v>
      </c>
      <c r="B426" s="29" t="s">
        <v>683</v>
      </c>
      <c r="C426" s="29" t="s">
        <v>109</v>
      </c>
      <c r="D426" s="29" t="s">
        <v>17</v>
      </c>
      <c r="E426" s="29" t="s">
        <v>690</v>
      </c>
      <c r="F426" s="30" t="s">
        <v>39</v>
      </c>
      <c r="G426" s="31"/>
      <c r="H426" s="116"/>
      <c r="I426" s="31">
        <f t="shared" si="13"/>
        <v>0</v>
      </c>
      <c r="J426" s="31"/>
      <c r="K426" s="116"/>
      <c r="L426" s="31">
        <f t="shared" si="17"/>
        <v>0</v>
      </c>
    </row>
    <row r="427" spans="1:12" ht="42.75" customHeight="1" hidden="1">
      <c r="A427" s="75" t="s">
        <v>379</v>
      </c>
      <c r="B427" s="29" t="s">
        <v>683</v>
      </c>
      <c r="C427" s="29" t="s">
        <v>109</v>
      </c>
      <c r="D427" s="29" t="s">
        <v>17</v>
      </c>
      <c r="E427" s="50" t="s">
        <v>295</v>
      </c>
      <c r="F427" s="30"/>
      <c r="G427" s="31">
        <f>G428</f>
        <v>0</v>
      </c>
      <c r="H427" s="116"/>
      <c r="I427" s="31">
        <f t="shared" si="13"/>
        <v>0</v>
      </c>
      <c r="J427" s="31">
        <f>J428</f>
        <v>0</v>
      </c>
      <c r="K427" s="116"/>
      <c r="L427" s="31">
        <f t="shared" si="17"/>
        <v>0</v>
      </c>
    </row>
    <row r="428" spans="1:12" ht="42.75" customHeight="1" hidden="1">
      <c r="A428" s="73" t="s">
        <v>380</v>
      </c>
      <c r="B428" s="29" t="s">
        <v>683</v>
      </c>
      <c r="C428" s="29" t="s">
        <v>109</v>
      </c>
      <c r="D428" s="29" t="s">
        <v>17</v>
      </c>
      <c r="E428" s="50" t="s">
        <v>381</v>
      </c>
      <c r="F428" s="30"/>
      <c r="G428" s="31">
        <f>G429</f>
        <v>0</v>
      </c>
      <c r="H428" s="116"/>
      <c r="I428" s="31">
        <f t="shared" si="13"/>
        <v>0</v>
      </c>
      <c r="J428" s="31">
        <f>J429</f>
        <v>0</v>
      </c>
      <c r="K428" s="116"/>
      <c r="L428" s="31">
        <f t="shared" si="17"/>
        <v>0</v>
      </c>
    </row>
    <row r="429" spans="1:12" ht="42.75" customHeight="1" hidden="1">
      <c r="A429" s="10" t="s">
        <v>382</v>
      </c>
      <c r="B429" s="29" t="s">
        <v>683</v>
      </c>
      <c r="C429" s="29" t="s">
        <v>109</v>
      </c>
      <c r="D429" s="29" t="s">
        <v>17</v>
      </c>
      <c r="E429" s="47" t="s">
        <v>299</v>
      </c>
      <c r="F429" s="30"/>
      <c r="G429" s="31">
        <f>G430</f>
        <v>0</v>
      </c>
      <c r="H429" s="116"/>
      <c r="I429" s="31">
        <f t="shared" si="13"/>
        <v>0</v>
      </c>
      <c r="J429" s="31">
        <f>J430</f>
        <v>0</v>
      </c>
      <c r="K429" s="116"/>
      <c r="L429" s="31">
        <f t="shared" si="17"/>
        <v>0</v>
      </c>
    </row>
    <row r="430" spans="1:12" ht="42.75" customHeight="1" hidden="1">
      <c r="A430" s="59" t="s">
        <v>300</v>
      </c>
      <c r="B430" s="29" t="s">
        <v>683</v>
      </c>
      <c r="C430" s="29" t="s">
        <v>109</v>
      </c>
      <c r="D430" s="29" t="s">
        <v>17</v>
      </c>
      <c r="E430" s="47" t="s">
        <v>301</v>
      </c>
      <c r="F430" s="30"/>
      <c r="G430" s="31">
        <f>G431</f>
        <v>0</v>
      </c>
      <c r="H430" s="116"/>
      <c r="I430" s="31">
        <f t="shared" si="13"/>
        <v>0</v>
      </c>
      <c r="J430" s="31">
        <f>J431</f>
        <v>0</v>
      </c>
      <c r="K430" s="116"/>
      <c r="L430" s="31">
        <f t="shared" si="17"/>
        <v>0</v>
      </c>
    </row>
    <row r="431" spans="1:12" ht="42.75" customHeight="1" hidden="1">
      <c r="A431" s="35" t="s">
        <v>38</v>
      </c>
      <c r="B431" s="29" t="s">
        <v>683</v>
      </c>
      <c r="C431" s="29" t="s">
        <v>109</v>
      </c>
      <c r="D431" s="29" t="s">
        <v>17</v>
      </c>
      <c r="E431" s="47" t="s">
        <v>301</v>
      </c>
      <c r="F431" s="30" t="s">
        <v>39</v>
      </c>
      <c r="G431" s="31"/>
      <c r="H431" s="116"/>
      <c r="I431" s="31">
        <f t="shared" si="13"/>
        <v>0</v>
      </c>
      <c r="J431" s="31"/>
      <c r="K431" s="116"/>
      <c r="L431" s="31">
        <f t="shared" si="17"/>
        <v>0</v>
      </c>
    </row>
    <row r="432" spans="1:12" ht="25.5" customHeight="1">
      <c r="A432" s="16" t="s">
        <v>383</v>
      </c>
      <c r="B432" s="29" t="s">
        <v>683</v>
      </c>
      <c r="C432" s="29" t="s">
        <v>109</v>
      </c>
      <c r="D432" s="29" t="s">
        <v>19</v>
      </c>
      <c r="E432" s="29"/>
      <c r="F432" s="30"/>
      <c r="G432" s="31">
        <f aca="true" t="shared" si="18" ref="G432:L432">G433+G483+G491+G478+G496</f>
        <v>318316853</v>
      </c>
      <c r="H432" s="31">
        <f t="shared" si="18"/>
        <v>3726400</v>
      </c>
      <c r="I432" s="31">
        <f t="shared" si="18"/>
        <v>322043253</v>
      </c>
      <c r="J432" s="31">
        <f t="shared" si="18"/>
        <v>323114778</v>
      </c>
      <c r="K432" s="31">
        <f t="shared" si="18"/>
        <v>3726400</v>
      </c>
      <c r="L432" s="31">
        <f t="shared" si="18"/>
        <v>326841178</v>
      </c>
    </row>
    <row r="433" spans="1:12" ht="39">
      <c r="A433" s="16" t="s">
        <v>370</v>
      </c>
      <c r="B433" s="29" t="s">
        <v>683</v>
      </c>
      <c r="C433" s="29" t="s">
        <v>109</v>
      </c>
      <c r="D433" s="29" t="s">
        <v>19</v>
      </c>
      <c r="E433" s="29" t="s">
        <v>371</v>
      </c>
      <c r="F433" s="30"/>
      <c r="G433" s="31">
        <f>G434</f>
        <v>318259893</v>
      </c>
      <c r="H433" s="31">
        <f>H434</f>
        <v>3726400</v>
      </c>
      <c r="I433" s="31">
        <f t="shared" si="13"/>
        <v>321986293</v>
      </c>
      <c r="J433" s="31">
        <f>J434</f>
        <v>323057818</v>
      </c>
      <c r="K433" s="31">
        <f>K434</f>
        <v>3726400</v>
      </c>
      <c r="L433" s="31">
        <f aca="true" t="shared" si="19" ref="L433:L499">J433+K433</f>
        <v>326784218</v>
      </c>
    </row>
    <row r="434" spans="1:12" ht="51.75">
      <c r="A434" s="81" t="s">
        <v>372</v>
      </c>
      <c r="B434" s="29" t="s">
        <v>683</v>
      </c>
      <c r="C434" s="29" t="s">
        <v>109</v>
      </c>
      <c r="D434" s="29" t="s">
        <v>19</v>
      </c>
      <c r="E434" s="29" t="s">
        <v>373</v>
      </c>
      <c r="F434" s="30"/>
      <c r="G434" s="31">
        <f>G444+G435+G438+G441</f>
        <v>318259893</v>
      </c>
      <c r="H434" s="31">
        <f>H444+H435+H438</f>
        <v>3726400</v>
      </c>
      <c r="I434" s="31">
        <f>G434+H434</f>
        <v>321986293</v>
      </c>
      <c r="J434" s="31">
        <f>J444+J435+J438+J441</f>
        <v>323057818</v>
      </c>
      <c r="K434" s="31">
        <f>K444+K435+K438</f>
        <v>3726400</v>
      </c>
      <c r="L434" s="31">
        <f t="shared" si="19"/>
        <v>326784218</v>
      </c>
    </row>
    <row r="435" spans="1:12" ht="25.5">
      <c r="A435" s="10" t="s">
        <v>384</v>
      </c>
      <c r="B435" s="29" t="s">
        <v>683</v>
      </c>
      <c r="C435" s="29" t="s">
        <v>109</v>
      </c>
      <c r="D435" s="29" t="s">
        <v>19</v>
      </c>
      <c r="E435" s="29" t="s">
        <v>385</v>
      </c>
      <c r="F435" s="30"/>
      <c r="G435" s="31">
        <f>G436</f>
        <v>4135443</v>
      </c>
      <c r="H435" s="31"/>
      <c r="I435" s="31">
        <f t="shared" si="13"/>
        <v>4135443</v>
      </c>
      <c r="J435" s="31">
        <f>J436</f>
        <v>5808812</v>
      </c>
      <c r="K435" s="31"/>
      <c r="L435" s="31">
        <f t="shared" si="19"/>
        <v>5808812</v>
      </c>
    </row>
    <row r="436" spans="1:12" ht="57.75" customHeight="1">
      <c r="A436" s="10" t="s">
        <v>386</v>
      </c>
      <c r="B436" s="29" t="s">
        <v>683</v>
      </c>
      <c r="C436" s="29" t="s">
        <v>109</v>
      </c>
      <c r="D436" s="29" t="s">
        <v>19</v>
      </c>
      <c r="E436" s="29" t="s">
        <v>387</v>
      </c>
      <c r="F436" s="30"/>
      <c r="G436" s="31">
        <f>G437</f>
        <v>4135443</v>
      </c>
      <c r="H436" s="31"/>
      <c r="I436" s="31">
        <f t="shared" si="13"/>
        <v>4135443</v>
      </c>
      <c r="J436" s="31">
        <f>J437</f>
        <v>5808812</v>
      </c>
      <c r="K436" s="31"/>
      <c r="L436" s="31">
        <f t="shared" si="19"/>
        <v>5808812</v>
      </c>
    </row>
    <row r="437" spans="1:12" ht="26.25">
      <c r="A437" s="35" t="s">
        <v>38</v>
      </c>
      <c r="B437" s="29" t="s">
        <v>683</v>
      </c>
      <c r="C437" s="29" t="s">
        <v>109</v>
      </c>
      <c r="D437" s="29" t="s">
        <v>19</v>
      </c>
      <c r="E437" s="29" t="s">
        <v>387</v>
      </c>
      <c r="F437" s="30" t="s">
        <v>39</v>
      </c>
      <c r="G437" s="31">
        <v>4135443</v>
      </c>
      <c r="H437" s="31"/>
      <c r="I437" s="31">
        <f t="shared" si="13"/>
        <v>4135443</v>
      </c>
      <c r="J437" s="31">
        <v>5808812</v>
      </c>
      <c r="K437" s="31"/>
      <c r="L437" s="31">
        <f t="shared" si="19"/>
        <v>5808812</v>
      </c>
    </row>
    <row r="438" spans="1:12" ht="25.5">
      <c r="A438" s="10" t="s">
        <v>451</v>
      </c>
      <c r="B438" s="29" t="s">
        <v>683</v>
      </c>
      <c r="C438" s="29" t="s">
        <v>109</v>
      </c>
      <c r="D438" s="29" t="s">
        <v>19</v>
      </c>
      <c r="E438" s="29" t="s">
        <v>389</v>
      </c>
      <c r="F438" s="45"/>
      <c r="G438" s="31">
        <f>G439</f>
        <v>0</v>
      </c>
      <c r="H438" s="31"/>
      <c r="I438" s="31">
        <f t="shared" si="13"/>
        <v>0</v>
      </c>
      <c r="J438" s="31">
        <f>J439</f>
        <v>3400000</v>
      </c>
      <c r="K438" s="31"/>
      <c r="L438" s="31">
        <f t="shared" si="19"/>
        <v>3400000</v>
      </c>
    </row>
    <row r="439" spans="1:12" ht="38.25">
      <c r="A439" s="103" t="s">
        <v>653</v>
      </c>
      <c r="B439" s="29" t="s">
        <v>683</v>
      </c>
      <c r="C439" s="29" t="s">
        <v>109</v>
      </c>
      <c r="D439" s="29" t="s">
        <v>19</v>
      </c>
      <c r="E439" s="29" t="s">
        <v>391</v>
      </c>
      <c r="F439" s="45"/>
      <c r="G439" s="31">
        <f>G440</f>
        <v>0</v>
      </c>
      <c r="H439" s="31"/>
      <c r="I439" s="31">
        <f t="shared" si="13"/>
        <v>0</v>
      </c>
      <c r="J439" s="31">
        <f>J440</f>
        <v>3400000</v>
      </c>
      <c r="K439" s="31"/>
      <c r="L439" s="31">
        <f t="shared" si="19"/>
        <v>3400000</v>
      </c>
    </row>
    <row r="440" spans="1:12" ht="26.25">
      <c r="A440" s="35" t="s">
        <v>38</v>
      </c>
      <c r="B440" s="29" t="s">
        <v>683</v>
      </c>
      <c r="C440" s="29" t="s">
        <v>109</v>
      </c>
      <c r="D440" s="29" t="s">
        <v>19</v>
      </c>
      <c r="E440" s="29" t="s">
        <v>391</v>
      </c>
      <c r="F440" s="30" t="s">
        <v>39</v>
      </c>
      <c r="G440" s="31"/>
      <c r="H440" s="31"/>
      <c r="I440" s="31">
        <f t="shared" si="13"/>
        <v>0</v>
      </c>
      <c r="J440" s="31">
        <v>3400000</v>
      </c>
      <c r="K440" s="31"/>
      <c r="L440" s="31">
        <f t="shared" si="19"/>
        <v>3400000</v>
      </c>
    </row>
    <row r="441" spans="1:12" ht="25.5">
      <c r="A441" s="10" t="s">
        <v>392</v>
      </c>
      <c r="B441" s="29" t="s">
        <v>683</v>
      </c>
      <c r="C441" s="29" t="s">
        <v>109</v>
      </c>
      <c r="D441" s="29" t="s">
        <v>19</v>
      </c>
      <c r="E441" s="29" t="s">
        <v>393</v>
      </c>
      <c r="F441" s="45"/>
      <c r="G441" s="31">
        <f>G442</f>
        <v>4748817</v>
      </c>
      <c r="H441" s="41"/>
      <c r="I441" s="31">
        <f>G441+H441</f>
        <v>4748817</v>
      </c>
      <c r="J441" s="31">
        <f>J442</f>
        <v>4379960</v>
      </c>
      <c r="K441" s="41"/>
      <c r="L441" s="31">
        <f>J441+K441</f>
        <v>4379960</v>
      </c>
    </row>
    <row r="442" spans="1:12" ht="43.5" customHeight="1">
      <c r="A442" s="81" t="s">
        <v>394</v>
      </c>
      <c r="B442" s="29" t="s">
        <v>683</v>
      </c>
      <c r="C442" s="29" t="s">
        <v>109</v>
      </c>
      <c r="D442" s="29" t="s">
        <v>19</v>
      </c>
      <c r="E442" s="29" t="s">
        <v>655</v>
      </c>
      <c r="F442" s="30"/>
      <c r="G442" s="31">
        <f>G443</f>
        <v>4748817</v>
      </c>
      <c r="H442" s="41"/>
      <c r="I442" s="31">
        <f>G442+H442</f>
        <v>4748817</v>
      </c>
      <c r="J442" s="31">
        <f>J443</f>
        <v>4379960</v>
      </c>
      <c r="K442" s="41"/>
      <c r="L442" s="31">
        <f>J442+K442</f>
        <v>4379960</v>
      </c>
    </row>
    <row r="443" spans="1:12" ht="26.25">
      <c r="A443" s="35" t="s">
        <v>38</v>
      </c>
      <c r="B443" s="29" t="s">
        <v>683</v>
      </c>
      <c r="C443" s="29" t="s">
        <v>109</v>
      </c>
      <c r="D443" s="29" t="s">
        <v>19</v>
      </c>
      <c r="E443" s="29" t="s">
        <v>655</v>
      </c>
      <c r="F443" s="30" t="s">
        <v>39</v>
      </c>
      <c r="G443" s="31">
        <v>4748817</v>
      </c>
      <c r="H443" s="41"/>
      <c r="I443" s="31">
        <f>G443+H443</f>
        <v>4748817</v>
      </c>
      <c r="J443" s="31">
        <v>4379960</v>
      </c>
      <c r="K443" s="41"/>
      <c r="L443" s="31">
        <f>J443+K443</f>
        <v>4379960</v>
      </c>
    </row>
    <row r="444" spans="1:12" ht="38.25">
      <c r="A444" s="10" t="s">
        <v>396</v>
      </c>
      <c r="B444" s="29" t="s">
        <v>683</v>
      </c>
      <c r="C444" s="29" t="s">
        <v>109</v>
      </c>
      <c r="D444" s="29" t="s">
        <v>19</v>
      </c>
      <c r="E444" s="29" t="s">
        <v>397</v>
      </c>
      <c r="F444" s="30"/>
      <c r="G444" s="31">
        <f>G453+G461+G463+G465+G467+G470+G474+G456+G458+G476+G445+G447+G449+G451</f>
        <v>309375633</v>
      </c>
      <c r="H444" s="31">
        <f>H453+H461+H463+H465+H467+H470+H474+H456+H458+H476+H445+H447+H449+H451</f>
        <v>3726400</v>
      </c>
      <c r="I444" s="31">
        <f t="shared" si="13"/>
        <v>313102033</v>
      </c>
      <c r="J444" s="31">
        <f>J453+J461+J463+J465+J467+J470+J474+J456+J458+J476+J445+J447+J449+J451</f>
        <v>309469046</v>
      </c>
      <c r="K444" s="31">
        <f>K453+K461+K463+K465+K467+K470+K474+K456+K458+K476+K445+K447+K449+K451</f>
        <v>3726400</v>
      </c>
      <c r="L444" s="31">
        <f t="shared" si="19"/>
        <v>313195446</v>
      </c>
    </row>
    <row r="445" spans="1:12" ht="51">
      <c r="A445" s="59" t="s">
        <v>398</v>
      </c>
      <c r="B445" s="29" t="s">
        <v>683</v>
      </c>
      <c r="C445" s="29" t="s">
        <v>109</v>
      </c>
      <c r="D445" s="29" t="s">
        <v>19</v>
      </c>
      <c r="E445" s="29" t="s">
        <v>399</v>
      </c>
      <c r="F445" s="30"/>
      <c r="G445" s="31">
        <f>G446</f>
        <v>8206333</v>
      </c>
      <c r="H445" s="31"/>
      <c r="I445" s="31">
        <f t="shared" si="13"/>
        <v>8206333</v>
      </c>
      <c r="J445" s="31">
        <f>J446</f>
        <v>8454029</v>
      </c>
      <c r="K445" s="31"/>
      <c r="L445" s="31">
        <f t="shared" si="19"/>
        <v>8454029</v>
      </c>
    </row>
    <row r="446" spans="1:12" ht="26.25">
      <c r="A446" s="35" t="s">
        <v>38</v>
      </c>
      <c r="B446" s="29" t="s">
        <v>683</v>
      </c>
      <c r="C446" s="29" t="s">
        <v>109</v>
      </c>
      <c r="D446" s="29" t="s">
        <v>19</v>
      </c>
      <c r="E446" s="29" t="s">
        <v>399</v>
      </c>
      <c r="F446" s="30" t="s">
        <v>39</v>
      </c>
      <c r="G446" s="31">
        <v>8206333</v>
      </c>
      <c r="H446" s="31"/>
      <c r="I446" s="31">
        <f t="shared" si="13"/>
        <v>8206333</v>
      </c>
      <c r="J446" s="31">
        <v>8454029</v>
      </c>
      <c r="K446" s="31"/>
      <c r="L446" s="31">
        <f t="shared" si="19"/>
        <v>8454029</v>
      </c>
    </row>
    <row r="447" spans="1:12" ht="76.5">
      <c r="A447" s="10" t="s">
        <v>400</v>
      </c>
      <c r="B447" s="29" t="s">
        <v>683</v>
      </c>
      <c r="C447" s="29" t="s">
        <v>109</v>
      </c>
      <c r="D447" s="29" t="s">
        <v>19</v>
      </c>
      <c r="E447" s="29" t="s">
        <v>401</v>
      </c>
      <c r="F447" s="30"/>
      <c r="G447" s="31">
        <f>G448</f>
        <v>16710782</v>
      </c>
      <c r="H447" s="31"/>
      <c r="I447" s="31">
        <f t="shared" si="13"/>
        <v>16710782</v>
      </c>
      <c r="J447" s="31">
        <f>J448</f>
        <v>16556499</v>
      </c>
      <c r="K447" s="31"/>
      <c r="L447" s="31">
        <f t="shared" si="19"/>
        <v>16556499</v>
      </c>
    </row>
    <row r="448" spans="1:12" ht="64.5">
      <c r="A448" s="35" t="s">
        <v>26</v>
      </c>
      <c r="B448" s="29" t="s">
        <v>683</v>
      </c>
      <c r="C448" s="29" t="s">
        <v>109</v>
      </c>
      <c r="D448" s="29" t="s">
        <v>19</v>
      </c>
      <c r="E448" s="29" t="s">
        <v>401</v>
      </c>
      <c r="F448" s="30" t="s">
        <v>27</v>
      </c>
      <c r="G448" s="31">
        <f>16873920-163138</f>
        <v>16710782</v>
      </c>
      <c r="H448" s="31"/>
      <c r="I448" s="31">
        <f t="shared" si="13"/>
        <v>16710782</v>
      </c>
      <c r="J448" s="31">
        <f>16873920-317421</f>
        <v>16556499</v>
      </c>
      <c r="K448" s="31"/>
      <c r="L448" s="31">
        <f t="shared" si="19"/>
        <v>16556499</v>
      </c>
    </row>
    <row r="449" spans="1:12" ht="51" hidden="1">
      <c r="A449" s="59" t="s">
        <v>402</v>
      </c>
      <c r="B449" s="29" t="s">
        <v>683</v>
      </c>
      <c r="C449" s="29" t="s">
        <v>109</v>
      </c>
      <c r="D449" s="29" t="s">
        <v>19</v>
      </c>
      <c r="E449" s="29" t="s">
        <v>403</v>
      </c>
      <c r="F449" s="30"/>
      <c r="G449" s="31">
        <f>G450</f>
        <v>0</v>
      </c>
      <c r="H449" s="31"/>
      <c r="I449" s="31">
        <f t="shared" si="13"/>
        <v>0</v>
      </c>
      <c r="J449" s="31">
        <f>J450</f>
        <v>0</v>
      </c>
      <c r="K449" s="31"/>
      <c r="L449" s="31">
        <f t="shared" si="19"/>
        <v>0</v>
      </c>
    </row>
    <row r="450" spans="1:12" ht="26.25" hidden="1">
      <c r="A450" s="35" t="s">
        <v>38</v>
      </c>
      <c r="B450" s="29" t="s">
        <v>683</v>
      </c>
      <c r="C450" s="29" t="s">
        <v>109</v>
      </c>
      <c r="D450" s="29" t="s">
        <v>19</v>
      </c>
      <c r="E450" s="29" t="s">
        <v>403</v>
      </c>
      <c r="F450" s="30" t="s">
        <v>39</v>
      </c>
      <c r="G450" s="31"/>
      <c r="H450" s="31"/>
      <c r="I450" s="31">
        <f t="shared" si="13"/>
        <v>0</v>
      </c>
      <c r="J450" s="31"/>
      <c r="K450" s="31"/>
      <c r="L450" s="31">
        <f t="shared" si="19"/>
        <v>0</v>
      </c>
    </row>
    <row r="451" spans="1:12" ht="38.25" hidden="1">
      <c r="A451" s="59" t="s">
        <v>404</v>
      </c>
      <c r="B451" s="29" t="s">
        <v>683</v>
      </c>
      <c r="C451" s="29" t="s">
        <v>109</v>
      </c>
      <c r="D451" s="29" t="s">
        <v>19</v>
      </c>
      <c r="E451" s="29" t="s">
        <v>405</v>
      </c>
      <c r="F451" s="30"/>
      <c r="G451" s="31">
        <f>G452</f>
        <v>0</v>
      </c>
      <c r="H451" s="31"/>
      <c r="I451" s="31">
        <f t="shared" si="13"/>
        <v>0</v>
      </c>
      <c r="J451" s="31">
        <f>J452</f>
        <v>0</v>
      </c>
      <c r="K451" s="31"/>
      <c r="L451" s="31">
        <f t="shared" si="19"/>
        <v>0</v>
      </c>
    </row>
    <row r="452" spans="1:12" ht="26.25" hidden="1">
      <c r="A452" s="35" t="s">
        <v>38</v>
      </c>
      <c r="B452" s="29" t="s">
        <v>683</v>
      </c>
      <c r="C452" s="29" t="s">
        <v>109</v>
      </c>
      <c r="D452" s="29" t="s">
        <v>19</v>
      </c>
      <c r="E452" s="29" t="s">
        <v>405</v>
      </c>
      <c r="F452" s="30" t="s">
        <v>39</v>
      </c>
      <c r="G452" s="31"/>
      <c r="H452" s="31"/>
      <c r="I452" s="31">
        <f t="shared" si="13"/>
        <v>0</v>
      </c>
      <c r="J452" s="31"/>
      <c r="K452" s="31"/>
      <c r="L452" s="31">
        <f t="shared" si="19"/>
        <v>0</v>
      </c>
    </row>
    <row r="453" spans="1:12" ht="102.75">
      <c r="A453" s="118" t="s">
        <v>406</v>
      </c>
      <c r="B453" s="29" t="s">
        <v>683</v>
      </c>
      <c r="C453" s="29" t="s">
        <v>109</v>
      </c>
      <c r="D453" s="29" t="s">
        <v>19</v>
      </c>
      <c r="E453" s="29" t="s">
        <v>407</v>
      </c>
      <c r="F453" s="30"/>
      <c r="G453" s="31">
        <f>G454+G455</f>
        <v>257764367</v>
      </c>
      <c r="H453" s="116"/>
      <c r="I453" s="31">
        <f t="shared" si="13"/>
        <v>257764367</v>
      </c>
      <c r="J453" s="31">
        <f>J454+J455</f>
        <v>257764367</v>
      </c>
      <c r="K453" s="116"/>
      <c r="L453" s="31">
        <f t="shared" si="19"/>
        <v>257764367</v>
      </c>
    </row>
    <row r="454" spans="1:12" ht="64.5">
      <c r="A454" s="35" t="s">
        <v>26</v>
      </c>
      <c r="B454" s="29" t="s">
        <v>683</v>
      </c>
      <c r="C454" s="29" t="s">
        <v>109</v>
      </c>
      <c r="D454" s="29" t="s">
        <v>19</v>
      </c>
      <c r="E454" s="29" t="s">
        <v>407</v>
      </c>
      <c r="F454" s="30" t="s">
        <v>27</v>
      </c>
      <c r="G454" s="31">
        <v>250857973</v>
      </c>
      <c r="H454" s="116"/>
      <c r="I454" s="31">
        <f t="shared" si="13"/>
        <v>250857973</v>
      </c>
      <c r="J454" s="31">
        <v>250857973</v>
      </c>
      <c r="K454" s="116"/>
      <c r="L454" s="31">
        <f t="shared" si="19"/>
        <v>250857973</v>
      </c>
    </row>
    <row r="455" spans="1:12" ht="26.25">
      <c r="A455" s="35" t="s">
        <v>38</v>
      </c>
      <c r="B455" s="29" t="s">
        <v>683</v>
      </c>
      <c r="C455" s="29" t="s">
        <v>109</v>
      </c>
      <c r="D455" s="29" t="s">
        <v>19</v>
      </c>
      <c r="E455" s="29" t="s">
        <v>407</v>
      </c>
      <c r="F455" s="30" t="s">
        <v>39</v>
      </c>
      <c r="G455" s="31">
        <f>742224+280800+5741970+141400</f>
        <v>6906394</v>
      </c>
      <c r="H455" s="116"/>
      <c r="I455" s="31">
        <f t="shared" si="13"/>
        <v>6906394</v>
      </c>
      <c r="J455" s="31">
        <f>742224+280800+5741970+141400</f>
        <v>6906394</v>
      </c>
      <c r="K455" s="116"/>
      <c r="L455" s="31">
        <f t="shared" si="19"/>
        <v>6906394</v>
      </c>
    </row>
    <row r="456" spans="1:12" ht="26.25" hidden="1">
      <c r="A456" s="118" t="s">
        <v>408</v>
      </c>
      <c r="B456" s="29" t="s">
        <v>683</v>
      </c>
      <c r="C456" s="29" t="s">
        <v>109</v>
      </c>
      <c r="D456" s="29" t="s">
        <v>19</v>
      </c>
      <c r="E456" s="29" t="s">
        <v>409</v>
      </c>
      <c r="F456" s="30"/>
      <c r="G456" s="31">
        <f>G457</f>
        <v>0</v>
      </c>
      <c r="H456" s="116"/>
      <c r="I456" s="31">
        <f t="shared" si="13"/>
        <v>0</v>
      </c>
      <c r="J456" s="31">
        <f>J457</f>
        <v>0</v>
      </c>
      <c r="K456" s="116"/>
      <c r="L456" s="31">
        <f t="shared" si="19"/>
        <v>0</v>
      </c>
    </row>
    <row r="457" spans="1:12" ht="26.25" hidden="1">
      <c r="A457" s="35" t="s">
        <v>38</v>
      </c>
      <c r="B457" s="29" t="s">
        <v>683</v>
      </c>
      <c r="C457" s="29" t="s">
        <v>109</v>
      </c>
      <c r="D457" s="29" t="s">
        <v>19</v>
      </c>
      <c r="E457" s="29" t="s">
        <v>409</v>
      </c>
      <c r="F457" s="30" t="s">
        <v>39</v>
      </c>
      <c r="G457" s="31"/>
      <c r="H457" s="116"/>
      <c r="I457" s="31">
        <f t="shared" si="13"/>
        <v>0</v>
      </c>
      <c r="J457" s="31"/>
      <c r="K457" s="116"/>
      <c r="L457" s="31">
        <f t="shared" si="19"/>
        <v>0</v>
      </c>
    </row>
    <row r="458" spans="1:12" ht="26.25" hidden="1">
      <c r="A458" s="118" t="s">
        <v>410</v>
      </c>
      <c r="B458" s="29" t="s">
        <v>683</v>
      </c>
      <c r="C458" s="29" t="s">
        <v>109</v>
      </c>
      <c r="D458" s="29" t="s">
        <v>19</v>
      </c>
      <c r="E458" s="29" t="s">
        <v>411</v>
      </c>
      <c r="F458" s="30"/>
      <c r="G458" s="31">
        <f>G459</f>
        <v>0</v>
      </c>
      <c r="H458" s="116"/>
      <c r="I458" s="31">
        <f t="shared" si="13"/>
        <v>0</v>
      </c>
      <c r="J458" s="31">
        <f>J459</f>
        <v>0</v>
      </c>
      <c r="K458" s="116"/>
      <c r="L458" s="31">
        <f t="shared" si="19"/>
        <v>0</v>
      </c>
    </row>
    <row r="459" spans="1:12" ht="26.25" hidden="1">
      <c r="A459" s="35" t="s">
        <v>38</v>
      </c>
      <c r="B459" s="29" t="s">
        <v>683</v>
      </c>
      <c r="C459" s="29" t="s">
        <v>109</v>
      </c>
      <c r="D459" s="29" t="s">
        <v>19</v>
      </c>
      <c r="E459" s="29" t="s">
        <v>411</v>
      </c>
      <c r="F459" s="30" t="s">
        <v>39</v>
      </c>
      <c r="G459" s="31"/>
      <c r="H459" s="116"/>
      <c r="I459" s="31">
        <f t="shared" si="13"/>
        <v>0</v>
      </c>
      <c r="J459" s="31"/>
      <c r="K459" s="116"/>
      <c r="L459" s="31">
        <f t="shared" si="19"/>
        <v>0</v>
      </c>
    </row>
    <row r="460" spans="1:12" ht="26.25" hidden="1">
      <c r="A460" s="35" t="s">
        <v>38</v>
      </c>
      <c r="B460" s="29" t="s">
        <v>683</v>
      </c>
      <c r="C460" s="29" t="s">
        <v>109</v>
      </c>
      <c r="D460" s="29" t="s">
        <v>19</v>
      </c>
      <c r="E460" s="29" t="s">
        <v>694</v>
      </c>
      <c r="F460" s="30" t="s">
        <v>39</v>
      </c>
      <c r="G460" s="31"/>
      <c r="H460" s="116"/>
      <c r="I460" s="31">
        <f t="shared" si="13"/>
        <v>0</v>
      </c>
      <c r="J460" s="31"/>
      <c r="K460" s="116"/>
      <c r="L460" s="31">
        <f t="shared" si="19"/>
        <v>0</v>
      </c>
    </row>
    <row r="461" spans="1:12" ht="24.75" customHeight="1">
      <c r="A461" s="59" t="s">
        <v>695</v>
      </c>
      <c r="B461" s="29" t="s">
        <v>683</v>
      </c>
      <c r="C461" s="29" t="s">
        <v>109</v>
      </c>
      <c r="D461" s="29" t="s">
        <v>19</v>
      </c>
      <c r="E461" s="29" t="s">
        <v>413</v>
      </c>
      <c r="F461" s="30"/>
      <c r="G461" s="31">
        <f>G462</f>
        <v>1085644</v>
      </c>
      <c r="H461" s="116"/>
      <c r="I461" s="31">
        <f t="shared" si="13"/>
        <v>1085644</v>
      </c>
      <c r="J461" s="31">
        <f>J462</f>
        <v>1085644</v>
      </c>
      <c r="K461" s="116"/>
      <c r="L461" s="31">
        <f t="shared" si="19"/>
        <v>1085644</v>
      </c>
    </row>
    <row r="462" spans="1:12" ht="26.25">
      <c r="A462" s="35" t="s">
        <v>38</v>
      </c>
      <c r="B462" s="29" t="s">
        <v>683</v>
      </c>
      <c r="C462" s="29" t="s">
        <v>109</v>
      </c>
      <c r="D462" s="29" t="s">
        <v>19</v>
      </c>
      <c r="E462" s="29" t="s">
        <v>413</v>
      </c>
      <c r="F462" s="30" t="s">
        <v>39</v>
      </c>
      <c r="G462" s="31">
        <v>1085644</v>
      </c>
      <c r="H462" s="116"/>
      <c r="I462" s="31">
        <f t="shared" si="13"/>
        <v>1085644</v>
      </c>
      <c r="J462" s="31">
        <v>1085644</v>
      </c>
      <c r="K462" s="116"/>
      <c r="L462" s="31">
        <f t="shared" si="19"/>
        <v>1085644</v>
      </c>
    </row>
    <row r="463" spans="1:12" ht="51">
      <c r="A463" s="59" t="s">
        <v>414</v>
      </c>
      <c r="B463" s="29" t="s">
        <v>683</v>
      </c>
      <c r="C463" s="29" t="s">
        <v>109</v>
      </c>
      <c r="D463" s="29" t="s">
        <v>19</v>
      </c>
      <c r="E463" s="29" t="s">
        <v>415</v>
      </c>
      <c r="F463" s="30"/>
      <c r="G463" s="31">
        <f>G464</f>
        <v>1670986</v>
      </c>
      <c r="H463" s="116"/>
      <c r="I463" s="31">
        <f t="shared" si="13"/>
        <v>1670986</v>
      </c>
      <c r="J463" s="31">
        <f>J464</f>
        <v>1670986</v>
      </c>
      <c r="K463" s="116"/>
      <c r="L463" s="31">
        <f t="shared" si="19"/>
        <v>1670986</v>
      </c>
    </row>
    <row r="464" spans="1:12" ht="26.25">
      <c r="A464" s="35" t="s">
        <v>38</v>
      </c>
      <c r="B464" s="29" t="s">
        <v>683</v>
      </c>
      <c r="C464" s="29" t="s">
        <v>109</v>
      </c>
      <c r="D464" s="29" t="s">
        <v>19</v>
      </c>
      <c r="E464" s="29" t="s">
        <v>415</v>
      </c>
      <c r="F464" s="30" t="s">
        <v>39</v>
      </c>
      <c r="G464" s="31">
        <v>1670986</v>
      </c>
      <c r="H464" s="116"/>
      <c r="I464" s="31">
        <f t="shared" si="13"/>
        <v>1670986</v>
      </c>
      <c r="J464" s="31">
        <v>1670986</v>
      </c>
      <c r="K464" s="116"/>
      <c r="L464" s="31">
        <f t="shared" si="19"/>
        <v>1670986</v>
      </c>
    </row>
    <row r="465" spans="1:12" ht="64.5">
      <c r="A465" s="118" t="s">
        <v>416</v>
      </c>
      <c r="B465" s="29" t="s">
        <v>683</v>
      </c>
      <c r="C465" s="29" t="s">
        <v>109</v>
      </c>
      <c r="D465" s="29" t="s">
        <v>19</v>
      </c>
      <c r="E465" s="29" t="s">
        <v>417</v>
      </c>
      <c r="F465" s="30"/>
      <c r="G465" s="31">
        <f>G466</f>
        <v>737089</v>
      </c>
      <c r="H465" s="116"/>
      <c r="I465" s="31">
        <f t="shared" si="13"/>
        <v>737089</v>
      </c>
      <c r="J465" s="31">
        <f>J466</f>
        <v>737089</v>
      </c>
      <c r="K465" s="116"/>
      <c r="L465" s="31">
        <f t="shared" si="19"/>
        <v>737089</v>
      </c>
    </row>
    <row r="466" spans="1:12" ht="26.25">
      <c r="A466" s="35" t="s">
        <v>38</v>
      </c>
      <c r="B466" s="29" t="s">
        <v>683</v>
      </c>
      <c r="C466" s="29" t="s">
        <v>109</v>
      </c>
      <c r="D466" s="29" t="s">
        <v>19</v>
      </c>
      <c r="E466" s="29" t="s">
        <v>417</v>
      </c>
      <c r="F466" s="30" t="s">
        <v>39</v>
      </c>
      <c r="G466" s="31">
        <v>737089</v>
      </c>
      <c r="H466" s="116"/>
      <c r="I466" s="31">
        <f t="shared" si="13"/>
        <v>737089</v>
      </c>
      <c r="J466" s="31">
        <v>737089</v>
      </c>
      <c r="K466" s="116"/>
      <c r="L466" s="31">
        <f t="shared" si="19"/>
        <v>737089</v>
      </c>
    </row>
    <row r="467" spans="1:12" ht="27" customHeight="1">
      <c r="A467" s="118" t="s">
        <v>418</v>
      </c>
      <c r="B467" s="29" t="s">
        <v>683</v>
      </c>
      <c r="C467" s="29" t="s">
        <v>109</v>
      </c>
      <c r="D467" s="29" t="s">
        <v>19</v>
      </c>
      <c r="E467" s="29" t="s">
        <v>419</v>
      </c>
      <c r="F467" s="30"/>
      <c r="G467" s="31">
        <f>G468+G469</f>
        <v>4929639</v>
      </c>
      <c r="H467" s="116"/>
      <c r="I467" s="31">
        <f t="shared" si="13"/>
        <v>4929639</v>
      </c>
      <c r="J467" s="31">
        <f>J468+J469</f>
        <v>4929639</v>
      </c>
      <c r="K467" s="116"/>
      <c r="L467" s="31">
        <f t="shared" si="19"/>
        <v>4929639</v>
      </c>
    </row>
    <row r="468" spans="1:12" ht="25.5" customHeight="1">
      <c r="A468" s="35" t="s">
        <v>38</v>
      </c>
      <c r="B468" s="29" t="s">
        <v>683</v>
      </c>
      <c r="C468" s="29" t="s">
        <v>109</v>
      </c>
      <c r="D468" s="29" t="s">
        <v>19</v>
      </c>
      <c r="E468" s="29" t="s">
        <v>419</v>
      </c>
      <c r="F468" s="30" t="s">
        <v>39</v>
      </c>
      <c r="G468" s="31">
        <v>4929639</v>
      </c>
      <c r="H468" s="116"/>
      <c r="I468" s="31">
        <f t="shared" si="13"/>
        <v>4929639</v>
      </c>
      <c r="J468" s="31">
        <v>4929639</v>
      </c>
      <c r="K468" s="116"/>
      <c r="L468" s="31">
        <f t="shared" si="19"/>
        <v>4929639</v>
      </c>
    </row>
    <row r="469" spans="1:12" ht="15">
      <c r="A469" s="88" t="s">
        <v>211</v>
      </c>
      <c r="B469" s="29" t="s">
        <v>683</v>
      </c>
      <c r="C469" s="29" t="s">
        <v>109</v>
      </c>
      <c r="D469" s="29" t="s">
        <v>19</v>
      </c>
      <c r="E469" s="29" t="s">
        <v>419</v>
      </c>
      <c r="F469" s="30" t="s">
        <v>212</v>
      </c>
      <c r="G469" s="31"/>
      <c r="H469" s="116"/>
      <c r="I469" s="31">
        <f t="shared" si="13"/>
        <v>0</v>
      </c>
      <c r="J469" s="31"/>
      <c r="K469" s="116"/>
      <c r="L469" s="31">
        <f t="shared" si="19"/>
        <v>0</v>
      </c>
    </row>
    <row r="470" spans="1:12" ht="25.5">
      <c r="A470" s="10" t="s">
        <v>201</v>
      </c>
      <c r="B470" s="29" t="s">
        <v>683</v>
      </c>
      <c r="C470" s="29" t="s">
        <v>109</v>
      </c>
      <c r="D470" s="29" t="s">
        <v>19</v>
      </c>
      <c r="E470" s="29" t="s">
        <v>420</v>
      </c>
      <c r="F470" s="30"/>
      <c r="G470" s="31">
        <f>G471+G473+G472</f>
        <v>18170793</v>
      </c>
      <c r="H470" s="31">
        <f>H471+H473+H472</f>
        <v>3726400</v>
      </c>
      <c r="I470" s="31">
        <f t="shared" si="13"/>
        <v>21897193</v>
      </c>
      <c r="J470" s="31">
        <f>J471+J473+J472</f>
        <v>18170793</v>
      </c>
      <c r="K470" s="31">
        <f>K471+K473+K472</f>
        <v>3726400</v>
      </c>
      <c r="L470" s="31">
        <f t="shared" si="19"/>
        <v>21897193</v>
      </c>
    </row>
    <row r="471" spans="1:12" ht="25.5" customHeight="1">
      <c r="A471" s="35" t="s">
        <v>38</v>
      </c>
      <c r="B471" s="29" t="s">
        <v>683</v>
      </c>
      <c r="C471" s="29" t="s">
        <v>109</v>
      </c>
      <c r="D471" s="29" t="s">
        <v>19</v>
      </c>
      <c r="E471" s="29" t="s">
        <v>420</v>
      </c>
      <c r="F471" s="30" t="s">
        <v>39</v>
      </c>
      <c r="G471" s="31">
        <f>20333773-3726400</f>
        <v>16607373</v>
      </c>
      <c r="H471" s="125">
        <v>3726400</v>
      </c>
      <c r="I471" s="31">
        <f aca="true" t="shared" si="20" ref="I471:I539">G471+H471</f>
        <v>20333773</v>
      </c>
      <c r="J471" s="31">
        <f>20333773-3726400</f>
        <v>16607373</v>
      </c>
      <c r="K471" s="125">
        <v>3726400</v>
      </c>
      <c r="L471" s="31">
        <f t="shared" si="19"/>
        <v>20333773</v>
      </c>
    </row>
    <row r="472" spans="1:12" ht="24.75" customHeight="1" hidden="1">
      <c r="A472" s="16" t="s">
        <v>271</v>
      </c>
      <c r="B472" s="29" t="s">
        <v>683</v>
      </c>
      <c r="C472" s="29" t="s">
        <v>109</v>
      </c>
      <c r="D472" s="29" t="s">
        <v>19</v>
      </c>
      <c r="E472" s="29" t="s">
        <v>420</v>
      </c>
      <c r="F472" s="30" t="s">
        <v>272</v>
      </c>
      <c r="G472" s="31"/>
      <c r="H472" s="125"/>
      <c r="I472" s="31">
        <f t="shared" si="20"/>
        <v>0</v>
      </c>
      <c r="J472" s="31"/>
      <c r="K472" s="125"/>
      <c r="L472" s="31">
        <f t="shared" si="19"/>
        <v>0</v>
      </c>
    </row>
    <row r="473" spans="1:12" ht="15">
      <c r="A473" s="10" t="s">
        <v>84</v>
      </c>
      <c r="B473" s="29" t="s">
        <v>683</v>
      </c>
      <c r="C473" s="29" t="s">
        <v>109</v>
      </c>
      <c r="D473" s="29" t="s">
        <v>19</v>
      </c>
      <c r="E473" s="29" t="s">
        <v>420</v>
      </c>
      <c r="F473" s="30" t="s">
        <v>85</v>
      </c>
      <c r="G473" s="31">
        <v>1563420</v>
      </c>
      <c r="H473" s="116"/>
      <c r="I473" s="31">
        <f t="shared" si="20"/>
        <v>1563420</v>
      </c>
      <c r="J473" s="31">
        <v>1563420</v>
      </c>
      <c r="K473" s="116"/>
      <c r="L473" s="31">
        <f t="shared" si="19"/>
        <v>1563420</v>
      </c>
    </row>
    <row r="474" spans="1:12" ht="15">
      <c r="A474" s="35" t="s">
        <v>421</v>
      </c>
      <c r="B474" s="29" t="s">
        <v>683</v>
      </c>
      <c r="C474" s="29" t="s">
        <v>109</v>
      </c>
      <c r="D474" s="29" t="s">
        <v>19</v>
      </c>
      <c r="E474" s="29" t="s">
        <v>422</v>
      </c>
      <c r="F474" s="30"/>
      <c r="G474" s="31">
        <f>G475</f>
        <v>100000</v>
      </c>
      <c r="H474" s="116"/>
      <c r="I474" s="31">
        <f t="shared" si="20"/>
        <v>100000</v>
      </c>
      <c r="J474" s="31">
        <f>J475</f>
        <v>100000</v>
      </c>
      <c r="K474" s="116"/>
      <c r="L474" s="31">
        <f t="shared" si="19"/>
        <v>100000</v>
      </c>
    </row>
    <row r="475" spans="1:12" ht="25.5" customHeight="1">
      <c r="A475" s="35" t="s">
        <v>38</v>
      </c>
      <c r="B475" s="29" t="s">
        <v>683</v>
      </c>
      <c r="C475" s="29" t="s">
        <v>109</v>
      </c>
      <c r="D475" s="29" t="s">
        <v>19</v>
      </c>
      <c r="E475" s="29" t="s">
        <v>422</v>
      </c>
      <c r="F475" s="30" t="s">
        <v>212</v>
      </c>
      <c r="G475" s="31">
        <v>100000</v>
      </c>
      <c r="H475" s="116"/>
      <c r="I475" s="31">
        <f t="shared" si="20"/>
        <v>100000</v>
      </c>
      <c r="J475" s="31">
        <v>100000</v>
      </c>
      <c r="K475" s="116"/>
      <c r="L475" s="31">
        <f t="shared" si="19"/>
        <v>100000</v>
      </c>
    </row>
    <row r="476" spans="1:12" ht="38.25" hidden="1">
      <c r="A476" s="10" t="s">
        <v>236</v>
      </c>
      <c r="B476" s="29" t="s">
        <v>683</v>
      </c>
      <c r="C476" s="29" t="s">
        <v>109</v>
      </c>
      <c r="D476" s="29" t="s">
        <v>19</v>
      </c>
      <c r="E476" s="29" t="s">
        <v>423</v>
      </c>
      <c r="F476" s="30"/>
      <c r="G476" s="31">
        <f>G477</f>
        <v>0</v>
      </c>
      <c r="H476" s="116"/>
      <c r="I476" s="31">
        <f t="shared" si="20"/>
        <v>0</v>
      </c>
      <c r="J476" s="31">
        <f>J477</f>
        <v>0</v>
      </c>
      <c r="K476" s="116"/>
      <c r="L476" s="31">
        <f t="shared" si="19"/>
        <v>0</v>
      </c>
    </row>
    <row r="477" spans="1:12" ht="26.25" hidden="1">
      <c r="A477" s="35" t="s">
        <v>38</v>
      </c>
      <c r="B477" s="29" t="s">
        <v>683</v>
      </c>
      <c r="C477" s="29" t="s">
        <v>109</v>
      </c>
      <c r="D477" s="29" t="s">
        <v>19</v>
      </c>
      <c r="E477" s="29" t="s">
        <v>423</v>
      </c>
      <c r="F477" s="30" t="s">
        <v>39</v>
      </c>
      <c r="G477" s="31"/>
      <c r="H477" s="116"/>
      <c r="I477" s="31">
        <f t="shared" si="20"/>
        <v>0</v>
      </c>
      <c r="J477" s="31"/>
      <c r="K477" s="116"/>
      <c r="L477" s="31">
        <f t="shared" si="19"/>
        <v>0</v>
      </c>
    </row>
    <row r="478" spans="1:12" ht="51.75" hidden="1">
      <c r="A478" s="75" t="s">
        <v>379</v>
      </c>
      <c r="B478" s="29" t="s">
        <v>683</v>
      </c>
      <c r="C478" s="29" t="s">
        <v>109</v>
      </c>
      <c r="D478" s="29" t="s">
        <v>19</v>
      </c>
      <c r="E478" s="50" t="s">
        <v>295</v>
      </c>
      <c r="F478" s="30"/>
      <c r="G478" s="31">
        <f>G479</f>
        <v>0</v>
      </c>
      <c r="H478" s="116"/>
      <c r="I478" s="31">
        <f t="shared" si="20"/>
        <v>0</v>
      </c>
      <c r="J478" s="31">
        <f>J479</f>
        <v>0</v>
      </c>
      <c r="K478" s="116"/>
      <c r="L478" s="31">
        <f t="shared" si="19"/>
        <v>0</v>
      </c>
    </row>
    <row r="479" spans="1:12" ht="77.25" hidden="1">
      <c r="A479" s="73" t="s">
        <v>380</v>
      </c>
      <c r="B479" s="29" t="s">
        <v>683</v>
      </c>
      <c r="C479" s="29" t="s">
        <v>109</v>
      </c>
      <c r="D479" s="29" t="s">
        <v>19</v>
      </c>
      <c r="E479" s="50" t="s">
        <v>381</v>
      </c>
      <c r="F479" s="30"/>
      <c r="G479" s="31">
        <f>G480</f>
        <v>0</v>
      </c>
      <c r="H479" s="116"/>
      <c r="I479" s="31">
        <f t="shared" si="20"/>
        <v>0</v>
      </c>
      <c r="J479" s="31">
        <f>J480</f>
        <v>0</v>
      </c>
      <c r="K479" s="116"/>
      <c r="L479" s="31">
        <f t="shared" si="19"/>
        <v>0</v>
      </c>
    </row>
    <row r="480" spans="1:12" ht="28.5" customHeight="1" hidden="1">
      <c r="A480" s="10" t="s">
        <v>382</v>
      </c>
      <c r="B480" s="29" t="s">
        <v>683</v>
      </c>
      <c r="C480" s="29" t="s">
        <v>109</v>
      </c>
      <c r="D480" s="29" t="s">
        <v>19</v>
      </c>
      <c r="E480" s="47" t="s">
        <v>299</v>
      </c>
      <c r="F480" s="30"/>
      <c r="G480" s="31">
        <f>G481</f>
        <v>0</v>
      </c>
      <c r="H480" s="116"/>
      <c r="I480" s="31">
        <f t="shared" si="20"/>
        <v>0</v>
      </c>
      <c r="J480" s="31">
        <f>J481</f>
        <v>0</v>
      </c>
      <c r="K480" s="116"/>
      <c r="L480" s="31">
        <f t="shared" si="19"/>
        <v>0</v>
      </c>
    </row>
    <row r="481" spans="1:12" ht="18.75" customHeight="1" hidden="1">
      <c r="A481" s="80" t="s">
        <v>300</v>
      </c>
      <c r="B481" s="29" t="s">
        <v>683</v>
      </c>
      <c r="C481" s="29" t="s">
        <v>109</v>
      </c>
      <c r="D481" s="29" t="s">
        <v>19</v>
      </c>
      <c r="E481" s="47" t="s">
        <v>301</v>
      </c>
      <c r="F481" s="30"/>
      <c r="G481" s="31">
        <f>G482</f>
        <v>0</v>
      </c>
      <c r="H481" s="116"/>
      <c r="I481" s="31">
        <f>G481+H481</f>
        <v>0</v>
      </c>
      <c r="J481" s="31">
        <f>J482</f>
        <v>0</v>
      </c>
      <c r="K481" s="116"/>
      <c r="L481" s="31">
        <f t="shared" si="19"/>
        <v>0</v>
      </c>
    </row>
    <row r="482" spans="1:12" ht="26.25" hidden="1">
      <c r="A482" s="35" t="s">
        <v>38</v>
      </c>
      <c r="B482" s="29" t="s">
        <v>683</v>
      </c>
      <c r="C482" s="29" t="s">
        <v>109</v>
      </c>
      <c r="D482" s="29" t="s">
        <v>19</v>
      </c>
      <c r="E482" s="47" t="s">
        <v>301</v>
      </c>
      <c r="F482" s="30" t="s">
        <v>39</v>
      </c>
      <c r="G482" s="31"/>
      <c r="H482" s="116"/>
      <c r="I482" s="31">
        <f>G482+H482</f>
        <v>0</v>
      </c>
      <c r="J482" s="31"/>
      <c r="K482" s="116"/>
      <c r="L482" s="31">
        <f t="shared" si="19"/>
        <v>0</v>
      </c>
    </row>
    <row r="483" spans="1:12" ht="63.75">
      <c r="A483" s="62" t="s">
        <v>157</v>
      </c>
      <c r="B483" s="29" t="s">
        <v>683</v>
      </c>
      <c r="C483" s="29" t="s">
        <v>109</v>
      </c>
      <c r="D483" s="29" t="s">
        <v>19</v>
      </c>
      <c r="E483" s="50" t="s">
        <v>158</v>
      </c>
      <c r="F483" s="30"/>
      <c r="G483" s="31">
        <f>G484</f>
        <v>36960</v>
      </c>
      <c r="H483" s="116"/>
      <c r="I483" s="31">
        <f t="shared" si="20"/>
        <v>36960</v>
      </c>
      <c r="J483" s="31">
        <f>J484</f>
        <v>36960</v>
      </c>
      <c r="K483" s="116"/>
      <c r="L483" s="31">
        <f t="shared" si="19"/>
        <v>36960</v>
      </c>
    </row>
    <row r="484" spans="1:12" ht="89.25">
      <c r="A484" s="67" t="s">
        <v>159</v>
      </c>
      <c r="B484" s="29" t="s">
        <v>683</v>
      </c>
      <c r="C484" s="29" t="s">
        <v>109</v>
      </c>
      <c r="D484" s="29" t="s">
        <v>19</v>
      </c>
      <c r="E484" s="50" t="s">
        <v>160</v>
      </c>
      <c r="F484" s="30"/>
      <c r="G484" s="31">
        <f>G485+G488</f>
        <v>36960</v>
      </c>
      <c r="H484" s="116"/>
      <c r="I484" s="31">
        <f t="shared" si="20"/>
        <v>36960</v>
      </c>
      <c r="J484" s="31">
        <f>J485+J488</f>
        <v>36960</v>
      </c>
      <c r="K484" s="116"/>
      <c r="L484" s="31">
        <f t="shared" si="19"/>
        <v>36960</v>
      </c>
    </row>
    <row r="485" spans="1:12" ht="38.25" hidden="1">
      <c r="A485" s="74" t="s">
        <v>161</v>
      </c>
      <c r="B485" s="29" t="s">
        <v>683</v>
      </c>
      <c r="C485" s="29" t="s">
        <v>109</v>
      </c>
      <c r="D485" s="29" t="s">
        <v>19</v>
      </c>
      <c r="E485" s="50" t="s">
        <v>162</v>
      </c>
      <c r="F485" s="30"/>
      <c r="G485" s="31">
        <f>G486</f>
        <v>0</v>
      </c>
      <c r="H485" s="116"/>
      <c r="I485" s="31">
        <f t="shared" si="20"/>
        <v>0</v>
      </c>
      <c r="J485" s="31">
        <f>J486</f>
        <v>0</v>
      </c>
      <c r="K485" s="116"/>
      <c r="L485" s="31">
        <f t="shared" si="19"/>
        <v>0</v>
      </c>
    </row>
    <row r="486" spans="1:12" ht="25.5" hidden="1">
      <c r="A486" s="10" t="s">
        <v>163</v>
      </c>
      <c r="B486" s="29" t="s">
        <v>683</v>
      </c>
      <c r="C486" s="29" t="s">
        <v>109</v>
      </c>
      <c r="D486" s="29" t="s">
        <v>19</v>
      </c>
      <c r="E486" s="50" t="s">
        <v>164</v>
      </c>
      <c r="F486" s="30"/>
      <c r="G486" s="31">
        <f>G487</f>
        <v>0</v>
      </c>
      <c r="H486" s="116"/>
      <c r="I486" s="31">
        <f t="shared" si="20"/>
        <v>0</v>
      </c>
      <c r="J486" s="31">
        <f>J487</f>
        <v>0</v>
      </c>
      <c r="K486" s="116"/>
      <c r="L486" s="31">
        <f t="shared" si="19"/>
        <v>0</v>
      </c>
    </row>
    <row r="487" spans="1:12" ht="26.25" hidden="1">
      <c r="A487" s="35" t="s">
        <v>38</v>
      </c>
      <c r="B487" s="29" t="s">
        <v>683</v>
      </c>
      <c r="C487" s="29" t="s">
        <v>109</v>
      </c>
      <c r="D487" s="29" t="s">
        <v>19</v>
      </c>
      <c r="E487" s="50" t="s">
        <v>164</v>
      </c>
      <c r="F487" s="30" t="s">
        <v>39</v>
      </c>
      <c r="G487" s="31"/>
      <c r="H487" s="116"/>
      <c r="I487" s="31">
        <f t="shared" si="20"/>
        <v>0</v>
      </c>
      <c r="J487" s="31"/>
      <c r="K487" s="116"/>
      <c r="L487" s="31">
        <f t="shared" si="19"/>
        <v>0</v>
      </c>
    </row>
    <row r="488" spans="1:12" ht="42" customHeight="1">
      <c r="A488" s="74" t="s">
        <v>432</v>
      </c>
      <c r="B488" s="29" t="s">
        <v>683</v>
      </c>
      <c r="C488" s="29" t="s">
        <v>109</v>
      </c>
      <c r="D488" s="29" t="s">
        <v>19</v>
      </c>
      <c r="E488" s="50" t="s">
        <v>433</v>
      </c>
      <c r="F488" s="30"/>
      <c r="G488" s="31">
        <f>G489</f>
        <v>36960</v>
      </c>
      <c r="H488" s="116"/>
      <c r="I488" s="31">
        <f t="shared" si="20"/>
        <v>36960</v>
      </c>
      <c r="J488" s="31">
        <f>J489</f>
        <v>36960</v>
      </c>
      <c r="K488" s="116"/>
      <c r="L488" s="31">
        <f t="shared" si="19"/>
        <v>36960</v>
      </c>
    </row>
    <row r="489" spans="1:12" s="42" customFormat="1" ht="29.25" customHeight="1">
      <c r="A489" s="10" t="s">
        <v>163</v>
      </c>
      <c r="B489" s="29" t="s">
        <v>683</v>
      </c>
      <c r="C489" s="29" t="s">
        <v>109</v>
      </c>
      <c r="D489" s="29" t="s">
        <v>19</v>
      </c>
      <c r="E489" s="50" t="s">
        <v>434</v>
      </c>
      <c r="F489" s="30"/>
      <c r="G489" s="31">
        <f>G490</f>
        <v>36960</v>
      </c>
      <c r="H489" s="116"/>
      <c r="I489" s="31">
        <f t="shared" si="20"/>
        <v>36960</v>
      </c>
      <c r="J489" s="31">
        <f>J490</f>
        <v>36960</v>
      </c>
      <c r="K489" s="116"/>
      <c r="L489" s="31">
        <f t="shared" si="19"/>
        <v>36960</v>
      </c>
    </row>
    <row r="490" spans="1:12" ht="26.25">
      <c r="A490" s="35" t="s">
        <v>38</v>
      </c>
      <c r="B490" s="29" t="s">
        <v>683</v>
      </c>
      <c r="C490" s="29" t="s">
        <v>109</v>
      </c>
      <c r="D490" s="29" t="s">
        <v>19</v>
      </c>
      <c r="E490" s="50" t="s">
        <v>434</v>
      </c>
      <c r="F490" s="30" t="s">
        <v>39</v>
      </c>
      <c r="G490" s="31">
        <v>36960</v>
      </c>
      <c r="H490" s="116"/>
      <c r="I490" s="31">
        <f t="shared" si="20"/>
        <v>36960</v>
      </c>
      <c r="J490" s="31">
        <v>36960</v>
      </c>
      <c r="K490" s="116"/>
      <c r="L490" s="31">
        <f t="shared" si="19"/>
        <v>36960</v>
      </c>
    </row>
    <row r="491" spans="1:12" ht="38.25">
      <c r="A491" s="121" t="s">
        <v>435</v>
      </c>
      <c r="B491" s="29" t="s">
        <v>683</v>
      </c>
      <c r="C491" s="29" t="s">
        <v>109</v>
      </c>
      <c r="D491" s="29" t="s">
        <v>19</v>
      </c>
      <c r="E491" s="29" t="s">
        <v>436</v>
      </c>
      <c r="F491" s="37"/>
      <c r="G491" s="31">
        <f>G492</f>
        <v>20000</v>
      </c>
      <c r="H491" s="116"/>
      <c r="I491" s="31">
        <f t="shared" si="20"/>
        <v>20000</v>
      </c>
      <c r="J491" s="31">
        <f>J492</f>
        <v>20000</v>
      </c>
      <c r="K491" s="116"/>
      <c r="L491" s="31">
        <f t="shared" si="19"/>
        <v>20000</v>
      </c>
    </row>
    <row r="492" spans="1:12" ht="53.25" customHeight="1">
      <c r="A492" s="13" t="s">
        <v>437</v>
      </c>
      <c r="B492" s="29" t="s">
        <v>683</v>
      </c>
      <c r="C492" s="29" t="s">
        <v>109</v>
      </c>
      <c r="D492" s="29" t="s">
        <v>19</v>
      </c>
      <c r="E492" s="29" t="s">
        <v>438</v>
      </c>
      <c r="F492" s="37"/>
      <c r="G492" s="31">
        <f>G493</f>
        <v>20000</v>
      </c>
      <c r="H492" s="116"/>
      <c r="I492" s="31">
        <f t="shared" si="20"/>
        <v>20000</v>
      </c>
      <c r="J492" s="31">
        <f>J493</f>
        <v>20000</v>
      </c>
      <c r="K492" s="116"/>
      <c r="L492" s="31">
        <f t="shared" si="19"/>
        <v>20000</v>
      </c>
    </row>
    <row r="493" spans="1:12" ht="25.5">
      <c r="A493" s="59" t="s">
        <v>439</v>
      </c>
      <c r="B493" s="29" t="s">
        <v>683</v>
      </c>
      <c r="C493" s="29" t="s">
        <v>109</v>
      </c>
      <c r="D493" s="29" t="s">
        <v>19</v>
      </c>
      <c r="E493" s="29" t="s">
        <v>440</v>
      </c>
      <c r="F493" s="37"/>
      <c r="G493" s="31">
        <f>G494</f>
        <v>20000</v>
      </c>
      <c r="H493" s="116"/>
      <c r="I493" s="31">
        <f t="shared" si="20"/>
        <v>20000</v>
      </c>
      <c r="J493" s="31">
        <f>J494</f>
        <v>20000</v>
      </c>
      <c r="K493" s="116"/>
      <c r="L493" s="31">
        <f t="shared" si="19"/>
        <v>20000</v>
      </c>
    </row>
    <row r="494" spans="1:12" ht="25.5">
      <c r="A494" s="59" t="s">
        <v>441</v>
      </c>
      <c r="B494" s="29" t="s">
        <v>683</v>
      </c>
      <c r="C494" s="29" t="s">
        <v>109</v>
      </c>
      <c r="D494" s="29" t="s">
        <v>19</v>
      </c>
      <c r="E494" s="29" t="s">
        <v>442</v>
      </c>
      <c r="F494" s="37"/>
      <c r="G494" s="31">
        <f>G495</f>
        <v>20000</v>
      </c>
      <c r="H494" s="116"/>
      <c r="I494" s="31">
        <f t="shared" si="20"/>
        <v>20000</v>
      </c>
      <c r="J494" s="31">
        <f>J495</f>
        <v>20000</v>
      </c>
      <c r="K494" s="116"/>
      <c r="L494" s="31">
        <f t="shared" si="19"/>
        <v>20000</v>
      </c>
    </row>
    <row r="495" spans="1:12" ht="25.5" customHeight="1">
      <c r="A495" s="35" t="s">
        <v>38</v>
      </c>
      <c r="B495" s="29" t="s">
        <v>683</v>
      </c>
      <c r="C495" s="29" t="s">
        <v>109</v>
      </c>
      <c r="D495" s="29" t="s">
        <v>19</v>
      </c>
      <c r="E495" s="29" t="s">
        <v>442</v>
      </c>
      <c r="F495" s="30" t="s">
        <v>39</v>
      </c>
      <c r="G495" s="31">
        <v>20000</v>
      </c>
      <c r="H495" s="116"/>
      <c r="I495" s="31">
        <f t="shared" si="20"/>
        <v>20000</v>
      </c>
      <c r="J495" s="31">
        <v>20000</v>
      </c>
      <c r="K495" s="116"/>
      <c r="L495" s="31">
        <f t="shared" si="19"/>
        <v>20000</v>
      </c>
    </row>
    <row r="496" spans="1:12" ht="63.75" hidden="1">
      <c r="A496" s="60" t="s">
        <v>443</v>
      </c>
      <c r="B496" s="29" t="s">
        <v>683</v>
      </c>
      <c r="C496" s="29" t="s">
        <v>109</v>
      </c>
      <c r="D496" s="29" t="s">
        <v>19</v>
      </c>
      <c r="E496" s="29" t="s">
        <v>444</v>
      </c>
      <c r="F496" s="30"/>
      <c r="G496" s="31">
        <f>G497</f>
        <v>0</v>
      </c>
      <c r="H496" s="116"/>
      <c r="I496" s="31">
        <f t="shared" si="20"/>
        <v>0</v>
      </c>
      <c r="J496" s="31">
        <f>J497</f>
        <v>0</v>
      </c>
      <c r="K496" s="116"/>
      <c r="L496" s="31">
        <f t="shared" si="19"/>
        <v>0</v>
      </c>
    </row>
    <row r="497" spans="1:12" ht="90" hidden="1">
      <c r="A497" s="35" t="s">
        <v>445</v>
      </c>
      <c r="B497" s="29" t="s">
        <v>683</v>
      </c>
      <c r="C497" s="29" t="s">
        <v>109</v>
      </c>
      <c r="D497" s="29" t="s">
        <v>19</v>
      </c>
      <c r="E497" s="29" t="s">
        <v>446</v>
      </c>
      <c r="F497" s="30"/>
      <c r="G497" s="31">
        <f>G498</f>
        <v>0</v>
      </c>
      <c r="H497" s="116"/>
      <c r="I497" s="31">
        <f t="shared" si="20"/>
        <v>0</v>
      </c>
      <c r="J497" s="31">
        <f>J498</f>
        <v>0</v>
      </c>
      <c r="K497" s="116"/>
      <c r="L497" s="31">
        <f t="shared" si="19"/>
        <v>0</v>
      </c>
    </row>
    <row r="498" spans="1:12" ht="39" hidden="1">
      <c r="A498" s="35" t="s">
        <v>696</v>
      </c>
      <c r="B498" s="29" t="s">
        <v>683</v>
      </c>
      <c r="C498" s="29" t="s">
        <v>109</v>
      </c>
      <c r="D498" s="29" t="s">
        <v>19</v>
      </c>
      <c r="E498" s="29" t="s">
        <v>448</v>
      </c>
      <c r="F498" s="30"/>
      <c r="G498" s="31">
        <f>G499</f>
        <v>0</v>
      </c>
      <c r="H498" s="116"/>
      <c r="I498" s="31">
        <f t="shared" si="20"/>
        <v>0</v>
      </c>
      <c r="J498" s="31">
        <f>J499</f>
        <v>0</v>
      </c>
      <c r="K498" s="116"/>
      <c r="L498" s="31">
        <f t="shared" si="19"/>
        <v>0</v>
      </c>
    </row>
    <row r="499" spans="1:12" ht="25.5" hidden="1">
      <c r="A499" s="10" t="s">
        <v>163</v>
      </c>
      <c r="B499" s="29" t="s">
        <v>683</v>
      </c>
      <c r="C499" s="29" t="s">
        <v>109</v>
      </c>
      <c r="D499" s="29" t="s">
        <v>19</v>
      </c>
      <c r="E499" s="29" t="s">
        <v>449</v>
      </c>
      <c r="F499" s="30"/>
      <c r="G499" s="31">
        <f>G500</f>
        <v>0</v>
      </c>
      <c r="H499" s="116"/>
      <c r="I499" s="31">
        <f t="shared" si="20"/>
        <v>0</v>
      </c>
      <c r="J499" s="31">
        <f>J500</f>
        <v>0</v>
      </c>
      <c r="K499" s="116"/>
      <c r="L499" s="31">
        <f t="shared" si="19"/>
        <v>0</v>
      </c>
    </row>
    <row r="500" spans="1:12" ht="26.25" hidden="1">
      <c r="A500" s="35" t="s">
        <v>38</v>
      </c>
      <c r="B500" s="29" t="s">
        <v>683</v>
      </c>
      <c r="C500" s="29" t="s">
        <v>109</v>
      </c>
      <c r="D500" s="29" t="s">
        <v>19</v>
      </c>
      <c r="E500" s="29" t="s">
        <v>449</v>
      </c>
      <c r="F500" s="30" t="s">
        <v>39</v>
      </c>
      <c r="G500" s="31"/>
      <c r="H500" s="116"/>
      <c r="I500" s="31">
        <f t="shared" si="20"/>
        <v>0</v>
      </c>
      <c r="J500" s="31"/>
      <c r="K500" s="116"/>
      <c r="L500" s="31">
        <f aca="true" t="shared" si="21" ref="L500:L568">J500+K500</f>
        <v>0</v>
      </c>
    </row>
    <row r="501" spans="1:12" ht="15">
      <c r="A501" s="35" t="s">
        <v>450</v>
      </c>
      <c r="B501" s="29" t="s">
        <v>683</v>
      </c>
      <c r="C501" s="29" t="s">
        <v>109</v>
      </c>
      <c r="D501" s="29" t="s">
        <v>29</v>
      </c>
      <c r="E501" s="29"/>
      <c r="F501" s="30"/>
      <c r="G501" s="31">
        <f>G502</f>
        <v>18376465</v>
      </c>
      <c r="H501" s="116"/>
      <c r="I501" s="31">
        <f t="shared" si="20"/>
        <v>18376465</v>
      </c>
      <c r="J501" s="31">
        <f>J502</f>
        <v>16793235</v>
      </c>
      <c r="K501" s="116"/>
      <c r="L501" s="31">
        <f t="shared" si="21"/>
        <v>16793235</v>
      </c>
    </row>
    <row r="502" spans="1:12" ht="38.25" customHeight="1">
      <c r="A502" s="16" t="s">
        <v>370</v>
      </c>
      <c r="B502" s="29" t="s">
        <v>683</v>
      </c>
      <c r="C502" s="29" t="s">
        <v>109</v>
      </c>
      <c r="D502" s="29" t="s">
        <v>29</v>
      </c>
      <c r="E502" s="29" t="s">
        <v>371</v>
      </c>
      <c r="F502" s="30"/>
      <c r="G502" s="31">
        <f>G507+G503</f>
        <v>18376465</v>
      </c>
      <c r="H502" s="116"/>
      <c r="I502" s="31">
        <f>G502+H502</f>
        <v>18376465</v>
      </c>
      <c r="J502" s="31">
        <f>J507+J503</f>
        <v>16793235</v>
      </c>
      <c r="K502" s="116"/>
      <c r="L502" s="31">
        <f t="shared" si="21"/>
        <v>16793235</v>
      </c>
    </row>
    <row r="503" spans="1:12" ht="51.75" hidden="1">
      <c r="A503" s="15" t="s">
        <v>372</v>
      </c>
      <c r="B503" s="29" t="s">
        <v>683</v>
      </c>
      <c r="C503" s="29" t="s">
        <v>109</v>
      </c>
      <c r="D503" s="29" t="s">
        <v>29</v>
      </c>
      <c r="E503" s="29" t="s">
        <v>373</v>
      </c>
      <c r="F503" s="30"/>
      <c r="G503" s="31">
        <f>G504</f>
        <v>0</v>
      </c>
      <c r="H503" s="116"/>
      <c r="I503" s="31">
        <f t="shared" si="20"/>
        <v>0</v>
      </c>
      <c r="J503" s="31">
        <f>J504</f>
        <v>0</v>
      </c>
      <c r="K503" s="116"/>
      <c r="L503" s="31">
        <f t="shared" si="21"/>
        <v>0</v>
      </c>
    </row>
    <row r="504" spans="1:12" s="42" customFormat="1" ht="15" hidden="1">
      <c r="A504" s="81" t="s">
        <v>388</v>
      </c>
      <c r="B504" s="29" t="s">
        <v>683</v>
      </c>
      <c r="C504" s="29" t="s">
        <v>109</v>
      </c>
      <c r="D504" s="29" t="s">
        <v>29</v>
      </c>
      <c r="E504" s="29" t="s">
        <v>389</v>
      </c>
      <c r="F504" s="30"/>
      <c r="G504" s="31">
        <f>G505</f>
        <v>0</v>
      </c>
      <c r="H504" s="116"/>
      <c r="I504" s="31">
        <f t="shared" si="20"/>
        <v>0</v>
      </c>
      <c r="J504" s="31">
        <f>J505</f>
        <v>0</v>
      </c>
      <c r="K504" s="116"/>
      <c r="L504" s="31">
        <f t="shared" si="21"/>
        <v>0</v>
      </c>
    </row>
    <row r="505" spans="1:12" ht="38.25" hidden="1">
      <c r="A505" s="59" t="s">
        <v>452</v>
      </c>
      <c r="B505" s="29" t="s">
        <v>683</v>
      </c>
      <c r="C505" s="29" t="s">
        <v>109</v>
      </c>
      <c r="D505" s="29" t="s">
        <v>29</v>
      </c>
      <c r="E505" s="29" t="s">
        <v>453</v>
      </c>
      <c r="F505" s="30"/>
      <c r="G505" s="31">
        <f>G506</f>
        <v>0</v>
      </c>
      <c r="H505" s="116"/>
      <c r="I505" s="31">
        <f t="shared" si="20"/>
        <v>0</v>
      </c>
      <c r="J505" s="31">
        <f>J506</f>
        <v>0</v>
      </c>
      <c r="K505" s="116"/>
      <c r="L505" s="31">
        <f t="shared" si="21"/>
        <v>0</v>
      </c>
    </row>
    <row r="506" spans="1:12" ht="26.25" hidden="1">
      <c r="A506" s="35" t="s">
        <v>38</v>
      </c>
      <c r="B506" s="29" t="s">
        <v>683</v>
      </c>
      <c r="C506" s="29" t="s">
        <v>109</v>
      </c>
      <c r="D506" s="29" t="s">
        <v>29</v>
      </c>
      <c r="E506" s="29" t="s">
        <v>453</v>
      </c>
      <c r="F506" s="30" t="s">
        <v>39</v>
      </c>
      <c r="G506" s="31"/>
      <c r="H506" s="116"/>
      <c r="I506" s="31">
        <f t="shared" si="20"/>
        <v>0</v>
      </c>
      <c r="J506" s="31"/>
      <c r="K506" s="116"/>
      <c r="L506" s="31">
        <f t="shared" si="21"/>
        <v>0</v>
      </c>
    </row>
    <row r="507" spans="1:12" ht="59.25" customHeight="1">
      <c r="A507" s="35" t="s">
        <v>454</v>
      </c>
      <c r="B507" s="29" t="s">
        <v>683</v>
      </c>
      <c r="C507" s="29" t="s">
        <v>109</v>
      </c>
      <c r="D507" s="29" t="s">
        <v>29</v>
      </c>
      <c r="E507" s="29" t="s">
        <v>455</v>
      </c>
      <c r="F507" s="30"/>
      <c r="G507" s="31">
        <f>G508+G514</f>
        <v>18376465</v>
      </c>
      <c r="H507" s="116"/>
      <c r="I507" s="31">
        <f t="shared" si="20"/>
        <v>18376465</v>
      </c>
      <c r="J507" s="31">
        <f>J508+J514</f>
        <v>16793235</v>
      </c>
      <c r="K507" s="116"/>
      <c r="L507" s="31">
        <f t="shared" si="21"/>
        <v>16793235</v>
      </c>
    </row>
    <row r="508" spans="1:12" ht="42" customHeight="1">
      <c r="A508" s="10" t="s">
        <v>456</v>
      </c>
      <c r="B508" s="29" t="s">
        <v>683</v>
      </c>
      <c r="C508" s="29" t="s">
        <v>109</v>
      </c>
      <c r="D508" s="29" t="s">
        <v>29</v>
      </c>
      <c r="E508" s="29" t="s">
        <v>457</v>
      </c>
      <c r="F508" s="30"/>
      <c r="G508" s="31">
        <f>G509</f>
        <v>9432815</v>
      </c>
      <c r="H508" s="116"/>
      <c r="I508" s="31">
        <f t="shared" si="20"/>
        <v>9432815</v>
      </c>
      <c r="J508" s="31">
        <f>J509</f>
        <v>8049585</v>
      </c>
      <c r="K508" s="116"/>
      <c r="L508" s="31">
        <f t="shared" si="21"/>
        <v>8049585</v>
      </c>
    </row>
    <row r="509" spans="1:12" ht="25.5">
      <c r="A509" s="10" t="s">
        <v>201</v>
      </c>
      <c r="B509" s="29" t="s">
        <v>683</v>
      </c>
      <c r="C509" s="29" t="s">
        <v>109</v>
      </c>
      <c r="D509" s="29" t="s">
        <v>29</v>
      </c>
      <c r="E509" s="29" t="s">
        <v>458</v>
      </c>
      <c r="F509" s="30"/>
      <c r="G509" s="31">
        <f>G510+G511+G513+G512</f>
        <v>9432815</v>
      </c>
      <c r="H509" s="116"/>
      <c r="I509" s="31">
        <f t="shared" si="20"/>
        <v>9432815</v>
      </c>
      <c r="J509" s="31">
        <f>J510+J511+J513+J512</f>
        <v>8049585</v>
      </c>
      <c r="K509" s="116"/>
      <c r="L509" s="31">
        <f t="shared" si="21"/>
        <v>8049585</v>
      </c>
    </row>
    <row r="510" spans="1:12" ht="67.5" customHeight="1" hidden="1">
      <c r="A510" s="35" t="s">
        <v>26</v>
      </c>
      <c r="B510" s="29" t="s">
        <v>683</v>
      </c>
      <c r="C510" s="29" t="s">
        <v>109</v>
      </c>
      <c r="D510" s="29" t="s">
        <v>29</v>
      </c>
      <c r="E510" s="29" t="s">
        <v>458</v>
      </c>
      <c r="F510" s="30" t="s">
        <v>27</v>
      </c>
      <c r="G510" s="31">
        <f>18842464-3007404-124166-15710894</f>
        <v>0</v>
      </c>
      <c r="H510" s="116"/>
      <c r="I510" s="31">
        <f t="shared" si="20"/>
        <v>0</v>
      </c>
      <c r="J510" s="31">
        <f>18842464-3614398-127647-15100419</f>
        <v>0</v>
      </c>
      <c r="K510" s="116"/>
      <c r="L510" s="31">
        <f t="shared" si="21"/>
        <v>0</v>
      </c>
    </row>
    <row r="511" spans="1:12" ht="26.25" hidden="1">
      <c r="A511" s="35" t="s">
        <v>38</v>
      </c>
      <c r="B511" s="29" t="s">
        <v>683</v>
      </c>
      <c r="C511" s="29" t="s">
        <v>109</v>
      </c>
      <c r="D511" s="29" t="s">
        <v>29</v>
      </c>
      <c r="E511" s="29" t="s">
        <v>458</v>
      </c>
      <c r="F511" s="30" t="s">
        <v>39</v>
      </c>
      <c r="G511" s="31">
        <f>561263-561263</f>
        <v>0</v>
      </c>
      <c r="H511" s="116"/>
      <c r="I511" s="31">
        <f t="shared" si="20"/>
        <v>0</v>
      </c>
      <c r="J511" s="31">
        <f>561263-561263</f>
        <v>0</v>
      </c>
      <c r="K511" s="116"/>
      <c r="L511" s="31">
        <f t="shared" si="21"/>
        <v>0</v>
      </c>
    </row>
    <row r="512" spans="1:12" ht="26.25">
      <c r="A512" s="16" t="s">
        <v>140</v>
      </c>
      <c r="B512" s="29" t="s">
        <v>683</v>
      </c>
      <c r="C512" s="29" t="s">
        <v>109</v>
      </c>
      <c r="D512" s="29" t="s">
        <v>29</v>
      </c>
      <c r="E512" s="29" t="s">
        <v>458</v>
      </c>
      <c r="F512" s="30" t="s">
        <v>141</v>
      </c>
      <c r="G512" s="31">
        <f>22357768-11443650-4724340+2500000+743037</f>
        <v>9432815</v>
      </c>
      <c r="H512" s="116"/>
      <c r="I512" s="31">
        <f t="shared" si="20"/>
        <v>9432815</v>
      </c>
      <c r="J512" s="31">
        <f>22357768-11443650-4724340-700893-139300+2700000</f>
        <v>8049585</v>
      </c>
      <c r="K512" s="116"/>
      <c r="L512" s="31">
        <f t="shared" si="21"/>
        <v>8049585</v>
      </c>
    </row>
    <row r="513" spans="1:12" ht="15">
      <c r="A513" s="10" t="s">
        <v>84</v>
      </c>
      <c r="B513" s="29" t="s">
        <v>683</v>
      </c>
      <c r="C513" s="29" t="s">
        <v>109</v>
      </c>
      <c r="D513" s="29" t="s">
        <v>29</v>
      </c>
      <c r="E513" s="29" t="s">
        <v>458</v>
      </c>
      <c r="F513" s="30" t="s">
        <v>85</v>
      </c>
      <c r="G513" s="31">
        <f>94609-94609</f>
        <v>0</v>
      </c>
      <c r="H513" s="116"/>
      <c r="I513" s="31">
        <f t="shared" si="20"/>
        <v>0</v>
      </c>
      <c r="J513" s="31">
        <f>94609-94609</f>
        <v>0</v>
      </c>
      <c r="K513" s="116"/>
      <c r="L513" s="31">
        <f t="shared" si="21"/>
        <v>0</v>
      </c>
    </row>
    <row r="514" spans="1:12" ht="38.25">
      <c r="A514" s="10" t="s">
        <v>459</v>
      </c>
      <c r="B514" s="29" t="s">
        <v>683</v>
      </c>
      <c r="C514" s="29" t="s">
        <v>109</v>
      </c>
      <c r="D514" s="29" t="s">
        <v>29</v>
      </c>
      <c r="E514" s="29" t="s">
        <v>460</v>
      </c>
      <c r="F514" s="30"/>
      <c r="G514" s="31">
        <f>G515</f>
        <v>8943650</v>
      </c>
      <c r="H514" s="116"/>
      <c r="I514" s="31">
        <f t="shared" si="20"/>
        <v>8943650</v>
      </c>
      <c r="J514" s="31">
        <f>J515</f>
        <v>8743650</v>
      </c>
      <c r="K514" s="116"/>
      <c r="L514" s="31">
        <f t="shared" si="21"/>
        <v>8743650</v>
      </c>
    </row>
    <row r="515" spans="1:12" ht="25.5">
      <c r="A515" s="10" t="s">
        <v>201</v>
      </c>
      <c r="B515" s="29" t="s">
        <v>683</v>
      </c>
      <c r="C515" s="29" t="s">
        <v>109</v>
      </c>
      <c r="D515" s="29" t="s">
        <v>29</v>
      </c>
      <c r="E515" s="29" t="s">
        <v>461</v>
      </c>
      <c r="F515" s="30"/>
      <c r="G515" s="31">
        <f>G516</f>
        <v>8943650</v>
      </c>
      <c r="H515" s="116"/>
      <c r="I515" s="31">
        <f t="shared" si="20"/>
        <v>8943650</v>
      </c>
      <c r="J515" s="31">
        <f>J516</f>
        <v>8743650</v>
      </c>
      <c r="K515" s="116"/>
      <c r="L515" s="31">
        <f t="shared" si="21"/>
        <v>8743650</v>
      </c>
    </row>
    <row r="516" spans="1:12" ht="26.25">
      <c r="A516" s="16" t="s">
        <v>140</v>
      </c>
      <c r="B516" s="29" t="s">
        <v>683</v>
      </c>
      <c r="C516" s="29" t="s">
        <v>109</v>
      </c>
      <c r="D516" s="29" t="s">
        <v>29</v>
      </c>
      <c r="E516" s="29" t="s">
        <v>461</v>
      </c>
      <c r="F516" s="30" t="s">
        <v>141</v>
      </c>
      <c r="G516" s="31">
        <f>11443650-2500000</f>
        <v>8943650</v>
      </c>
      <c r="H516" s="116"/>
      <c r="I516" s="31">
        <f t="shared" si="20"/>
        <v>8943650</v>
      </c>
      <c r="J516" s="31">
        <f>11443650-2700000</f>
        <v>8743650</v>
      </c>
      <c r="K516" s="116"/>
      <c r="L516" s="31">
        <f t="shared" si="21"/>
        <v>8743650</v>
      </c>
    </row>
    <row r="517" spans="1:12" ht="21" customHeight="1">
      <c r="A517" s="16" t="s">
        <v>679</v>
      </c>
      <c r="B517" s="29" t="s">
        <v>683</v>
      </c>
      <c r="C517" s="29" t="s">
        <v>109</v>
      </c>
      <c r="D517" s="29" t="s">
        <v>109</v>
      </c>
      <c r="E517" s="29"/>
      <c r="F517" s="30"/>
      <c r="G517" s="31">
        <f>G518</f>
        <v>1357041</v>
      </c>
      <c r="H517" s="116">
        <f>H518</f>
        <v>0</v>
      </c>
      <c r="I517" s="31">
        <f t="shared" si="20"/>
        <v>1357041</v>
      </c>
      <c r="J517" s="31">
        <f>J518</f>
        <v>1357041</v>
      </c>
      <c r="K517" s="116">
        <f>K518</f>
        <v>0</v>
      </c>
      <c r="L517" s="31">
        <f t="shared" si="21"/>
        <v>1357041</v>
      </c>
    </row>
    <row r="518" spans="1:12" ht="63.75">
      <c r="A518" s="10" t="s">
        <v>463</v>
      </c>
      <c r="B518" s="29" t="s">
        <v>683</v>
      </c>
      <c r="C518" s="29" t="s">
        <v>109</v>
      </c>
      <c r="D518" s="29" t="s">
        <v>109</v>
      </c>
      <c r="E518" s="50" t="s">
        <v>464</v>
      </c>
      <c r="F518" s="30"/>
      <c r="G518" s="31">
        <f>G519</f>
        <v>1357041</v>
      </c>
      <c r="H518" s="116">
        <f>H519</f>
        <v>0</v>
      </c>
      <c r="I518" s="31">
        <f t="shared" si="20"/>
        <v>1357041</v>
      </c>
      <c r="J518" s="31">
        <f>J519</f>
        <v>1357041</v>
      </c>
      <c r="K518" s="116">
        <f>K519</f>
        <v>0</v>
      </c>
      <c r="L518" s="31">
        <f t="shared" si="21"/>
        <v>1357041</v>
      </c>
    </row>
    <row r="519" spans="1:12" ht="76.5">
      <c r="A519" s="63" t="s">
        <v>471</v>
      </c>
      <c r="B519" s="29" t="s">
        <v>683</v>
      </c>
      <c r="C519" s="29" t="s">
        <v>109</v>
      </c>
      <c r="D519" s="29" t="s">
        <v>109</v>
      </c>
      <c r="E519" s="50" t="s">
        <v>472</v>
      </c>
      <c r="F519" s="56"/>
      <c r="G519" s="31">
        <f>G520+G530+G527</f>
        <v>1357041</v>
      </c>
      <c r="H519" s="116">
        <f>H521+H535</f>
        <v>0</v>
      </c>
      <c r="I519" s="31">
        <f t="shared" si="20"/>
        <v>1357041</v>
      </c>
      <c r="J519" s="31">
        <f>J520+J530+J527</f>
        <v>1357041</v>
      </c>
      <c r="K519" s="116">
        <f>K521+K535</f>
        <v>0</v>
      </c>
      <c r="L519" s="31">
        <f t="shared" si="21"/>
        <v>1357041</v>
      </c>
    </row>
    <row r="520" spans="1:12" ht="25.5">
      <c r="A520" s="10" t="s">
        <v>473</v>
      </c>
      <c r="B520" s="29" t="s">
        <v>683</v>
      </c>
      <c r="C520" s="29" t="s">
        <v>109</v>
      </c>
      <c r="D520" s="29" t="s">
        <v>109</v>
      </c>
      <c r="E520" s="50" t="s">
        <v>474</v>
      </c>
      <c r="F520" s="56"/>
      <c r="G520" s="31">
        <f>G521+G524</f>
        <v>693165</v>
      </c>
      <c r="H520" s="116"/>
      <c r="I520" s="31">
        <f t="shared" si="20"/>
        <v>693165</v>
      </c>
      <c r="J520" s="31">
        <f>J521+J524</f>
        <v>693165</v>
      </c>
      <c r="K520" s="116"/>
      <c r="L520" s="31">
        <f t="shared" si="21"/>
        <v>693165</v>
      </c>
    </row>
    <row r="521" spans="1:12" ht="15" hidden="1">
      <c r="A521" s="16" t="s">
        <v>475</v>
      </c>
      <c r="B521" s="29" t="s">
        <v>683</v>
      </c>
      <c r="C521" s="29" t="s">
        <v>109</v>
      </c>
      <c r="D521" s="29" t="s">
        <v>109</v>
      </c>
      <c r="E521" s="50" t="s">
        <v>476</v>
      </c>
      <c r="F521" s="30"/>
      <c r="G521" s="31">
        <f>G522+G523</f>
        <v>0</v>
      </c>
      <c r="H521" s="116"/>
      <c r="I521" s="31">
        <f t="shared" si="20"/>
        <v>0</v>
      </c>
      <c r="J521" s="31">
        <f>J522+J523</f>
        <v>0</v>
      </c>
      <c r="K521" s="116"/>
      <c r="L521" s="31">
        <f t="shared" si="21"/>
        <v>0</v>
      </c>
    </row>
    <row r="522" spans="1:12" ht="26.25" hidden="1">
      <c r="A522" s="35" t="s">
        <v>38</v>
      </c>
      <c r="B522" s="29" t="s">
        <v>683</v>
      </c>
      <c r="C522" s="29" t="s">
        <v>109</v>
      </c>
      <c r="D522" s="29" t="s">
        <v>109</v>
      </c>
      <c r="E522" s="50" t="s">
        <v>476</v>
      </c>
      <c r="F522" s="56" t="s">
        <v>39</v>
      </c>
      <c r="G522" s="31"/>
      <c r="H522" s="116"/>
      <c r="I522" s="31">
        <f t="shared" si="20"/>
        <v>0</v>
      </c>
      <c r="J522" s="31"/>
      <c r="K522" s="116"/>
      <c r="L522" s="31">
        <f t="shared" si="21"/>
        <v>0</v>
      </c>
    </row>
    <row r="523" spans="1:12" ht="15" hidden="1">
      <c r="A523" s="88" t="s">
        <v>211</v>
      </c>
      <c r="B523" s="29" t="s">
        <v>683</v>
      </c>
      <c r="C523" s="29" t="s">
        <v>109</v>
      </c>
      <c r="D523" s="29" t="s">
        <v>109</v>
      </c>
      <c r="E523" s="50" t="s">
        <v>476</v>
      </c>
      <c r="F523" s="56" t="s">
        <v>212</v>
      </c>
      <c r="G523" s="31"/>
      <c r="H523" s="116"/>
      <c r="I523" s="31">
        <f t="shared" si="20"/>
        <v>0</v>
      </c>
      <c r="J523" s="31"/>
      <c r="K523" s="116"/>
      <c r="L523" s="31">
        <f t="shared" si="21"/>
        <v>0</v>
      </c>
    </row>
    <row r="524" spans="1:12" ht="26.25">
      <c r="A524" s="118" t="s">
        <v>477</v>
      </c>
      <c r="B524" s="29" t="s">
        <v>683</v>
      </c>
      <c r="C524" s="29" t="s">
        <v>109</v>
      </c>
      <c r="D524" s="29" t="s">
        <v>109</v>
      </c>
      <c r="E524" s="50" t="s">
        <v>478</v>
      </c>
      <c r="F524" s="30"/>
      <c r="G524" s="31">
        <f>G525+G526</f>
        <v>693165</v>
      </c>
      <c r="H524" s="116"/>
      <c r="I524" s="31">
        <f t="shared" si="20"/>
        <v>693165</v>
      </c>
      <c r="J524" s="31">
        <f>J525+J526</f>
        <v>693165</v>
      </c>
      <c r="K524" s="116"/>
      <c r="L524" s="31">
        <f t="shared" si="21"/>
        <v>693165</v>
      </c>
    </row>
    <row r="525" spans="1:12" ht="25.5" customHeight="1">
      <c r="A525" s="35" t="s">
        <v>38</v>
      </c>
      <c r="B525" s="29" t="s">
        <v>683</v>
      </c>
      <c r="C525" s="29" t="s">
        <v>109</v>
      </c>
      <c r="D525" s="29" t="s">
        <v>109</v>
      </c>
      <c r="E525" s="50" t="s">
        <v>478</v>
      </c>
      <c r="F525" s="56" t="s">
        <v>39</v>
      </c>
      <c r="G525" s="31">
        <v>693165</v>
      </c>
      <c r="H525" s="116"/>
      <c r="I525" s="31">
        <f t="shared" si="20"/>
        <v>693165</v>
      </c>
      <c r="J525" s="31">
        <v>693165</v>
      </c>
      <c r="K525" s="116"/>
      <c r="L525" s="31">
        <f t="shared" si="21"/>
        <v>693165</v>
      </c>
    </row>
    <row r="526" spans="1:12" ht="15" hidden="1">
      <c r="A526" s="88" t="s">
        <v>211</v>
      </c>
      <c r="B526" s="29" t="s">
        <v>683</v>
      </c>
      <c r="C526" s="29" t="s">
        <v>109</v>
      </c>
      <c r="D526" s="29" t="s">
        <v>109</v>
      </c>
      <c r="E526" s="50" t="s">
        <v>478</v>
      </c>
      <c r="F526" s="56" t="s">
        <v>212</v>
      </c>
      <c r="G526" s="31"/>
      <c r="H526" s="116"/>
      <c r="I526" s="31">
        <f t="shared" si="20"/>
        <v>0</v>
      </c>
      <c r="J526" s="31"/>
      <c r="K526" s="116"/>
      <c r="L526" s="31">
        <f t="shared" si="21"/>
        <v>0</v>
      </c>
    </row>
    <row r="527" spans="1:12" ht="29.25" customHeight="1" hidden="1">
      <c r="A527" s="10" t="s">
        <v>481</v>
      </c>
      <c r="B527" s="29" t="s">
        <v>683</v>
      </c>
      <c r="C527" s="29" t="s">
        <v>109</v>
      </c>
      <c r="D527" s="29" t="s">
        <v>109</v>
      </c>
      <c r="E527" s="50" t="s">
        <v>482</v>
      </c>
      <c r="F527" s="56"/>
      <c r="G527" s="31">
        <f>G528</f>
        <v>0</v>
      </c>
      <c r="H527" s="116"/>
      <c r="I527" s="31">
        <f t="shared" si="20"/>
        <v>0</v>
      </c>
      <c r="J527" s="31">
        <f>J528</f>
        <v>0</v>
      </c>
      <c r="K527" s="116"/>
      <c r="L527" s="31">
        <f t="shared" si="21"/>
        <v>0</v>
      </c>
    </row>
    <row r="528" spans="1:12" ht="15" hidden="1">
      <c r="A528" s="35" t="s">
        <v>479</v>
      </c>
      <c r="B528" s="29" t="s">
        <v>683</v>
      </c>
      <c r="C528" s="29" t="s">
        <v>109</v>
      </c>
      <c r="D528" s="29" t="s">
        <v>109</v>
      </c>
      <c r="E528" s="50" t="s">
        <v>483</v>
      </c>
      <c r="F528" s="56"/>
      <c r="G528" s="31">
        <f>G529</f>
        <v>0</v>
      </c>
      <c r="H528" s="116"/>
      <c r="I528" s="31">
        <f t="shared" si="20"/>
        <v>0</v>
      </c>
      <c r="J528" s="31">
        <f>J529</f>
        <v>0</v>
      </c>
      <c r="K528" s="116"/>
      <c r="L528" s="31">
        <f t="shared" si="21"/>
        <v>0</v>
      </c>
    </row>
    <row r="529" spans="1:12" ht="26.25" hidden="1">
      <c r="A529" s="35" t="s">
        <v>38</v>
      </c>
      <c r="B529" s="29" t="s">
        <v>683</v>
      </c>
      <c r="C529" s="29" t="s">
        <v>109</v>
      </c>
      <c r="D529" s="29" t="s">
        <v>109</v>
      </c>
      <c r="E529" s="50" t="s">
        <v>483</v>
      </c>
      <c r="F529" s="56" t="s">
        <v>39</v>
      </c>
      <c r="G529" s="31"/>
      <c r="H529" s="116"/>
      <c r="I529" s="31">
        <f t="shared" si="20"/>
        <v>0</v>
      </c>
      <c r="J529" s="31"/>
      <c r="K529" s="116"/>
      <c r="L529" s="31">
        <f t="shared" si="21"/>
        <v>0</v>
      </c>
    </row>
    <row r="530" spans="1:12" ht="50.25" customHeight="1">
      <c r="A530" s="10" t="s">
        <v>484</v>
      </c>
      <c r="B530" s="29" t="s">
        <v>683</v>
      </c>
      <c r="C530" s="29" t="s">
        <v>109</v>
      </c>
      <c r="D530" s="29" t="s">
        <v>109</v>
      </c>
      <c r="E530" s="50" t="s">
        <v>485</v>
      </c>
      <c r="F530" s="56"/>
      <c r="G530" s="31">
        <f>G535+G533+G531</f>
        <v>663876</v>
      </c>
      <c r="H530" s="116">
        <f>H535</f>
        <v>0</v>
      </c>
      <c r="I530" s="31">
        <f t="shared" si="20"/>
        <v>663876</v>
      </c>
      <c r="J530" s="31">
        <f>J535+J533+J531</f>
        <v>663876</v>
      </c>
      <c r="K530" s="116">
        <f>K535</f>
        <v>0</v>
      </c>
      <c r="L530" s="31">
        <f t="shared" si="21"/>
        <v>663876</v>
      </c>
    </row>
    <row r="531" spans="1:12" ht="38.25" hidden="1">
      <c r="A531" s="10" t="s">
        <v>486</v>
      </c>
      <c r="B531" s="29" t="s">
        <v>683</v>
      </c>
      <c r="C531" s="29" t="s">
        <v>109</v>
      </c>
      <c r="D531" s="29" t="s">
        <v>109</v>
      </c>
      <c r="E531" s="50" t="s">
        <v>487</v>
      </c>
      <c r="F531" s="56"/>
      <c r="G531" s="31">
        <f>G532</f>
        <v>0</v>
      </c>
      <c r="H531" s="116"/>
      <c r="I531" s="31">
        <f t="shared" si="20"/>
        <v>0</v>
      </c>
      <c r="J531" s="31">
        <f>J532</f>
        <v>0</v>
      </c>
      <c r="K531" s="116"/>
      <c r="L531" s="31">
        <f t="shared" si="21"/>
        <v>0</v>
      </c>
    </row>
    <row r="532" spans="1:12" ht="26.25" hidden="1">
      <c r="A532" s="35" t="s">
        <v>38</v>
      </c>
      <c r="B532" s="29" t="s">
        <v>683</v>
      </c>
      <c r="C532" s="29" t="s">
        <v>109</v>
      </c>
      <c r="D532" s="29" t="s">
        <v>109</v>
      </c>
      <c r="E532" s="50" t="s">
        <v>487</v>
      </c>
      <c r="F532" s="56" t="s">
        <v>39</v>
      </c>
      <c r="G532" s="31"/>
      <c r="H532" s="116"/>
      <c r="I532" s="31">
        <f t="shared" si="20"/>
        <v>0</v>
      </c>
      <c r="J532" s="31"/>
      <c r="K532" s="116"/>
      <c r="L532" s="31">
        <f t="shared" si="21"/>
        <v>0</v>
      </c>
    </row>
    <row r="533" spans="1:12" ht="38.25" hidden="1">
      <c r="A533" s="10" t="s">
        <v>488</v>
      </c>
      <c r="B533" s="29" t="s">
        <v>683</v>
      </c>
      <c r="C533" s="29" t="s">
        <v>109</v>
      </c>
      <c r="D533" s="29" t="s">
        <v>109</v>
      </c>
      <c r="E533" s="50" t="s">
        <v>489</v>
      </c>
      <c r="F533" s="56"/>
      <c r="G533" s="31">
        <f>G534</f>
        <v>0</v>
      </c>
      <c r="H533" s="116"/>
      <c r="I533" s="31">
        <f t="shared" si="20"/>
        <v>0</v>
      </c>
      <c r="J533" s="31">
        <f>J534</f>
        <v>0</v>
      </c>
      <c r="K533" s="116"/>
      <c r="L533" s="31">
        <f t="shared" si="21"/>
        <v>0</v>
      </c>
    </row>
    <row r="534" spans="1:12" ht="26.25" hidden="1">
      <c r="A534" s="35" t="s">
        <v>38</v>
      </c>
      <c r="B534" s="29" t="s">
        <v>683</v>
      </c>
      <c r="C534" s="29" t="s">
        <v>109</v>
      </c>
      <c r="D534" s="29" t="s">
        <v>109</v>
      </c>
      <c r="E534" s="50" t="s">
        <v>489</v>
      </c>
      <c r="F534" s="56" t="s">
        <v>39</v>
      </c>
      <c r="G534" s="31"/>
      <c r="H534" s="116"/>
      <c r="I534" s="31">
        <f t="shared" si="20"/>
        <v>0</v>
      </c>
      <c r="J534" s="31"/>
      <c r="K534" s="116"/>
      <c r="L534" s="31">
        <f t="shared" si="21"/>
        <v>0</v>
      </c>
    </row>
    <row r="535" spans="1:12" ht="26.25">
      <c r="A535" s="8" t="s">
        <v>201</v>
      </c>
      <c r="B535" s="29" t="s">
        <v>683</v>
      </c>
      <c r="C535" s="29" t="s">
        <v>109</v>
      </c>
      <c r="D535" s="29" t="s">
        <v>109</v>
      </c>
      <c r="E535" s="50" t="s">
        <v>490</v>
      </c>
      <c r="F535" s="56"/>
      <c r="G535" s="31">
        <f>G536+G537+G539+G538</f>
        <v>663876</v>
      </c>
      <c r="H535" s="116">
        <f>H536+H537+H539</f>
        <v>0</v>
      </c>
      <c r="I535" s="31">
        <f t="shared" si="20"/>
        <v>663876</v>
      </c>
      <c r="J535" s="31">
        <f>J536+J537+J539+J538</f>
        <v>663876</v>
      </c>
      <c r="K535" s="116">
        <f>K536+K537+K539</f>
        <v>0</v>
      </c>
      <c r="L535" s="31">
        <f t="shared" si="21"/>
        <v>663876</v>
      </c>
    </row>
    <row r="536" spans="1:12" ht="39" hidden="1">
      <c r="A536" s="16" t="s">
        <v>491</v>
      </c>
      <c r="B536" s="29" t="s">
        <v>683</v>
      </c>
      <c r="C536" s="29" t="s">
        <v>109</v>
      </c>
      <c r="D536" s="29" t="s">
        <v>109</v>
      </c>
      <c r="E536" s="50" t="s">
        <v>490</v>
      </c>
      <c r="F536" s="30" t="s">
        <v>27</v>
      </c>
      <c r="G536" s="31"/>
      <c r="H536" s="116"/>
      <c r="I536" s="31">
        <f t="shared" si="20"/>
        <v>0</v>
      </c>
      <c r="J536" s="31"/>
      <c r="K536" s="116"/>
      <c r="L536" s="31">
        <f t="shared" si="21"/>
        <v>0</v>
      </c>
    </row>
    <row r="537" spans="1:12" ht="36" customHeight="1" hidden="1">
      <c r="A537" s="35" t="s">
        <v>38</v>
      </c>
      <c r="B537" s="29" t="s">
        <v>683</v>
      </c>
      <c r="C537" s="29" t="s">
        <v>109</v>
      </c>
      <c r="D537" s="29" t="s">
        <v>109</v>
      </c>
      <c r="E537" s="50" t="s">
        <v>490</v>
      </c>
      <c r="F537" s="56" t="s">
        <v>39</v>
      </c>
      <c r="G537" s="31"/>
      <c r="H537" s="116">
        <f>596673-596673</f>
        <v>0</v>
      </c>
      <c r="I537" s="31">
        <f t="shared" si="20"/>
        <v>0</v>
      </c>
      <c r="J537" s="31"/>
      <c r="K537" s="116">
        <f>596673-596673</f>
        <v>0</v>
      </c>
      <c r="L537" s="31">
        <f t="shared" si="21"/>
        <v>0</v>
      </c>
    </row>
    <row r="538" spans="1:12" ht="35.25" customHeight="1">
      <c r="A538" s="16" t="s">
        <v>140</v>
      </c>
      <c r="B538" s="29" t="s">
        <v>683</v>
      </c>
      <c r="C538" s="29" t="s">
        <v>109</v>
      </c>
      <c r="D538" s="29" t="s">
        <v>109</v>
      </c>
      <c r="E538" s="50" t="s">
        <v>490</v>
      </c>
      <c r="F538" s="56" t="s">
        <v>141</v>
      </c>
      <c r="G538" s="31">
        <f>884876-221000</f>
        <v>663876</v>
      </c>
      <c r="H538" s="116"/>
      <c r="I538" s="31">
        <f t="shared" si="20"/>
        <v>663876</v>
      </c>
      <c r="J538" s="31">
        <f>884876-221000</f>
        <v>663876</v>
      </c>
      <c r="K538" s="116"/>
      <c r="L538" s="31">
        <f t="shared" si="21"/>
        <v>663876</v>
      </c>
    </row>
    <row r="539" spans="1:12" ht="15.75" customHeight="1" hidden="1">
      <c r="A539" s="10" t="s">
        <v>84</v>
      </c>
      <c r="B539" s="29" t="s">
        <v>683</v>
      </c>
      <c r="C539" s="29" t="s">
        <v>109</v>
      </c>
      <c r="D539" s="29" t="s">
        <v>109</v>
      </c>
      <c r="E539" s="50" t="s">
        <v>490</v>
      </c>
      <c r="F539" s="56" t="s">
        <v>85</v>
      </c>
      <c r="G539" s="31">
        <f>113-113</f>
        <v>0</v>
      </c>
      <c r="H539" s="116"/>
      <c r="I539" s="31">
        <f t="shared" si="20"/>
        <v>0</v>
      </c>
      <c r="J539" s="31">
        <f>113-113</f>
        <v>0</v>
      </c>
      <c r="K539" s="116"/>
      <c r="L539" s="31">
        <f t="shared" si="21"/>
        <v>0</v>
      </c>
    </row>
    <row r="540" spans="1:12" ht="15" customHeight="1">
      <c r="A540" s="16" t="s">
        <v>493</v>
      </c>
      <c r="B540" s="29" t="s">
        <v>683</v>
      </c>
      <c r="C540" s="29" t="s">
        <v>109</v>
      </c>
      <c r="D540" s="29" t="s">
        <v>248</v>
      </c>
      <c r="E540" s="29"/>
      <c r="F540" s="30"/>
      <c r="G540" s="31">
        <f>G541</f>
        <v>8052078</v>
      </c>
      <c r="H540" s="31">
        <f>H541+H555+H548</f>
        <v>0</v>
      </c>
      <c r="I540" s="31">
        <f aca="true" t="shared" si="22" ref="I540:I606">G540+H540</f>
        <v>8052078</v>
      </c>
      <c r="J540" s="31">
        <f>J541</f>
        <v>6197551</v>
      </c>
      <c r="K540" s="31">
        <f>K541+K555+K548</f>
        <v>0</v>
      </c>
      <c r="L540" s="31">
        <f t="shared" si="21"/>
        <v>6197551</v>
      </c>
    </row>
    <row r="541" spans="1:12" ht="40.5" customHeight="1">
      <c r="A541" s="16" t="s">
        <v>370</v>
      </c>
      <c r="B541" s="29" t="s">
        <v>683</v>
      </c>
      <c r="C541" s="29" t="s">
        <v>109</v>
      </c>
      <c r="D541" s="29" t="s">
        <v>248</v>
      </c>
      <c r="E541" s="29" t="s">
        <v>371</v>
      </c>
      <c r="F541" s="30"/>
      <c r="G541" s="31">
        <f>G542</f>
        <v>8052078</v>
      </c>
      <c r="H541" s="31">
        <f>H542</f>
        <v>0</v>
      </c>
      <c r="I541" s="31">
        <f t="shared" si="22"/>
        <v>8052078</v>
      </c>
      <c r="J541" s="31">
        <f>J542</f>
        <v>6197551</v>
      </c>
      <c r="K541" s="31">
        <f>K542</f>
        <v>0</v>
      </c>
      <c r="L541" s="31">
        <f t="shared" si="21"/>
        <v>6197551</v>
      </c>
    </row>
    <row r="542" spans="1:12" ht="62.25" customHeight="1">
      <c r="A542" s="121" t="s">
        <v>494</v>
      </c>
      <c r="B542" s="29" t="s">
        <v>683</v>
      </c>
      <c r="C542" s="29" t="s">
        <v>109</v>
      </c>
      <c r="D542" s="29" t="s">
        <v>248</v>
      </c>
      <c r="E542" s="29" t="s">
        <v>495</v>
      </c>
      <c r="F542" s="30"/>
      <c r="G542" s="31">
        <f>G543+G550</f>
        <v>8052078</v>
      </c>
      <c r="H542" s="31">
        <f>H543+H550</f>
        <v>0</v>
      </c>
      <c r="I542" s="31">
        <f t="shared" si="22"/>
        <v>8052078</v>
      </c>
      <c r="J542" s="31">
        <f>J543+J550</f>
        <v>6197551</v>
      </c>
      <c r="K542" s="31">
        <f>K543+K550</f>
        <v>0</v>
      </c>
      <c r="L542" s="31">
        <f t="shared" si="21"/>
        <v>6197551</v>
      </c>
    </row>
    <row r="543" spans="1:12" ht="33" customHeight="1">
      <c r="A543" s="10" t="s">
        <v>496</v>
      </c>
      <c r="B543" s="29" t="s">
        <v>683</v>
      </c>
      <c r="C543" s="29" t="s">
        <v>109</v>
      </c>
      <c r="D543" s="29" t="s">
        <v>248</v>
      </c>
      <c r="E543" s="29" t="s">
        <v>497</v>
      </c>
      <c r="F543" s="30"/>
      <c r="G543" s="31">
        <f>G544+G548</f>
        <v>7762203</v>
      </c>
      <c r="H543" s="31">
        <f>H544</f>
        <v>0</v>
      </c>
      <c r="I543" s="31">
        <f t="shared" si="22"/>
        <v>7762203</v>
      </c>
      <c r="J543" s="31">
        <f>J544+J548</f>
        <v>5907676</v>
      </c>
      <c r="K543" s="31">
        <f>K544</f>
        <v>0</v>
      </c>
      <c r="L543" s="31">
        <f t="shared" si="21"/>
        <v>5907676</v>
      </c>
    </row>
    <row r="544" spans="1:12" ht="25.5">
      <c r="A544" s="10" t="s">
        <v>201</v>
      </c>
      <c r="B544" s="29" t="s">
        <v>683</v>
      </c>
      <c r="C544" s="29" t="s">
        <v>109</v>
      </c>
      <c r="D544" s="29" t="s">
        <v>248</v>
      </c>
      <c r="E544" s="29" t="s">
        <v>498</v>
      </c>
      <c r="F544" s="30"/>
      <c r="G544" s="31">
        <f>G545+G546+G547</f>
        <v>7762203</v>
      </c>
      <c r="H544" s="31">
        <f>H545+H546+H547</f>
        <v>0</v>
      </c>
      <c r="I544" s="31">
        <f t="shared" si="22"/>
        <v>7762203</v>
      </c>
      <c r="J544" s="31">
        <f>J545+J546+J547</f>
        <v>5907676</v>
      </c>
      <c r="K544" s="31">
        <f>K545+K546+K547</f>
        <v>0</v>
      </c>
      <c r="L544" s="31">
        <f t="shared" si="21"/>
        <v>5907676</v>
      </c>
    </row>
    <row r="545" spans="1:12" ht="64.5">
      <c r="A545" s="35" t="s">
        <v>26</v>
      </c>
      <c r="B545" s="29" t="s">
        <v>683</v>
      </c>
      <c r="C545" s="29" t="s">
        <v>109</v>
      </c>
      <c r="D545" s="29" t="s">
        <v>248</v>
      </c>
      <c r="E545" s="29" t="s">
        <v>498</v>
      </c>
      <c r="F545" s="30" t="s">
        <v>27</v>
      </c>
      <c r="G545" s="31">
        <f>8473000-1860569</f>
        <v>6612431</v>
      </c>
      <c r="H545" s="116"/>
      <c r="I545" s="31">
        <f t="shared" si="22"/>
        <v>6612431</v>
      </c>
      <c r="J545" s="31">
        <f>8473000-90420-3360981-263695</f>
        <v>4757904</v>
      </c>
      <c r="K545" s="116"/>
      <c r="L545" s="31">
        <f t="shared" si="21"/>
        <v>4757904</v>
      </c>
    </row>
    <row r="546" spans="1:12" ht="26.25">
      <c r="A546" s="35" t="s">
        <v>38</v>
      </c>
      <c r="B546" s="29" t="s">
        <v>683</v>
      </c>
      <c r="C546" s="29" t="s">
        <v>109</v>
      </c>
      <c r="D546" s="29" t="s">
        <v>248</v>
      </c>
      <c r="E546" s="29" t="s">
        <v>498</v>
      </c>
      <c r="F546" s="30" t="s">
        <v>39</v>
      </c>
      <c r="G546" s="31">
        <v>1132462</v>
      </c>
      <c r="H546" s="116"/>
      <c r="I546" s="31">
        <f t="shared" si="22"/>
        <v>1132462</v>
      </c>
      <c r="J546" s="31">
        <v>1132462</v>
      </c>
      <c r="K546" s="116"/>
      <c r="L546" s="31">
        <f t="shared" si="21"/>
        <v>1132462</v>
      </c>
    </row>
    <row r="547" spans="1:12" ht="27.75" customHeight="1">
      <c r="A547" s="10" t="s">
        <v>84</v>
      </c>
      <c r="B547" s="29" t="s">
        <v>683</v>
      </c>
      <c r="C547" s="29" t="s">
        <v>109</v>
      </c>
      <c r="D547" s="29" t="s">
        <v>248</v>
      </c>
      <c r="E547" s="29" t="s">
        <v>498</v>
      </c>
      <c r="F547" s="30" t="s">
        <v>85</v>
      </c>
      <c r="G547" s="31">
        <v>17310</v>
      </c>
      <c r="H547" s="116"/>
      <c r="I547" s="31">
        <f t="shared" si="22"/>
        <v>17310</v>
      </c>
      <c r="J547" s="31">
        <v>17310</v>
      </c>
      <c r="K547" s="116"/>
      <c r="L547" s="31">
        <f t="shared" si="21"/>
        <v>17310</v>
      </c>
    </row>
    <row r="548" spans="1:12" ht="38.25" hidden="1">
      <c r="A548" s="10" t="s">
        <v>236</v>
      </c>
      <c r="B548" s="29" t="s">
        <v>683</v>
      </c>
      <c r="C548" s="29" t="s">
        <v>109</v>
      </c>
      <c r="D548" s="29" t="s">
        <v>248</v>
      </c>
      <c r="E548" s="29" t="s">
        <v>657</v>
      </c>
      <c r="F548" s="30"/>
      <c r="G548" s="31">
        <f>G549</f>
        <v>0</v>
      </c>
      <c r="H548" s="116"/>
      <c r="I548" s="31">
        <f t="shared" si="22"/>
        <v>0</v>
      </c>
      <c r="J548" s="31">
        <f>J549</f>
        <v>0</v>
      </c>
      <c r="K548" s="116"/>
      <c r="L548" s="31">
        <f t="shared" si="21"/>
        <v>0</v>
      </c>
    </row>
    <row r="549" spans="1:12" ht="26.25" hidden="1">
      <c r="A549" s="35" t="s">
        <v>38</v>
      </c>
      <c r="B549" s="29" t="s">
        <v>683</v>
      </c>
      <c r="C549" s="29" t="s">
        <v>109</v>
      </c>
      <c r="D549" s="29" t="s">
        <v>248</v>
      </c>
      <c r="E549" s="29" t="s">
        <v>657</v>
      </c>
      <c r="F549" s="30" t="s">
        <v>39</v>
      </c>
      <c r="G549" s="31"/>
      <c r="H549" s="116"/>
      <c r="I549" s="31">
        <f>G549+H549</f>
        <v>0</v>
      </c>
      <c r="J549" s="31"/>
      <c r="K549" s="116"/>
      <c r="L549" s="31">
        <f t="shared" si="21"/>
        <v>0</v>
      </c>
    </row>
    <row r="550" spans="1:12" ht="25.5">
      <c r="A550" s="10" t="s">
        <v>499</v>
      </c>
      <c r="B550" s="29" t="s">
        <v>683</v>
      </c>
      <c r="C550" s="29" t="s">
        <v>109</v>
      </c>
      <c r="D550" s="29" t="s">
        <v>248</v>
      </c>
      <c r="E550" s="29" t="s">
        <v>500</v>
      </c>
      <c r="F550" s="30"/>
      <c r="G550" s="31">
        <f>G551+G553</f>
        <v>289875</v>
      </c>
      <c r="H550" s="116"/>
      <c r="I550" s="31">
        <f t="shared" si="22"/>
        <v>289875</v>
      </c>
      <c r="J550" s="31">
        <f>J551+J553</f>
        <v>289875</v>
      </c>
      <c r="K550" s="116"/>
      <c r="L550" s="31">
        <f t="shared" si="21"/>
        <v>289875</v>
      </c>
    </row>
    <row r="551" spans="1:12" ht="39">
      <c r="A551" s="8" t="s">
        <v>501</v>
      </c>
      <c r="B551" s="29" t="s">
        <v>683</v>
      </c>
      <c r="C551" s="29" t="s">
        <v>109</v>
      </c>
      <c r="D551" s="29" t="s">
        <v>248</v>
      </c>
      <c r="E551" s="29" t="s">
        <v>502</v>
      </c>
      <c r="F551" s="30"/>
      <c r="G551" s="31">
        <f>G552</f>
        <v>289875</v>
      </c>
      <c r="H551" s="116"/>
      <c r="I551" s="31">
        <f t="shared" si="22"/>
        <v>289875</v>
      </c>
      <c r="J551" s="31">
        <f>J552</f>
        <v>289875</v>
      </c>
      <c r="K551" s="116"/>
      <c r="L551" s="31">
        <f t="shared" si="21"/>
        <v>289875</v>
      </c>
    </row>
    <row r="552" spans="1:12" ht="64.5">
      <c r="A552" s="35" t="s">
        <v>26</v>
      </c>
      <c r="B552" s="29" t="s">
        <v>683</v>
      </c>
      <c r="C552" s="29" t="s">
        <v>109</v>
      </c>
      <c r="D552" s="29" t="s">
        <v>248</v>
      </c>
      <c r="E552" s="29" t="s">
        <v>502</v>
      </c>
      <c r="F552" s="30" t="s">
        <v>27</v>
      </c>
      <c r="G552" s="31">
        <v>289875</v>
      </c>
      <c r="H552" s="116"/>
      <c r="I552" s="31">
        <f t="shared" si="22"/>
        <v>289875</v>
      </c>
      <c r="J552" s="31">
        <v>289875</v>
      </c>
      <c r="K552" s="116"/>
      <c r="L552" s="31">
        <f t="shared" si="21"/>
        <v>289875</v>
      </c>
    </row>
    <row r="553" spans="1:12" ht="15" hidden="1">
      <c r="A553" s="35" t="s">
        <v>421</v>
      </c>
      <c r="B553" s="29" t="s">
        <v>683</v>
      </c>
      <c r="C553" s="29" t="s">
        <v>109</v>
      </c>
      <c r="D553" s="29" t="s">
        <v>248</v>
      </c>
      <c r="E553" s="29" t="s">
        <v>503</v>
      </c>
      <c r="F553" s="30"/>
      <c r="G553" s="31">
        <f>G554</f>
        <v>0</v>
      </c>
      <c r="H553" s="116"/>
      <c r="I553" s="31">
        <f t="shared" si="22"/>
        <v>0</v>
      </c>
      <c r="J553" s="31">
        <f>J554</f>
        <v>0</v>
      </c>
      <c r="K553" s="116"/>
      <c r="L553" s="31">
        <f t="shared" si="21"/>
        <v>0</v>
      </c>
    </row>
    <row r="554" spans="1:12" ht="26.25" hidden="1">
      <c r="A554" s="35" t="s">
        <v>38</v>
      </c>
      <c r="B554" s="29" t="s">
        <v>683</v>
      </c>
      <c r="C554" s="29" t="s">
        <v>109</v>
      </c>
      <c r="D554" s="29" t="s">
        <v>248</v>
      </c>
      <c r="E554" s="29" t="s">
        <v>503</v>
      </c>
      <c r="F554" s="30" t="s">
        <v>39</v>
      </c>
      <c r="G554" s="31"/>
      <c r="H554" s="116"/>
      <c r="I554" s="31">
        <f t="shared" si="22"/>
        <v>0</v>
      </c>
      <c r="J554" s="31"/>
      <c r="K554" s="116"/>
      <c r="L554" s="31">
        <f t="shared" si="21"/>
        <v>0</v>
      </c>
    </row>
    <row r="555" spans="1:12" ht="25.5" hidden="1">
      <c r="A555" s="10" t="s">
        <v>504</v>
      </c>
      <c r="B555" s="29" t="s">
        <v>683</v>
      </c>
      <c r="C555" s="29" t="s">
        <v>109</v>
      </c>
      <c r="D555" s="29" t="s">
        <v>248</v>
      </c>
      <c r="E555" s="36" t="s">
        <v>505</v>
      </c>
      <c r="F555" s="30"/>
      <c r="G555" s="31">
        <f>G556</f>
        <v>0</v>
      </c>
      <c r="H555" s="116"/>
      <c r="I555" s="31">
        <f t="shared" si="22"/>
        <v>0</v>
      </c>
      <c r="J555" s="31">
        <f>J556</f>
        <v>0</v>
      </c>
      <c r="K555" s="116"/>
      <c r="L555" s="31">
        <f t="shared" si="21"/>
        <v>0</v>
      </c>
    </row>
    <row r="556" spans="1:12" ht="38.25" hidden="1">
      <c r="A556" s="10" t="s">
        <v>506</v>
      </c>
      <c r="B556" s="29" t="s">
        <v>683</v>
      </c>
      <c r="C556" s="29" t="s">
        <v>109</v>
      </c>
      <c r="D556" s="29" t="s">
        <v>248</v>
      </c>
      <c r="E556" s="36" t="s">
        <v>507</v>
      </c>
      <c r="F556" s="30"/>
      <c r="G556" s="31">
        <f>G557</f>
        <v>0</v>
      </c>
      <c r="H556" s="116"/>
      <c r="I556" s="31">
        <f t="shared" si="22"/>
        <v>0</v>
      </c>
      <c r="J556" s="31">
        <f>J557</f>
        <v>0</v>
      </c>
      <c r="K556" s="116"/>
      <c r="L556" s="31">
        <f t="shared" si="21"/>
        <v>0</v>
      </c>
    </row>
    <row r="557" spans="1:12" ht="15" hidden="1">
      <c r="A557" s="10" t="s">
        <v>508</v>
      </c>
      <c r="B557" s="29" t="s">
        <v>683</v>
      </c>
      <c r="C557" s="29" t="s">
        <v>109</v>
      </c>
      <c r="D557" s="29" t="s">
        <v>248</v>
      </c>
      <c r="E557" s="85" t="s">
        <v>509</v>
      </c>
      <c r="F557" s="30"/>
      <c r="G557" s="31">
        <f>G558</f>
        <v>0</v>
      </c>
      <c r="H557" s="116"/>
      <c r="I557" s="31">
        <f t="shared" si="22"/>
        <v>0</v>
      </c>
      <c r="J557" s="31">
        <f>J558</f>
        <v>0</v>
      </c>
      <c r="K557" s="116"/>
      <c r="L557" s="31">
        <f t="shared" si="21"/>
        <v>0</v>
      </c>
    </row>
    <row r="558" spans="1:12" ht="26.25" hidden="1">
      <c r="A558" s="35" t="s">
        <v>38</v>
      </c>
      <c r="B558" s="29" t="s">
        <v>683</v>
      </c>
      <c r="C558" s="29" t="s">
        <v>109</v>
      </c>
      <c r="D558" s="29" t="s">
        <v>248</v>
      </c>
      <c r="E558" s="36" t="s">
        <v>509</v>
      </c>
      <c r="F558" s="30" t="s">
        <v>39</v>
      </c>
      <c r="G558" s="31"/>
      <c r="H558" s="116"/>
      <c r="I558" s="31">
        <f t="shared" si="22"/>
        <v>0</v>
      </c>
      <c r="J558" s="31"/>
      <c r="K558" s="116"/>
      <c r="L558" s="31">
        <f t="shared" si="21"/>
        <v>0</v>
      </c>
    </row>
    <row r="559" spans="1:12" ht="18" customHeight="1">
      <c r="A559" s="16" t="s">
        <v>544</v>
      </c>
      <c r="B559" s="29" t="s">
        <v>683</v>
      </c>
      <c r="C559" s="29">
        <v>10</v>
      </c>
      <c r="D559" s="29"/>
      <c r="E559" s="29"/>
      <c r="F559" s="30"/>
      <c r="G559" s="31">
        <f>G560+G572</f>
        <v>41862294</v>
      </c>
      <c r="H559" s="116"/>
      <c r="I559" s="31">
        <f t="shared" si="22"/>
        <v>41862294</v>
      </c>
      <c r="J559" s="31">
        <f>J560+J572</f>
        <v>42224250</v>
      </c>
      <c r="K559" s="116"/>
      <c r="L559" s="31">
        <f t="shared" si="21"/>
        <v>42224250</v>
      </c>
    </row>
    <row r="560" spans="1:12" ht="19.5" customHeight="1">
      <c r="A560" s="16" t="s">
        <v>553</v>
      </c>
      <c r="B560" s="29" t="s">
        <v>683</v>
      </c>
      <c r="C560" s="29">
        <v>10</v>
      </c>
      <c r="D560" s="29" t="s">
        <v>29</v>
      </c>
      <c r="E560" s="29"/>
      <c r="F560" s="30"/>
      <c r="G560" s="31">
        <f>G561</f>
        <v>23148624</v>
      </c>
      <c r="H560" s="116"/>
      <c r="I560" s="31">
        <f t="shared" si="22"/>
        <v>23148624</v>
      </c>
      <c r="J560" s="31">
        <f>J561</f>
        <v>23148624</v>
      </c>
      <c r="K560" s="116"/>
      <c r="L560" s="31">
        <f t="shared" si="21"/>
        <v>23148624</v>
      </c>
    </row>
    <row r="561" spans="1:12" ht="41.25" customHeight="1">
      <c r="A561" s="16" t="s">
        <v>370</v>
      </c>
      <c r="B561" s="29" t="s">
        <v>683</v>
      </c>
      <c r="C561" s="29">
        <v>10</v>
      </c>
      <c r="D561" s="29" t="s">
        <v>29</v>
      </c>
      <c r="E561" s="29" t="s">
        <v>371</v>
      </c>
      <c r="F561" s="30"/>
      <c r="G561" s="31">
        <f>G562+G567</f>
        <v>23148624</v>
      </c>
      <c r="H561" s="116"/>
      <c r="I561" s="31">
        <f t="shared" si="22"/>
        <v>23148624</v>
      </c>
      <c r="J561" s="31">
        <f>J562+J567</f>
        <v>23148624</v>
      </c>
      <c r="K561" s="116"/>
      <c r="L561" s="31">
        <f t="shared" si="21"/>
        <v>23148624</v>
      </c>
    </row>
    <row r="562" spans="1:12" ht="51.75">
      <c r="A562" s="81" t="s">
        <v>372</v>
      </c>
      <c r="B562" s="29" t="s">
        <v>683</v>
      </c>
      <c r="C562" s="29">
        <v>10</v>
      </c>
      <c r="D562" s="29" t="s">
        <v>29</v>
      </c>
      <c r="E562" s="29" t="s">
        <v>373</v>
      </c>
      <c r="F562" s="30"/>
      <c r="G562" s="31">
        <f>G563</f>
        <v>22448624</v>
      </c>
      <c r="H562" s="116"/>
      <c r="I562" s="31">
        <f t="shared" si="22"/>
        <v>22448624</v>
      </c>
      <c r="J562" s="31">
        <f>J563</f>
        <v>22448624</v>
      </c>
      <c r="K562" s="116"/>
      <c r="L562" s="31">
        <f t="shared" si="21"/>
        <v>22448624</v>
      </c>
    </row>
    <row r="563" spans="1:12" ht="47.25" customHeight="1">
      <c r="A563" s="10" t="s">
        <v>570</v>
      </c>
      <c r="B563" s="29" t="s">
        <v>683</v>
      </c>
      <c r="C563" s="29">
        <v>10</v>
      </c>
      <c r="D563" s="29" t="s">
        <v>29</v>
      </c>
      <c r="E563" s="29" t="s">
        <v>571</v>
      </c>
      <c r="F563" s="30"/>
      <c r="G563" s="31">
        <f>G564</f>
        <v>22448624</v>
      </c>
      <c r="H563" s="116"/>
      <c r="I563" s="31">
        <f t="shared" si="22"/>
        <v>22448624</v>
      </c>
      <c r="J563" s="31">
        <f>J564</f>
        <v>22448624</v>
      </c>
      <c r="K563" s="116"/>
      <c r="L563" s="31">
        <f t="shared" si="21"/>
        <v>22448624</v>
      </c>
    </row>
    <row r="564" spans="1:12" ht="75.75" customHeight="1">
      <c r="A564" s="118" t="s">
        <v>572</v>
      </c>
      <c r="B564" s="29" t="s">
        <v>683</v>
      </c>
      <c r="C564" s="29">
        <v>10</v>
      </c>
      <c r="D564" s="29" t="s">
        <v>29</v>
      </c>
      <c r="E564" s="29" t="s">
        <v>573</v>
      </c>
      <c r="F564" s="30"/>
      <c r="G564" s="31">
        <f>G565+G566</f>
        <v>22448624</v>
      </c>
      <c r="H564" s="116"/>
      <c r="I564" s="31">
        <f t="shared" si="22"/>
        <v>22448624</v>
      </c>
      <c r="J564" s="31">
        <f>J565+J566</f>
        <v>22448624</v>
      </c>
      <c r="K564" s="116"/>
      <c r="L564" s="31">
        <f t="shared" si="21"/>
        <v>22448624</v>
      </c>
    </row>
    <row r="565" spans="1:12" ht="29.25" customHeight="1" hidden="1">
      <c r="A565" s="35" t="s">
        <v>38</v>
      </c>
      <c r="B565" s="29" t="s">
        <v>683</v>
      </c>
      <c r="C565" s="29">
        <v>10</v>
      </c>
      <c r="D565" s="29" t="s">
        <v>29</v>
      </c>
      <c r="E565" s="29" t="s">
        <v>573</v>
      </c>
      <c r="F565" s="30" t="s">
        <v>39</v>
      </c>
      <c r="G565" s="31"/>
      <c r="H565" s="116"/>
      <c r="I565" s="31">
        <f>G565+H565</f>
        <v>0</v>
      </c>
      <c r="J565" s="31"/>
      <c r="K565" s="116"/>
      <c r="L565" s="31">
        <f t="shared" si="21"/>
        <v>0</v>
      </c>
    </row>
    <row r="566" spans="1:12" ht="21.75" customHeight="1">
      <c r="A566" s="88" t="s">
        <v>211</v>
      </c>
      <c r="B566" s="29" t="s">
        <v>683</v>
      </c>
      <c r="C566" s="29">
        <v>10</v>
      </c>
      <c r="D566" s="29" t="s">
        <v>29</v>
      </c>
      <c r="E566" s="29" t="s">
        <v>573</v>
      </c>
      <c r="F566" s="30" t="s">
        <v>212</v>
      </c>
      <c r="G566" s="31">
        <v>22448624</v>
      </c>
      <c r="H566" s="116"/>
      <c r="I566" s="31">
        <f t="shared" si="22"/>
        <v>22448624</v>
      </c>
      <c r="J566" s="31">
        <v>22448624</v>
      </c>
      <c r="K566" s="116"/>
      <c r="L566" s="31">
        <f t="shared" si="21"/>
        <v>22448624</v>
      </c>
    </row>
    <row r="567" spans="1:12" ht="49.5" customHeight="1">
      <c r="A567" s="35" t="s">
        <v>454</v>
      </c>
      <c r="B567" s="29" t="s">
        <v>683</v>
      </c>
      <c r="C567" s="29">
        <v>10</v>
      </c>
      <c r="D567" s="29" t="s">
        <v>29</v>
      </c>
      <c r="E567" s="29" t="s">
        <v>455</v>
      </c>
      <c r="F567" s="30"/>
      <c r="G567" s="31">
        <f>G568</f>
        <v>700000</v>
      </c>
      <c r="H567" s="116"/>
      <c r="I567" s="31">
        <f>G567+H567</f>
        <v>700000</v>
      </c>
      <c r="J567" s="31">
        <f>J568</f>
        <v>700000</v>
      </c>
      <c r="K567" s="116"/>
      <c r="L567" s="31">
        <f t="shared" si="21"/>
        <v>700000</v>
      </c>
    </row>
    <row r="568" spans="1:12" ht="29.25" customHeight="1">
      <c r="A568" s="9" t="s">
        <v>574</v>
      </c>
      <c r="B568" s="29" t="s">
        <v>683</v>
      </c>
      <c r="C568" s="29">
        <v>10</v>
      </c>
      <c r="D568" s="29" t="s">
        <v>29</v>
      </c>
      <c r="E568" s="29" t="s">
        <v>575</v>
      </c>
      <c r="F568" s="30"/>
      <c r="G568" s="31">
        <f>G569</f>
        <v>700000</v>
      </c>
      <c r="H568" s="116"/>
      <c r="I568" s="31">
        <f>G568+H568</f>
        <v>700000</v>
      </c>
      <c r="J568" s="31">
        <f>J569</f>
        <v>700000</v>
      </c>
      <c r="K568" s="116"/>
      <c r="L568" s="31">
        <f t="shared" si="21"/>
        <v>700000</v>
      </c>
    </row>
    <row r="569" spans="1:12" ht="84.75" customHeight="1">
      <c r="A569" s="73" t="s">
        <v>576</v>
      </c>
      <c r="B569" s="29" t="s">
        <v>683</v>
      </c>
      <c r="C569" s="29">
        <v>10</v>
      </c>
      <c r="D569" s="29" t="s">
        <v>29</v>
      </c>
      <c r="E569" s="29" t="s">
        <v>577</v>
      </c>
      <c r="F569" s="30"/>
      <c r="G569" s="31">
        <f>G571</f>
        <v>700000</v>
      </c>
      <c r="H569" s="116"/>
      <c r="I569" s="31">
        <f>G569+H569</f>
        <v>700000</v>
      </c>
      <c r="J569" s="31">
        <f>J571</f>
        <v>700000</v>
      </c>
      <c r="K569" s="116"/>
      <c r="L569" s="31">
        <f aca="true" t="shared" si="23" ref="L569:L632">J569+K569</f>
        <v>700000</v>
      </c>
    </row>
    <row r="570" spans="1:12" ht="0.75" customHeight="1" hidden="1">
      <c r="A570" s="35" t="s">
        <v>38</v>
      </c>
      <c r="B570" s="29" t="s">
        <v>683</v>
      </c>
      <c r="C570" s="29">
        <v>10</v>
      </c>
      <c r="D570" s="29" t="s">
        <v>29</v>
      </c>
      <c r="E570" s="29" t="s">
        <v>578</v>
      </c>
      <c r="F570" s="30" t="s">
        <v>39</v>
      </c>
      <c r="G570" s="31"/>
      <c r="H570" s="116"/>
      <c r="I570" s="31">
        <f>G570+H570</f>
        <v>0</v>
      </c>
      <c r="J570" s="31"/>
      <c r="K570" s="116"/>
      <c r="L570" s="31">
        <f t="shared" si="23"/>
        <v>0</v>
      </c>
    </row>
    <row r="571" spans="1:12" ht="18.75" customHeight="1">
      <c r="A571" s="88" t="s">
        <v>211</v>
      </c>
      <c r="B571" s="29" t="s">
        <v>683</v>
      </c>
      <c r="C571" s="29">
        <v>10</v>
      </c>
      <c r="D571" s="29" t="s">
        <v>29</v>
      </c>
      <c r="E571" s="29" t="s">
        <v>577</v>
      </c>
      <c r="F571" s="30" t="s">
        <v>212</v>
      </c>
      <c r="G571" s="65">
        <v>700000</v>
      </c>
      <c r="H571" s="116"/>
      <c r="I571" s="31">
        <f>G571+H571</f>
        <v>700000</v>
      </c>
      <c r="J571" s="65">
        <v>700000</v>
      </c>
      <c r="K571" s="116"/>
      <c r="L571" s="31">
        <f t="shared" si="23"/>
        <v>700000</v>
      </c>
    </row>
    <row r="572" spans="1:19" ht="15" customHeight="1">
      <c r="A572" s="16" t="s">
        <v>579</v>
      </c>
      <c r="B572" s="29" t="s">
        <v>683</v>
      </c>
      <c r="C572" s="29">
        <v>10</v>
      </c>
      <c r="D572" s="29" t="s">
        <v>42</v>
      </c>
      <c r="E572" s="29"/>
      <c r="F572" s="30"/>
      <c r="G572" s="31">
        <f>G578+G573</f>
        <v>18713670</v>
      </c>
      <c r="H572" s="116"/>
      <c r="I572" s="31">
        <f t="shared" si="22"/>
        <v>18713670</v>
      </c>
      <c r="J572" s="31">
        <f>J578+J573</f>
        <v>19075626</v>
      </c>
      <c r="K572" s="116"/>
      <c r="L572" s="31">
        <f t="shared" si="23"/>
        <v>19075626</v>
      </c>
      <c r="N572" s="21"/>
      <c r="O572" s="21"/>
      <c r="P572" s="21"/>
      <c r="Q572" s="21"/>
      <c r="R572" s="21">
        <f>M572+M347</f>
        <v>0</v>
      </c>
      <c r="S572" s="21">
        <f>N572+N347</f>
        <v>0</v>
      </c>
    </row>
    <row r="573" spans="1:12" ht="45.75" customHeight="1">
      <c r="A573" s="16" t="s">
        <v>697</v>
      </c>
      <c r="B573" s="29" t="s">
        <v>683</v>
      </c>
      <c r="C573" s="29">
        <v>10</v>
      </c>
      <c r="D573" s="29" t="s">
        <v>42</v>
      </c>
      <c r="E573" s="90" t="s">
        <v>44</v>
      </c>
      <c r="F573" s="30"/>
      <c r="G573" s="31">
        <f>G574</f>
        <v>16393027</v>
      </c>
      <c r="H573" s="116"/>
      <c r="I573" s="31">
        <f t="shared" si="22"/>
        <v>16393027</v>
      </c>
      <c r="J573" s="31">
        <f>J574</f>
        <v>16754983</v>
      </c>
      <c r="K573" s="116"/>
      <c r="L573" s="31">
        <f t="shared" si="23"/>
        <v>16754983</v>
      </c>
    </row>
    <row r="574" spans="1:12" ht="81.75" customHeight="1">
      <c r="A574" s="63" t="s">
        <v>588</v>
      </c>
      <c r="B574" s="29" t="s">
        <v>683</v>
      </c>
      <c r="C574" s="29">
        <v>10</v>
      </c>
      <c r="D574" s="29" t="s">
        <v>42</v>
      </c>
      <c r="E574" s="29" t="s">
        <v>46</v>
      </c>
      <c r="F574" s="30"/>
      <c r="G574" s="31">
        <f>G576</f>
        <v>16393027</v>
      </c>
      <c r="H574" s="116"/>
      <c r="I574" s="31">
        <f t="shared" si="22"/>
        <v>16393027</v>
      </c>
      <c r="J574" s="31">
        <f>J576</f>
        <v>16754983</v>
      </c>
      <c r="K574" s="116"/>
      <c r="L574" s="31">
        <f t="shared" si="23"/>
        <v>16754983</v>
      </c>
    </row>
    <row r="575" spans="1:12" ht="45.75" customHeight="1">
      <c r="A575" s="10" t="s">
        <v>589</v>
      </c>
      <c r="B575" s="29" t="s">
        <v>683</v>
      </c>
      <c r="C575" s="29">
        <v>10</v>
      </c>
      <c r="D575" s="29" t="s">
        <v>42</v>
      </c>
      <c r="E575" s="29" t="s">
        <v>590</v>
      </c>
      <c r="F575" s="30"/>
      <c r="G575" s="31">
        <f>G576</f>
        <v>16393027</v>
      </c>
      <c r="H575" s="116"/>
      <c r="I575" s="31">
        <f t="shared" si="22"/>
        <v>16393027</v>
      </c>
      <c r="J575" s="31">
        <f>J576</f>
        <v>16754983</v>
      </c>
      <c r="K575" s="116"/>
      <c r="L575" s="31">
        <f t="shared" si="23"/>
        <v>16754983</v>
      </c>
    </row>
    <row r="576" spans="1:12" ht="39">
      <c r="A576" s="8" t="s">
        <v>591</v>
      </c>
      <c r="B576" s="29" t="s">
        <v>683</v>
      </c>
      <c r="C576" s="29">
        <v>10</v>
      </c>
      <c r="D576" s="29" t="s">
        <v>42</v>
      </c>
      <c r="E576" s="29" t="s">
        <v>592</v>
      </c>
      <c r="F576" s="30"/>
      <c r="G576" s="31">
        <f>G577</f>
        <v>16393027</v>
      </c>
      <c r="H576" s="116"/>
      <c r="I576" s="31">
        <f t="shared" si="22"/>
        <v>16393027</v>
      </c>
      <c r="J576" s="31">
        <f>J577</f>
        <v>16754983</v>
      </c>
      <c r="K576" s="116"/>
      <c r="L576" s="31">
        <f t="shared" si="23"/>
        <v>16754983</v>
      </c>
    </row>
    <row r="577" spans="1:12" ht="15">
      <c r="A577" s="88" t="s">
        <v>211</v>
      </c>
      <c r="B577" s="29" t="s">
        <v>683</v>
      </c>
      <c r="C577" s="29">
        <v>10</v>
      </c>
      <c r="D577" s="29" t="s">
        <v>42</v>
      </c>
      <c r="E577" s="29" t="s">
        <v>592</v>
      </c>
      <c r="F577" s="30" t="s">
        <v>212</v>
      </c>
      <c r="G577" s="31">
        <v>16393027</v>
      </c>
      <c r="H577" s="116"/>
      <c r="I577" s="31">
        <f t="shared" si="22"/>
        <v>16393027</v>
      </c>
      <c r="J577" s="31">
        <v>16754983</v>
      </c>
      <c r="K577" s="116"/>
      <c r="L577" s="31">
        <f t="shared" si="23"/>
        <v>16754983</v>
      </c>
    </row>
    <row r="578" spans="1:12" ht="39">
      <c r="A578" s="16" t="s">
        <v>593</v>
      </c>
      <c r="B578" s="29" t="s">
        <v>683</v>
      </c>
      <c r="C578" s="29">
        <v>10</v>
      </c>
      <c r="D578" s="29" t="s">
        <v>42</v>
      </c>
      <c r="E578" s="90" t="s">
        <v>371</v>
      </c>
      <c r="F578" s="30"/>
      <c r="G578" s="31">
        <f>G579</f>
        <v>2320643</v>
      </c>
      <c r="H578" s="116"/>
      <c r="I578" s="31">
        <f t="shared" si="22"/>
        <v>2320643</v>
      </c>
      <c r="J578" s="31">
        <f>J579</f>
        <v>2320643</v>
      </c>
      <c r="K578" s="116"/>
      <c r="L578" s="31">
        <f t="shared" si="23"/>
        <v>2320643</v>
      </c>
    </row>
    <row r="579" spans="1:12" ht="58.5" customHeight="1">
      <c r="A579" s="81" t="s">
        <v>372</v>
      </c>
      <c r="B579" s="29" t="s">
        <v>683</v>
      </c>
      <c r="C579" s="29">
        <v>10</v>
      </c>
      <c r="D579" s="29" t="s">
        <v>42</v>
      </c>
      <c r="E579" s="90" t="s">
        <v>373</v>
      </c>
      <c r="F579" s="30"/>
      <c r="G579" s="31">
        <f>G581</f>
        <v>2320643</v>
      </c>
      <c r="H579" s="116"/>
      <c r="I579" s="31">
        <f t="shared" si="22"/>
        <v>2320643</v>
      </c>
      <c r="J579" s="31">
        <f>J581</f>
        <v>2320643</v>
      </c>
      <c r="K579" s="116"/>
      <c r="L579" s="31">
        <f t="shared" si="23"/>
        <v>2320643</v>
      </c>
    </row>
    <row r="580" spans="1:12" ht="38.25">
      <c r="A580" s="10" t="s">
        <v>374</v>
      </c>
      <c r="B580" s="29" t="s">
        <v>683</v>
      </c>
      <c r="C580" s="29">
        <v>10</v>
      </c>
      <c r="D580" s="29" t="s">
        <v>42</v>
      </c>
      <c r="E580" s="90" t="s">
        <v>375</v>
      </c>
      <c r="F580" s="30"/>
      <c r="G580" s="31">
        <f>G581</f>
        <v>2320643</v>
      </c>
      <c r="H580" s="116"/>
      <c r="I580" s="31">
        <f t="shared" si="22"/>
        <v>2320643</v>
      </c>
      <c r="J580" s="31">
        <f>J581</f>
        <v>2320643</v>
      </c>
      <c r="K580" s="116"/>
      <c r="L580" s="31">
        <f t="shared" si="23"/>
        <v>2320643</v>
      </c>
    </row>
    <row r="581" spans="1:12" ht="15">
      <c r="A581" s="8" t="s">
        <v>595</v>
      </c>
      <c r="B581" s="29" t="s">
        <v>683</v>
      </c>
      <c r="C581" s="29">
        <v>10</v>
      </c>
      <c r="D581" s="29" t="s">
        <v>42</v>
      </c>
      <c r="E581" s="90" t="s">
        <v>596</v>
      </c>
      <c r="F581" s="30"/>
      <c r="G581" s="31">
        <f>G582</f>
        <v>2320643</v>
      </c>
      <c r="H581" s="116"/>
      <c r="I581" s="31">
        <f t="shared" si="22"/>
        <v>2320643</v>
      </c>
      <c r="J581" s="31">
        <f>J582</f>
        <v>2320643</v>
      </c>
      <c r="K581" s="116"/>
      <c r="L581" s="31">
        <f t="shared" si="23"/>
        <v>2320643</v>
      </c>
    </row>
    <row r="582" spans="1:12" ht="15">
      <c r="A582" s="88" t="s">
        <v>211</v>
      </c>
      <c r="B582" s="29" t="s">
        <v>683</v>
      </c>
      <c r="C582" s="29">
        <v>10</v>
      </c>
      <c r="D582" s="29" t="s">
        <v>42</v>
      </c>
      <c r="E582" s="90" t="s">
        <v>596</v>
      </c>
      <c r="F582" s="30" t="s">
        <v>212</v>
      </c>
      <c r="G582" s="31">
        <v>2320643</v>
      </c>
      <c r="H582" s="116"/>
      <c r="I582" s="31">
        <f t="shared" si="22"/>
        <v>2320643</v>
      </c>
      <c r="J582" s="31">
        <v>2320643</v>
      </c>
      <c r="K582" s="116"/>
      <c r="L582" s="31">
        <f t="shared" si="23"/>
        <v>2320643</v>
      </c>
    </row>
    <row r="583" spans="1:12" ht="15">
      <c r="A583" s="16" t="s">
        <v>600</v>
      </c>
      <c r="B583" s="29" t="s">
        <v>683</v>
      </c>
      <c r="C583" s="29" t="s">
        <v>115</v>
      </c>
      <c r="D583" s="29"/>
      <c r="E583" s="29"/>
      <c r="F583" s="30"/>
      <c r="G583" s="31">
        <f>G584</f>
        <v>6224468</v>
      </c>
      <c r="H583" s="116"/>
      <c r="I583" s="31">
        <f t="shared" si="22"/>
        <v>6224468</v>
      </c>
      <c r="J583" s="31">
        <f>J584</f>
        <v>6012342</v>
      </c>
      <c r="K583" s="116"/>
      <c r="L583" s="31">
        <f t="shared" si="23"/>
        <v>6012342</v>
      </c>
    </row>
    <row r="584" spans="1:12" ht="24.75" customHeight="1">
      <c r="A584" s="16" t="s">
        <v>601</v>
      </c>
      <c r="B584" s="29" t="s">
        <v>683</v>
      </c>
      <c r="C584" s="29" t="s">
        <v>115</v>
      </c>
      <c r="D584" s="29" t="s">
        <v>17</v>
      </c>
      <c r="E584" s="29"/>
      <c r="F584" s="30"/>
      <c r="G584" s="31">
        <f>G585</f>
        <v>6224468</v>
      </c>
      <c r="H584" s="116"/>
      <c r="I584" s="31">
        <f t="shared" si="22"/>
        <v>6224468</v>
      </c>
      <c r="J584" s="31">
        <f>J585</f>
        <v>6012342</v>
      </c>
      <c r="K584" s="116"/>
      <c r="L584" s="31">
        <f t="shared" si="23"/>
        <v>6012342</v>
      </c>
    </row>
    <row r="585" spans="1:12" ht="63.75">
      <c r="A585" s="10" t="s">
        <v>463</v>
      </c>
      <c r="B585" s="29" t="s">
        <v>683</v>
      </c>
      <c r="C585" s="29" t="s">
        <v>115</v>
      </c>
      <c r="D585" s="29" t="s">
        <v>17</v>
      </c>
      <c r="E585" s="50" t="s">
        <v>464</v>
      </c>
      <c r="F585" s="30"/>
      <c r="G585" s="31">
        <f>G586</f>
        <v>6224468</v>
      </c>
      <c r="H585" s="116"/>
      <c r="I585" s="31">
        <f t="shared" si="22"/>
        <v>6224468</v>
      </c>
      <c r="J585" s="31">
        <f>J586</f>
        <v>6012342</v>
      </c>
      <c r="K585" s="116"/>
      <c r="L585" s="31">
        <f t="shared" si="23"/>
        <v>6012342</v>
      </c>
    </row>
    <row r="586" spans="1:12" ht="89.25">
      <c r="A586" s="63" t="s">
        <v>602</v>
      </c>
      <c r="B586" s="29" t="s">
        <v>683</v>
      </c>
      <c r="C586" s="29" t="s">
        <v>115</v>
      </c>
      <c r="D586" s="29" t="s">
        <v>17</v>
      </c>
      <c r="E586" s="50" t="s">
        <v>603</v>
      </c>
      <c r="F586" s="30"/>
      <c r="G586" s="31">
        <f>G587</f>
        <v>6224468</v>
      </c>
      <c r="H586" s="116"/>
      <c r="I586" s="31">
        <f t="shared" si="22"/>
        <v>6224468</v>
      </c>
      <c r="J586" s="31">
        <f>J587</f>
        <v>6012342</v>
      </c>
      <c r="K586" s="116"/>
      <c r="L586" s="31">
        <f t="shared" si="23"/>
        <v>6012342</v>
      </c>
    </row>
    <row r="587" spans="1:12" ht="38.25">
      <c r="A587" s="53" t="s">
        <v>608</v>
      </c>
      <c r="B587" s="29" t="s">
        <v>683</v>
      </c>
      <c r="C587" s="29" t="s">
        <v>115</v>
      </c>
      <c r="D587" s="29" t="s">
        <v>17</v>
      </c>
      <c r="E587" s="50" t="s">
        <v>609</v>
      </c>
      <c r="F587" s="30"/>
      <c r="G587" s="31">
        <f>G588</f>
        <v>6224468</v>
      </c>
      <c r="H587" s="116"/>
      <c r="I587" s="31">
        <f t="shared" si="22"/>
        <v>6224468</v>
      </c>
      <c r="J587" s="31">
        <f>J588</f>
        <v>6012342</v>
      </c>
      <c r="K587" s="116"/>
      <c r="L587" s="31">
        <f t="shared" si="23"/>
        <v>6012342</v>
      </c>
    </row>
    <row r="588" spans="1:12" ht="40.5" customHeight="1">
      <c r="A588" s="16" t="s">
        <v>201</v>
      </c>
      <c r="B588" s="29" t="s">
        <v>683</v>
      </c>
      <c r="C588" s="29" t="s">
        <v>115</v>
      </c>
      <c r="D588" s="29" t="s">
        <v>17</v>
      </c>
      <c r="E588" s="50" t="s">
        <v>610</v>
      </c>
      <c r="F588" s="30"/>
      <c r="G588" s="31">
        <f>G590+G589+G591</f>
        <v>6224468</v>
      </c>
      <c r="H588" s="116"/>
      <c r="I588" s="31">
        <f t="shared" si="22"/>
        <v>6224468</v>
      </c>
      <c r="J588" s="31">
        <f>J590+J589+J591</f>
        <v>6012342</v>
      </c>
      <c r="K588" s="116"/>
      <c r="L588" s="31">
        <f t="shared" si="23"/>
        <v>6012342</v>
      </c>
    </row>
    <row r="589" spans="1:12" ht="64.5">
      <c r="A589" s="35" t="s">
        <v>26</v>
      </c>
      <c r="B589" s="29" t="s">
        <v>683</v>
      </c>
      <c r="C589" s="29" t="s">
        <v>115</v>
      </c>
      <c r="D589" s="29" t="s">
        <v>17</v>
      </c>
      <c r="E589" s="50" t="s">
        <v>610</v>
      </c>
      <c r="F589" s="30" t="s">
        <v>27</v>
      </c>
      <c r="G589" s="31">
        <f>6816000-1496712</f>
        <v>5319288</v>
      </c>
      <c r="H589" s="116"/>
      <c r="I589" s="31">
        <f t="shared" si="22"/>
        <v>5319288</v>
      </c>
      <c r="J589" s="31">
        <f>6816000-1496712-212126</f>
        <v>5107162</v>
      </c>
      <c r="K589" s="116"/>
      <c r="L589" s="31">
        <f t="shared" si="23"/>
        <v>5107162</v>
      </c>
    </row>
    <row r="590" spans="1:12" ht="26.25">
      <c r="A590" s="35" t="s">
        <v>38</v>
      </c>
      <c r="B590" s="29" t="s">
        <v>683</v>
      </c>
      <c r="C590" s="29" t="s">
        <v>115</v>
      </c>
      <c r="D590" s="29" t="s">
        <v>17</v>
      </c>
      <c r="E590" s="50" t="s">
        <v>610</v>
      </c>
      <c r="F590" s="30" t="s">
        <v>39</v>
      </c>
      <c r="G590" s="31">
        <v>819400</v>
      </c>
      <c r="H590" s="116"/>
      <c r="I590" s="31">
        <f t="shared" si="22"/>
        <v>819400</v>
      </c>
      <c r="J590" s="31">
        <f>819400</f>
        <v>819400</v>
      </c>
      <c r="K590" s="116"/>
      <c r="L590" s="31">
        <f t="shared" si="23"/>
        <v>819400</v>
      </c>
    </row>
    <row r="591" spans="1:12" ht="29.25" customHeight="1">
      <c r="A591" s="48" t="s">
        <v>84</v>
      </c>
      <c r="B591" s="29" t="s">
        <v>683</v>
      </c>
      <c r="C591" s="29" t="s">
        <v>115</v>
      </c>
      <c r="D591" s="29" t="s">
        <v>17</v>
      </c>
      <c r="E591" s="50" t="s">
        <v>610</v>
      </c>
      <c r="F591" s="30" t="s">
        <v>85</v>
      </c>
      <c r="G591" s="31">
        <v>85780</v>
      </c>
      <c r="H591" s="116"/>
      <c r="I591" s="31">
        <f t="shared" si="22"/>
        <v>85780</v>
      </c>
      <c r="J591" s="31">
        <v>85780</v>
      </c>
      <c r="K591" s="116"/>
      <c r="L591" s="31">
        <f t="shared" si="23"/>
        <v>85780</v>
      </c>
    </row>
    <row r="592" spans="1:12" ht="26.25">
      <c r="A592" s="15" t="s">
        <v>698</v>
      </c>
      <c r="B592" s="29" t="s">
        <v>699</v>
      </c>
      <c r="C592" s="29"/>
      <c r="D592" s="29"/>
      <c r="E592" s="29"/>
      <c r="F592" s="30"/>
      <c r="G592" s="31">
        <f>G593+G631</f>
        <v>25567708</v>
      </c>
      <c r="H592" s="31">
        <f>H593+H631</f>
        <v>512700</v>
      </c>
      <c r="I592" s="31">
        <f t="shared" si="22"/>
        <v>26080408</v>
      </c>
      <c r="J592" s="31">
        <f>J593+J631</f>
        <v>24681609</v>
      </c>
      <c r="K592" s="31">
        <f>K593+K631</f>
        <v>512700</v>
      </c>
      <c r="L592" s="31">
        <f t="shared" si="23"/>
        <v>25194309</v>
      </c>
    </row>
    <row r="593" spans="1:12" s="42" customFormat="1" ht="21.75" customHeight="1">
      <c r="A593" s="16" t="s">
        <v>510</v>
      </c>
      <c r="B593" s="29" t="s">
        <v>699</v>
      </c>
      <c r="C593" s="29" t="s">
        <v>240</v>
      </c>
      <c r="D593" s="29"/>
      <c r="E593" s="29"/>
      <c r="F593" s="30"/>
      <c r="G593" s="31">
        <f>G594+G620</f>
        <v>23902258</v>
      </c>
      <c r="H593" s="116">
        <f>H594+H620</f>
        <v>512700</v>
      </c>
      <c r="I593" s="31">
        <f t="shared" si="22"/>
        <v>24414958</v>
      </c>
      <c r="J593" s="31">
        <f>J594+J620</f>
        <v>23016159</v>
      </c>
      <c r="K593" s="116">
        <f>K594+K620</f>
        <v>512700</v>
      </c>
      <c r="L593" s="31">
        <f t="shared" si="23"/>
        <v>23528859</v>
      </c>
    </row>
    <row r="594" spans="1:12" ht="15">
      <c r="A594" s="16" t="s">
        <v>702</v>
      </c>
      <c r="B594" s="29" t="s">
        <v>699</v>
      </c>
      <c r="C594" s="29" t="s">
        <v>240</v>
      </c>
      <c r="D594" s="29" t="s">
        <v>17</v>
      </c>
      <c r="E594" s="29"/>
      <c r="F594" s="30"/>
      <c r="G594" s="31">
        <f>G595+G605+G616</f>
        <v>20919329</v>
      </c>
      <c r="H594" s="31">
        <f>H595+H605+H616</f>
        <v>512700</v>
      </c>
      <c r="I594" s="31">
        <f t="shared" si="22"/>
        <v>21432029</v>
      </c>
      <c r="J594" s="31">
        <f>J595+J605+J616</f>
        <v>20153391</v>
      </c>
      <c r="K594" s="31">
        <f>K595+K605+K616</f>
        <v>512700</v>
      </c>
      <c r="L594" s="31">
        <f t="shared" si="23"/>
        <v>20666091</v>
      </c>
    </row>
    <row r="595" spans="1:12" ht="39">
      <c r="A595" s="16" t="s">
        <v>512</v>
      </c>
      <c r="B595" s="29" t="s">
        <v>699</v>
      </c>
      <c r="C595" s="29" t="s">
        <v>240</v>
      </c>
      <c r="D595" s="29" t="s">
        <v>17</v>
      </c>
      <c r="E595" s="29" t="s">
        <v>513</v>
      </c>
      <c r="F595" s="30"/>
      <c r="G595" s="31">
        <f>G596+G610</f>
        <v>20909329</v>
      </c>
      <c r="H595" s="116">
        <f>H596+H610</f>
        <v>512700</v>
      </c>
      <c r="I595" s="31">
        <f t="shared" si="22"/>
        <v>21422029</v>
      </c>
      <c r="J595" s="31">
        <f>J596+J610</f>
        <v>20143391</v>
      </c>
      <c r="K595" s="116">
        <f>K596+K610</f>
        <v>512700</v>
      </c>
      <c r="L595" s="31">
        <f t="shared" si="23"/>
        <v>20656091</v>
      </c>
    </row>
    <row r="596" spans="1:12" ht="51.75">
      <c r="A596" s="16" t="s">
        <v>514</v>
      </c>
      <c r="B596" s="29" t="s">
        <v>699</v>
      </c>
      <c r="C596" s="29" t="s">
        <v>515</v>
      </c>
      <c r="D596" s="29" t="s">
        <v>17</v>
      </c>
      <c r="E596" s="29" t="s">
        <v>516</v>
      </c>
      <c r="F596" s="30"/>
      <c r="G596" s="31">
        <f>G597</f>
        <v>11547694</v>
      </c>
      <c r="H596" s="31">
        <f>H597</f>
        <v>512700</v>
      </c>
      <c r="I596" s="31">
        <f t="shared" si="22"/>
        <v>12060394</v>
      </c>
      <c r="J596" s="31">
        <f>J597</f>
        <v>11107414</v>
      </c>
      <c r="K596" s="31">
        <f>K597</f>
        <v>512700</v>
      </c>
      <c r="L596" s="31">
        <f t="shared" si="23"/>
        <v>11620114</v>
      </c>
    </row>
    <row r="597" spans="1:12" ht="51">
      <c r="A597" s="13" t="s">
        <v>517</v>
      </c>
      <c r="B597" s="29" t="s">
        <v>699</v>
      </c>
      <c r="C597" s="29" t="s">
        <v>515</v>
      </c>
      <c r="D597" s="29" t="s">
        <v>17</v>
      </c>
      <c r="E597" s="29" t="s">
        <v>518</v>
      </c>
      <c r="F597" s="30"/>
      <c r="G597" s="31">
        <f>G598+G603</f>
        <v>11547694</v>
      </c>
      <c r="H597" s="31">
        <f>H598+H603</f>
        <v>512700</v>
      </c>
      <c r="I597" s="31">
        <f t="shared" si="22"/>
        <v>12060394</v>
      </c>
      <c r="J597" s="31">
        <f>J598+J603</f>
        <v>11107414</v>
      </c>
      <c r="K597" s="31">
        <f>K598+K603</f>
        <v>512700</v>
      </c>
      <c r="L597" s="31">
        <f t="shared" si="23"/>
        <v>11620114</v>
      </c>
    </row>
    <row r="598" spans="1:12" ht="26.25">
      <c r="A598" s="16" t="s">
        <v>201</v>
      </c>
      <c r="B598" s="29" t="s">
        <v>699</v>
      </c>
      <c r="C598" s="29" t="s">
        <v>515</v>
      </c>
      <c r="D598" s="29" t="s">
        <v>17</v>
      </c>
      <c r="E598" s="29" t="s">
        <v>519</v>
      </c>
      <c r="F598" s="30"/>
      <c r="G598" s="31">
        <f>G599+G600+G602+G601</f>
        <v>11547694</v>
      </c>
      <c r="H598" s="31">
        <f>H599+H600+H602+H601</f>
        <v>512700</v>
      </c>
      <c r="I598" s="31">
        <f t="shared" si="22"/>
        <v>12060394</v>
      </c>
      <c r="J598" s="31">
        <f>J599+J600+J602+J601</f>
        <v>11107414</v>
      </c>
      <c r="K598" s="31">
        <f>K599+K600+K602+K601</f>
        <v>512700</v>
      </c>
      <c r="L598" s="31">
        <f t="shared" si="23"/>
        <v>11620114</v>
      </c>
    </row>
    <row r="599" spans="1:12" ht="71.25" customHeight="1">
      <c r="A599" s="35" t="s">
        <v>26</v>
      </c>
      <c r="B599" s="29" t="s">
        <v>699</v>
      </c>
      <c r="C599" s="29" t="s">
        <v>515</v>
      </c>
      <c r="D599" s="29" t="s">
        <v>17</v>
      </c>
      <c r="E599" s="29" t="s">
        <v>519</v>
      </c>
      <c r="F599" s="30" t="s">
        <v>27</v>
      </c>
      <c r="G599" s="31">
        <f>10949700+2314300-2885420</f>
        <v>10378580</v>
      </c>
      <c r="H599" s="116"/>
      <c r="I599" s="31">
        <f t="shared" si="22"/>
        <v>10378580</v>
      </c>
      <c r="J599" s="31">
        <f>10949700+2314300-2885420-440280</f>
        <v>9938300</v>
      </c>
      <c r="K599" s="116"/>
      <c r="L599" s="31">
        <f t="shared" si="23"/>
        <v>9938300</v>
      </c>
    </row>
    <row r="600" spans="1:12" ht="25.5" customHeight="1">
      <c r="A600" s="35" t="s">
        <v>38</v>
      </c>
      <c r="B600" s="29" t="s">
        <v>699</v>
      </c>
      <c r="C600" s="29" t="s">
        <v>515</v>
      </c>
      <c r="D600" s="29" t="s">
        <v>17</v>
      </c>
      <c r="E600" s="29" t="s">
        <v>519</v>
      </c>
      <c r="F600" s="30" t="s">
        <v>39</v>
      </c>
      <c r="G600" s="31">
        <f>75300+15400+35000+32000+12000+78200+460700+6000+92000+10000+40000+532000-512700</f>
        <v>875900</v>
      </c>
      <c r="H600" s="116">
        <v>512700</v>
      </c>
      <c r="I600" s="31">
        <f t="shared" si="22"/>
        <v>1388600</v>
      </c>
      <c r="J600" s="31">
        <f>75300+15400+35000+32000+12000+78200+460700+6000+92000+10000+40000+532000-512700</f>
        <v>875900</v>
      </c>
      <c r="K600" s="116">
        <v>512700</v>
      </c>
      <c r="L600" s="31">
        <f t="shared" si="23"/>
        <v>1388600</v>
      </c>
    </row>
    <row r="601" spans="1:12" ht="26.25" customHeight="1" hidden="1">
      <c r="A601" s="16" t="s">
        <v>271</v>
      </c>
      <c r="B601" s="29" t="s">
        <v>699</v>
      </c>
      <c r="C601" s="29" t="s">
        <v>515</v>
      </c>
      <c r="D601" s="29" t="s">
        <v>17</v>
      </c>
      <c r="E601" s="29" t="s">
        <v>519</v>
      </c>
      <c r="F601" s="30" t="s">
        <v>272</v>
      </c>
      <c r="G601" s="31"/>
      <c r="H601" s="116"/>
      <c r="I601" s="31">
        <f t="shared" si="22"/>
        <v>0</v>
      </c>
      <c r="J601" s="31"/>
      <c r="K601" s="116"/>
      <c r="L601" s="31">
        <f t="shared" si="23"/>
        <v>0</v>
      </c>
    </row>
    <row r="602" spans="1:12" ht="21.75" customHeight="1">
      <c r="A602" s="48" t="s">
        <v>84</v>
      </c>
      <c r="B602" s="29" t="s">
        <v>699</v>
      </c>
      <c r="C602" s="29" t="s">
        <v>515</v>
      </c>
      <c r="D602" s="29" t="s">
        <v>17</v>
      </c>
      <c r="E602" s="29" t="s">
        <v>519</v>
      </c>
      <c r="F602" s="30" t="s">
        <v>85</v>
      </c>
      <c r="G602" s="31">
        <f>280514+12700</f>
        <v>293214</v>
      </c>
      <c r="H602" s="116"/>
      <c r="I602" s="31">
        <f t="shared" si="22"/>
        <v>293214</v>
      </c>
      <c r="J602" s="31">
        <f>280514+12700</f>
        <v>293214</v>
      </c>
      <c r="K602" s="116"/>
      <c r="L602" s="31">
        <f t="shared" si="23"/>
        <v>293214</v>
      </c>
    </row>
    <row r="603" spans="1:12" ht="50.25" customHeight="1" hidden="1">
      <c r="A603" s="35" t="s">
        <v>520</v>
      </c>
      <c r="B603" s="29" t="s">
        <v>699</v>
      </c>
      <c r="C603" s="29" t="s">
        <v>240</v>
      </c>
      <c r="D603" s="29" t="s">
        <v>17</v>
      </c>
      <c r="E603" s="29" t="s">
        <v>521</v>
      </c>
      <c r="F603" s="30"/>
      <c r="G603" s="31">
        <f>G604</f>
        <v>0</v>
      </c>
      <c r="H603" s="116"/>
      <c r="I603" s="31">
        <f t="shared" si="22"/>
        <v>0</v>
      </c>
      <c r="J603" s="31">
        <f>J604</f>
        <v>0</v>
      </c>
      <c r="K603" s="116"/>
      <c r="L603" s="31">
        <f t="shared" si="23"/>
        <v>0</v>
      </c>
    </row>
    <row r="604" spans="1:12" ht="26.25" customHeight="1" hidden="1">
      <c r="A604" s="35" t="s">
        <v>38</v>
      </c>
      <c r="B604" s="29" t="s">
        <v>699</v>
      </c>
      <c r="C604" s="29" t="s">
        <v>240</v>
      </c>
      <c r="D604" s="29" t="s">
        <v>17</v>
      </c>
      <c r="E604" s="29" t="s">
        <v>521</v>
      </c>
      <c r="F604" s="30" t="s">
        <v>39</v>
      </c>
      <c r="G604" s="31"/>
      <c r="H604" s="116"/>
      <c r="I604" s="31">
        <f t="shared" si="22"/>
        <v>0</v>
      </c>
      <c r="J604" s="31"/>
      <c r="K604" s="116"/>
      <c r="L604" s="31">
        <f t="shared" si="23"/>
        <v>0</v>
      </c>
    </row>
    <row r="605" spans="1:12" ht="42" customHeight="1">
      <c r="A605" s="121" t="s">
        <v>527</v>
      </c>
      <c r="B605" s="29" t="s">
        <v>699</v>
      </c>
      <c r="C605" s="29" t="s">
        <v>515</v>
      </c>
      <c r="D605" s="29" t="s">
        <v>17</v>
      </c>
      <c r="E605" s="29" t="s">
        <v>436</v>
      </c>
      <c r="F605" s="37"/>
      <c r="G605" s="31">
        <f>G606</f>
        <v>10000</v>
      </c>
      <c r="H605" s="116"/>
      <c r="I605" s="31">
        <f t="shared" si="22"/>
        <v>10000</v>
      </c>
      <c r="J605" s="31">
        <f>J606</f>
        <v>10000</v>
      </c>
      <c r="K605" s="116"/>
      <c r="L605" s="31">
        <f t="shared" si="23"/>
        <v>10000</v>
      </c>
    </row>
    <row r="606" spans="1:12" ht="69.75" customHeight="1">
      <c r="A606" s="13" t="s">
        <v>437</v>
      </c>
      <c r="B606" s="29" t="s">
        <v>699</v>
      </c>
      <c r="C606" s="29" t="s">
        <v>515</v>
      </c>
      <c r="D606" s="29" t="s">
        <v>17</v>
      </c>
      <c r="E606" s="29" t="s">
        <v>438</v>
      </c>
      <c r="F606" s="37"/>
      <c r="G606" s="31">
        <f>G607</f>
        <v>10000</v>
      </c>
      <c r="H606" s="116"/>
      <c r="I606" s="31">
        <f t="shared" si="22"/>
        <v>10000</v>
      </c>
      <c r="J606" s="31">
        <f>J607</f>
        <v>10000</v>
      </c>
      <c r="K606" s="116"/>
      <c r="L606" s="31">
        <f t="shared" si="23"/>
        <v>10000</v>
      </c>
    </row>
    <row r="607" spans="1:12" ht="28.5" customHeight="1">
      <c r="A607" s="59" t="s">
        <v>439</v>
      </c>
      <c r="B607" s="29" t="s">
        <v>699</v>
      </c>
      <c r="C607" s="29" t="s">
        <v>515</v>
      </c>
      <c r="D607" s="29" t="s">
        <v>17</v>
      </c>
      <c r="E607" s="29" t="s">
        <v>440</v>
      </c>
      <c r="F607" s="37"/>
      <c r="G607" s="31">
        <f>G608</f>
        <v>10000</v>
      </c>
      <c r="H607" s="116"/>
      <c r="I607" s="31">
        <f aca="true" t="shared" si="24" ref="I607:I632">G607+H607</f>
        <v>10000</v>
      </c>
      <c r="J607" s="31">
        <f>J608</f>
        <v>10000</v>
      </c>
      <c r="K607" s="116"/>
      <c r="L607" s="31">
        <f t="shared" si="23"/>
        <v>10000</v>
      </c>
    </row>
    <row r="608" spans="1:12" ht="32.25" customHeight="1">
      <c r="A608" s="59" t="s">
        <v>441</v>
      </c>
      <c r="B608" s="29" t="s">
        <v>699</v>
      </c>
      <c r="C608" s="29" t="s">
        <v>515</v>
      </c>
      <c r="D608" s="29" t="s">
        <v>17</v>
      </c>
      <c r="E608" s="29" t="s">
        <v>442</v>
      </c>
      <c r="F608" s="37"/>
      <c r="G608" s="31">
        <f>G609</f>
        <v>10000</v>
      </c>
      <c r="H608" s="116"/>
      <c r="I608" s="31">
        <f t="shared" si="24"/>
        <v>10000</v>
      </c>
      <c r="J608" s="31">
        <f>J609</f>
        <v>10000</v>
      </c>
      <c r="K608" s="116"/>
      <c r="L608" s="31">
        <f t="shared" si="23"/>
        <v>10000</v>
      </c>
    </row>
    <row r="609" spans="1:12" ht="26.25">
      <c r="A609" s="35" t="s">
        <v>38</v>
      </c>
      <c r="B609" s="29" t="s">
        <v>699</v>
      </c>
      <c r="C609" s="29" t="s">
        <v>515</v>
      </c>
      <c r="D609" s="29" t="s">
        <v>17</v>
      </c>
      <c r="E609" s="29" t="s">
        <v>442</v>
      </c>
      <c r="F609" s="30" t="s">
        <v>39</v>
      </c>
      <c r="G609" s="31">
        <v>10000</v>
      </c>
      <c r="H609" s="116"/>
      <c r="I609" s="31">
        <f t="shared" si="24"/>
        <v>10000</v>
      </c>
      <c r="J609" s="31">
        <v>10000</v>
      </c>
      <c r="K609" s="116"/>
      <c r="L609" s="31">
        <f t="shared" si="23"/>
        <v>10000</v>
      </c>
    </row>
    <row r="610" spans="1:12" ht="40.5" customHeight="1">
      <c r="A610" s="16" t="s">
        <v>522</v>
      </c>
      <c r="B610" s="29" t="s">
        <v>699</v>
      </c>
      <c r="C610" s="29" t="s">
        <v>515</v>
      </c>
      <c r="D610" s="29" t="s">
        <v>17</v>
      </c>
      <c r="E610" s="50" t="s">
        <v>523</v>
      </c>
      <c r="F610" s="30"/>
      <c r="G610" s="31">
        <f>G611</f>
        <v>9361635</v>
      </c>
      <c r="H610" s="116">
        <f>H612+H616</f>
        <v>0</v>
      </c>
      <c r="I610" s="31">
        <f t="shared" si="24"/>
        <v>9361635</v>
      </c>
      <c r="J610" s="31">
        <f>J611</f>
        <v>9035977</v>
      </c>
      <c r="K610" s="116">
        <f>K612+K616</f>
        <v>0</v>
      </c>
      <c r="L610" s="31">
        <f t="shared" si="23"/>
        <v>9035977</v>
      </c>
    </row>
    <row r="611" spans="1:12" ht="27" customHeight="1">
      <c r="A611" s="10" t="s">
        <v>524</v>
      </c>
      <c r="B611" s="29" t="s">
        <v>699</v>
      </c>
      <c r="C611" s="29" t="s">
        <v>515</v>
      </c>
      <c r="D611" s="29" t="s">
        <v>17</v>
      </c>
      <c r="E611" s="50" t="s">
        <v>525</v>
      </c>
      <c r="F611" s="30"/>
      <c r="G611" s="31">
        <f>G612</f>
        <v>9361635</v>
      </c>
      <c r="H611" s="116"/>
      <c r="I611" s="31">
        <f t="shared" si="24"/>
        <v>9361635</v>
      </c>
      <c r="J611" s="31">
        <f>J612</f>
        <v>9035977</v>
      </c>
      <c r="K611" s="116"/>
      <c r="L611" s="31">
        <f t="shared" si="23"/>
        <v>9035977</v>
      </c>
    </row>
    <row r="612" spans="1:12" ht="26.25">
      <c r="A612" s="16" t="s">
        <v>201</v>
      </c>
      <c r="B612" s="29" t="s">
        <v>699</v>
      </c>
      <c r="C612" s="29" t="s">
        <v>515</v>
      </c>
      <c r="D612" s="29" t="s">
        <v>17</v>
      </c>
      <c r="E612" s="50" t="s">
        <v>526</v>
      </c>
      <c r="F612" s="30"/>
      <c r="G612" s="31">
        <f>G613+G614+G615</f>
        <v>9361635</v>
      </c>
      <c r="H612" s="116">
        <f>H613+H614+H615</f>
        <v>0</v>
      </c>
      <c r="I612" s="31">
        <f t="shared" si="24"/>
        <v>9361635</v>
      </c>
      <c r="J612" s="31">
        <f>J613+J614+J615</f>
        <v>9035977</v>
      </c>
      <c r="K612" s="116">
        <f>K613+K614+K615</f>
        <v>0</v>
      </c>
      <c r="L612" s="31">
        <f t="shared" si="23"/>
        <v>9035977</v>
      </c>
    </row>
    <row r="613" spans="1:12" ht="64.5">
      <c r="A613" s="35" t="s">
        <v>26</v>
      </c>
      <c r="B613" s="29" t="s">
        <v>699</v>
      </c>
      <c r="C613" s="29" t="s">
        <v>515</v>
      </c>
      <c r="D613" s="29" t="s">
        <v>17</v>
      </c>
      <c r="E613" s="50" t="s">
        <v>526</v>
      </c>
      <c r="F613" s="30" t="s">
        <v>27</v>
      </c>
      <c r="G613" s="31">
        <f>8860000+40000+2676000-2468859</f>
        <v>9107141</v>
      </c>
      <c r="H613" s="116"/>
      <c r="I613" s="31">
        <f t="shared" si="24"/>
        <v>9107141</v>
      </c>
      <c r="J613" s="31">
        <f>8860000+40000+2676000-2468859-325658</f>
        <v>8781483</v>
      </c>
      <c r="K613" s="116"/>
      <c r="L613" s="31">
        <f t="shared" si="23"/>
        <v>8781483</v>
      </c>
    </row>
    <row r="614" spans="1:12" ht="26.25">
      <c r="A614" s="35" t="s">
        <v>38</v>
      </c>
      <c r="B614" s="29" t="s">
        <v>699</v>
      </c>
      <c r="C614" s="29" t="s">
        <v>515</v>
      </c>
      <c r="D614" s="29" t="s">
        <v>17</v>
      </c>
      <c r="E614" s="50" t="s">
        <v>526</v>
      </c>
      <c r="F614" s="30" t="s">
        <v>39</v>
      </c>
      <c r="G614" s="31">
        <f>20800+6800+1000+15000+60000+5000+111694</f>
        <v>220294</v>
      </c>
      <c r="H614" s="116"/>
      <c r="I614" s="31">
        <f t="shared" si="24"/>
        <v>220294</v>
      </c>
      <c r="J614" s="31">
        <f>20800+6800+1000+15000+60000+5000+111694</f>
        <v>220294</v>
      </c>
      <c r="K614" s="116"/>
      <c r="L614" s="31">
        <f t="shared" si="23"/>
        <v>220294</v>
      </c>
    </row>
    <row r="615" spans="1:12" ht="14.25" customHeight="1">
      <c r="A615" s="48" t="s">
        <v>84</v>
      </c>
      <c r="B615" s="29" t="s">
        <v>699</v>
      </c>
      <c r="C615" s="29" t="s">
        <v>515</v>
      </c>
      <c r="D615" s="29" t="s">
        <v>17</v>
      </c>
      <c r="E615" s="50" t="s">
        <v>526</v>
      </c>
      <c r="F615" s="30" t="s">
        <v>85</v>
      </c>
      <c r="G615" s="31">
        <f>34200</f>
        <v>34200</v>
      </c>
      <c r="H615" s="116"/>
      <c r="I615" s="31">
        <f t="shared" si="24"/>
        <v>34200</v>
      </c>
      <c r="J615" s="31">
        <f>34200</f>
        <v>34200</v>
      </c>
      <c r="K615" s="116"/>
      <c r="L615" s="31">
        <f t="shared" si="23"/>
        <v>34200</v>
      </c>
    </row>
    <row r="616" spans="1:12" ht="25.5" hidden="1">
      <c r="A616" s="10" t="s">
        <v>504</v>
      </c>
      <c r="B616" s="29" t="s">
        <v>699</v>
      </c>
      <c r="C616" s="29" t="s">
        <v>515</v>
      </c>
      <c r="D616" s="29" t="s">
        <v>17</v>
      </c>
      <c r="E616" s="50" t="s">
        <v>505</v>
      </c>
      <c r="F616" s="30"/>
      <c r="G616" s="31">
        <f>G617</f>
        <v>0</v>
      </c>
      <c r="H616" s="116"/>
      <c r="I616" s="31">
        <f t="shared" si="24"/>
        <v>0</v>
      </c>
      <c r="J616" s="31">
        <f>J617</f>
        <v>0</v>
      </c>
      <c r="K616" s="116"/>
      <c r="L616" s="31">
        <f t="shared" si="23"/>
        <v>0</v>
      </c>
    </row>
    <row r="617" spans="1:12" ht="39" hidden="1">
      <c r="A617" s="35" t="s">
        <v>506</v>
      </c>
      <c r="B617" s="29" t="s">
        <v>699</v>
      </c>
      <c r="C617" s="29" t="s">
        <v>515</v>
      </c>
      <c r="D617" s="29" t="s">
        <v>17</v>
      </c>
      <c r="E617" s="50" t="s">
        <v>507</v>
      </c>
      <c r="F617" s="30"/>
      <c r="G617" s="31">
        <f>G618</f>
        <v>0</v>
      </c>
      <c r="H617" s="116"/>
      <c r="I617" s="31">
        <f t="shared" si="24"/>
        <v>0</v>
      </c>
      <c r="J617" s="31">
        <f>J618</f>
        <v>0</v>
      </c>
      <c r="K617" s="116"/>
      <c r="L617" s="31">
        <f t="shared" si="23"/>
        <v>0</v>
      </c>
    </row>
    <row r="618" spans="1:12" ht="26.25" hidden="1">
      <c r="A618" s="35" t="s">
        <v>528</v>
      </c>
      <c r="B618" s="29" t="s">
        <v>699</v>
      </c>
      <c r="C618" s="29" t="s">
        <v>515</v>
      </c>
      <c r="D618" s="29" t="s">
        <v>17</v>
      </c>
      <c r="E618" s="36" t="s">
        <v>529</v>
      </c>
      <c r="F618" s="30"/>
      <c r="G618" s="31">
        <f>G619</f>
        <v>0</v>
      </c>
      <c r="H618" s="116"/>
      <c r="I618" s="31">
        <f t="shared" si="24"/>
        <v>0</v>
      </c>
      <c r="J618" s="31">
        <f>J619</f>
        <v>0</v>
      </c>
      <c r="K618" s="116"/>
      <c r="L618" s="31">
        <f t="shared" si="23"/>
        <v>0</v>
      </c>
    </row>
    <row r="619" spans="1:12" ht="15" hidden="1">
      <c r="A619" s="16" t="s">
        <v>211</v>
      </c>
      <c r="B619" s="29" t="s">
        <v>699</v>
      </c>
      <c r="C619" s="29" t="s">
        <v>515</v>
      </c>
      <c r="D619" s="29" t="s">
        <v>17</v>
      </c>
      <c r="E619" s="36" t="s">
        <v>529</v>
      </c>
      <c r="F619" s="30" t="s">
        <v>212</v>
      </c>
      <c r="G619" s="31"/>
      <c r="H619" s="116"/>
      <c r="I619" s="31">
        <f t="shared" si="24"/>
        <v>0</v>
      </c>
      <c r="J619" s="31"/>
      <c r="K619" s="116"/>
      <c r="L619" s="31">
        <f t="shared" si="23"/>
        <v>0</v>
      </c>
    </row>
    <row r="620" spans="1:12" ht="28.5" customHeight="1">
      <c r="A620" s="16" t="s">
        <v>530</v>
      </c>
      <c r="B620" s="29" t="s">
        <v>699</v>
      </c>
      <c r="C620" s="29" t="s">
        <v>240</v>
      </c>
      <c r="D620" s="29" t="s">
        <v>42</v>
      </c>
      <c r="E620" s="29"/>
      <c r="F620" s="30"/>
      <c r="G620" s="31">
        <f>G621</f>
        <v>2982929</v>
      </c>
      <c r="H620" s="116"/>
      <c r="I620" s="31">
        <f t="shared" si="24"/>
        <v>2982929</v>
      </c>
      <c r="J620" s="31">
        <f>J621</f>
        <v>2862768</v>
      </c>
      <c r="K620" s="116"/>
      <c r="L620" s="31">
        <f t="shared" si="23"/>
        <v>2862768</v>
      </c>
    </row>
    <row r="621" spans="1:12" ht="45.75" customHeight="1">
      <c r="A621" s="16" t="s">
        <v>512</v>
      </c>
      <c r="B621" s="29" t="s">
        <v>699</v>
      </c>
      <c r="C621" s="29" t="s">
        <v>240</v>
      </c>
      <c r="D621" s="29" t="s">
        <v>42</v>
      </c>
      <c r="E621" s="29" t="s">
        <v>513</v>
      </c>
      <c r="F621" s="30"/>
      <c r="G621" s="31">
        <f>G622</f>
        <v>2982929</v>
      </c>
      <c r="H621" s="116"/>
      <c r="I621" s="31">
        <f t="shared" si="24"/>
        <v>2982929</v>
      </c>
      <c r="J621" s="31">
        <f>J622</f>
        <v>2862768</v>
      </c>
      <c r="K621" s="116"/>
      <c r="L621" s="31">
        <f t="shared" si="23"/>
        <v>2862768</v>
      </c>
    </row>
    <row r="622" spans="1:12" ht="69.75" customHeight="1">
      <c r="A622" s="16" t="s">
        <v>531</v>
      </c>
      <c r="B622" s="29" t="s">
        <v>699</v>
      </c>
      <c r="C622" s="29" t="s">
        <v>240</v>
      </c>
      <c r="D622" s="29" t="s">
        <v>42</v>
      </c>
      <c r="E622" s="29" t="s">
        <v>532</v>
      </c>
      <c r="F622" s="30"/>
      <c r="G622" s="31">
        <f>G623+G628</f>
        <v>2982929</v>
      </c>
      <c r="H622" s="116"/>
      <c r="I622" s="31">
        <f t="shared" si="24"/>
        <v>2982929</v>
      </c>
      <c r="J622" s="31">
        <f>J623+J628</f>
        <v>2862768</v>
      </c>
      <c r="K622" s="116"/>
      <c r="L622" s="31">
        <f t="shared" si="23"/>
        <v>2862768</v>
      </c>
    </row>
    <row r="623" spans="1:12" ht="46.5" customHeight="1">
      <c r="A623" s="86" t="s">
        <v>533</v>
      </c>
      <c r="B623" s="29" t="s">
        <v>699</v>
      </c>
      <c r="C623" s="29" t="s">
        <v>240</v>
      </c>
      <c r="D623" s="29" t="s">
        <v>42</v>
      </c>
      <c r="E623" s="29" t="s">
        <v>534</v>
      </c>
      <c r="F623" s="30"/>
      <c r="G623" s="31">
        <f>G624</f>
        <v>2922971</v>
      </c>
      <c r="H623" s="116"/>
      <c r="I623" s="31">
        <f t="shared" si="24"/>
        <v>2922971</v>
      </c>
      <c r="J623" s="31">
        <f>J624</f>
        <v>2802810</v>
      </c>
      <c r="K623" s="116"/>
      <c r="L623" s="31">
        <f t="shared" si="23"/>
        <v>2802810</v>
      </c>
    </row>
    <row r="624" spans="1:12" ht="42.75" customHeight="1" hidden="1">
      <c r="A624" s="16" t="s">
        <v>201</v>
      </c>
      <c r="B624" s="29" t="s">
        <v>699</v>
      </c>
      <c r="C624" s="29" t="s">
        <v>240</v>
      </c>
      <c r="D624" s="29" t="s">
        <v>42</v>
      </c>
      <c r="E624" s="29" t="s">
        <v>535</v>
      </c>
      <c r="F624" s="30"/>
      <c r="G624" s="31">
        <f>G625+G626+G627</f>
        <v>2922971</v>
      </c>
      <c r="H624" s="116"/>
      <c r="I624" s="31">
        <f t="shared" si="24"/>
        <v>2922971</v>
      </c>
      <c r="J624" s="31">
        <f>J625+J626+J627</f>
        <v>2802810</v>
      </c>
      <c r="K624" s="116"/>
      <c r="L624" s="31">
        <f t="shared" si="23"/>
        <v>2802810</v>
      </c>
    </row>
    <row r="625" spans="1:12" ht="69.75" customHeight="1">
      <c r="A625" s="35" t="s">
        <v>26</v>
      </c>
      <c r="B625" s="29" t="s">
        <v>699</v>
      </c>
      <c r="C625" s="29" t="s">
        <v>240</v>
      </c>
      <c r="D625" s="29" t="s">
        <v>42</v>
      </c>
      <c r="E625" s="29" t="s">
        <v>535</v>
      </c>
      <c r="F625" s="30" t="s">
        <v>27</v>
      </c>
      <c r="G625" s="31">
        <f>2782000+10000+840000-847829</f>
        <v>2784171</v>
      </c>
      <c r="H625" s="116"/>
      <c r="I625" s="31">
        <f t="shared" si="24"/>
        <v>2784171</v>
      </c>
      <c r="J625" s="31">
        <f>2782000+10000+840000-847829-120161</f>
        <v>2664010</v>
      </c>
      <c r="K625" s="116"/>
      <c r="L625" s="31">
        <f t="shared" si="23"/>
        <v>2664010</v>
      </c>
    </row>
    <row r="626" spans="1:12" ht="33" customHeight="1">
      <c r="A626" s="35" t="s">
        <v>38</v>
      </c>
      <c r="B626" s="29" t="s">
        <v>699</v>
      </c>
      <c r="C626" s="29" t="s">
        <v>240</v>
      </c>
      <c r="D626" s="29" t="s">
        <v>42</v>
      </c>
      <c r="E626" s="29" t="s">
        <v>535</v>
      </c>
      <c r="F626" s="30" t="s">
        <v>39</v>
      </c>
      <c r="G626" s="31">
        <f>32500+65300+2000+7000+32000</f>
        <v>138800</v>
      </c>
      <c r="H626" s="116"/>
      <c r="I626" s="31">
        <f t="shared" si="24"/>
        <v>138800</v>
      </c>
      <c r="J626" s="31">
        <f>32500+65300+2000+7000+32000</f>
        <v>138800</v>
      </c>
      <c r="K626" s="116"/>
      <c r="L626" s="31">
        <f t="shared" si="23"/>
        <v>138800</v>
      </c>
    </row>
    <row r="627" spans="1:12" ht="24" customHeight="1" hidden="1">
      <c r="A627" s="48" t="s">
        <v>84</v>
      </c>
      <c r="B627" s="29" t="s">
        <v>699</v>
      </c>
      <c r="C627" s="29" t="s">
        <v>240</v>
      </c>
      <c r="D627" s="29" t="s">
        <v>42</v>
      </c>
      <c r="E627" s="29" t="s">
        <v>535</v>
      </c>
      <c r="F627" s="30" t="s">
        <v>85</v>
      </c>
      <c r="G627" s="31"/>
      <c r="H627" s="116"/>
      <c r="I627" s="31">
        <f t="shared" si="24"/>
        <v>0</v>
      </c>
      <c r="J627" s="31"/>
      <c r="K627" s="116"/>
      <c r="L627" s="31">
        <f t="shared" si="23"/>
        <v>0</v>
      </c>
    </row>
    <row r="628" spans="1:12" ht="51.75">
      <c r="A628" s="87" t="s">
        <v>536</v>
      </c>
      <c r="B628" s="29" t="s">
        <v>699</v>
      </c>
      <c r="C628" s="29" t="s">
        <v>240</v>
      </c>
      <c r="D628" s="29" t="s">
        <v>42</v>
      </c>
      <c r="E628" s="29" t="s">
        <v>537</v>
      </c>
      <c r="F628" s="30"/>
      <c r="G628" s="31">
        <f>G629</f>
        <v>59958</v>
      </c>
      <c r="H628" s="116"/>
      <c r="I628" s="31">
        <f t="shared" si="24"/>
        <v>59958</v>
      </c>
      <c r="J628" s="31">
        <f>J629</f>
        <v>59958</v>
      </c>
      <c r="K628" s="116"/>
      <c r="L628" s="31">
        <f t="shared" si="23"/>
        <v>59958</v>
      </c>
    </row>
    <row r="629" spans="1:12" ht="51.75">
      <c r="A629" s="8" t="s">
        <v>538</v>
      </c>
      <c r="B629" s="29" t="s">
        <v>699</v>
      </c>
      <c r="C629" s="29" t="s">
        <v>240</v>
      </c>
      <c r="D629" s="29" t="s">
        <v>42</v>
      </c>
      <c r="E629" s="29" t="s">
        <v>539</v>
      </c>
      <c r="F629" s="30"/>
      <c r="G629" s="31">
        <f>G630</f>
        <v>59958</v>
      </c>
      <c r="H629" s="116"/>
      <c r="I629" s="31">
        <f t="shared" si="24"/>
        <v>59958</v>
      </c>
      <c r="J629" s="31">
        <f>J630</f>
        <v>59958</v>
      </c>
      <c r="K629" s="116"/>
      <c r="L629" s="31">
        <f t="shared" si="23"/>
        <v>59958</v>
      </c>
    </row>
    <row r="630" spans="1:12" ht="70.5" customHeight="1">
      <c r="A630" s="35" t="s">
        <v>26</v>
      </c>
      <c r="B630" s="29" t="s">
        <v>699</v>
      </c>
      <c r="C630" s="29" t="s">
        <v>240</v>
      </c>
      <c r="D630" s="29" t="s">
        <v>42</v>
      </c>
      <c r="E630" s="29" t="s">
        <v>539</v>
      </c>
      <c r="F630" s="30" t="s">
        <v>27</v>
      </c>
      <c r="G630" s="31">
        <v>59958</v>
      </c>
      <c r="H630" s="116"/>
      <c r="I630" s="31">
        <f t="shared" si="24"/>
        <v>59958</v>
      </c>
      <c r="J630" s="31">
        <v>59958</v>
      </c>
      <c r="K630" s="116"/>
      <c r="L630" s="31">
        <f t="shared" si="23"/>
        <v>59958</v>
      </c>
    </row>
    <row r="631" spans="1:12" ht="26.25" customHeight="1">
      <c r="A631" s="16" t="s">
        <v>544</v>
      </c>
      <c r="B631" s="29" t="s">
        <v>699</v>
      </c>
      <c r="C631" s="29">
        <v>10</v>
      </c>
      <c r="D631" s="29"/>
      <c r="E631" s="29"/>
      <c r="F631" s="30"/>
      <c r="G631" s="31">
        <f aca="true" t="shared" si="25" ref="G631:G636">G632</f>
        <v>1665450</v>
      </c>
      <c r="H631" s="116"/>
      <c r="I631" s="31">
        <f t="shared" si="24"/>
        <v>1665450</v>
      </c>
      <c r="J631" s="31">
        <f aca="true" t="shared" si="26" ref="J631:J636">J632</f>
        <v>1665450</v>
      </c>
      <c r="K631" s="116"/>
      <c r="L631" s="31">
        <f t="shared" si="23"/>
        <v>1665450</v>
      </c>
    </row>
    <row r="632" spans="1:20" ht="26.25" customHeight="1">
      <c r="A632" s="16" t="s">
        <v>553</v>
      </c>
      <c r="B632" s="29" t="s">
        <v>699</v>
      </c>
      <c r="C632" s="29">
        <v>10</v>
      </c>
      <c r="D632" s="29" t="s">
        <v>29</v>
      </c>
      <c r="E632" s="29"/>
      <c r="F632" s="30"/>
      <c r="G632" s="31">
        <f t="shared" si="25"/>
        <v>1665450</v>
      </c>
      <c r="H632" s="116"/>
      <c r="I632" s="31">
        <f t="shared" si="24"/>
        <v>1665450</v>
      </c>
      <c r="J632" s="31">
        <f t="shared" si="26"/>
        <v>1665450</v>
      </c>
      <c r="K632" s="116"/>
      <c r="L632" s="31">
        <f t="shared" si="23"/>
        <v>1665450</v>
      </c>
      <c r="N632" s="21"/>
      <c r="O632" s="21"/>
      <c r="P632" s="21"/>
      <c r="Q632" s="21"/>
      <c r="R632" s="21"/>
      <c r="S632" s="21"/>
      <c r="T632" s="21">
        <f>O631+O560+O331</f>
        <v>0</v>
      </c>
    </row>
    <row r="633" spans="1:12" ht="43.5" customHeight="1">
      <c r="A633" s="16" t="s">
        <v>512</v>
      </c>
      <c r="B633" s="29" t="s">
        <v>699</v>
      </c>
      <c r="C633" s="29">
        <v>10</v>
      </c>
      <c r="D633" s="29" t="s">
        <v>29</v>
      </c>
      <c r="E633" s="29" t="s">
        <v>513</v>
      </c>
      <c r="F633" s="30"/>
      <c r="G633" s="31">
        <f t="shared" si="25"/>
        <v>1665450</v>
      </c>
      <c r="H633" s="116"/>
      <c r="I633" s="31">
        <f>G633+H633</f>
        <v>1665450</v>
      </c>
      <c r="J633" s="31">
        <f t="shared" si="26"/>
        <v>1665450</v>
      </c>
      <c r="K633" s="116"/>
      <c r="L633" s="31">
        <f>J633+K633</f>
        <v>1665450</v>
      </c>
    </row>
    <row r="634" spans="1:12" ht="70.5" customHeight="1">
      <c r="A634" s="16" t="s">
        <v>531</v>
      </c>
      <c r="B634" s="29" t="s">
        <v>699</v>
      </c>
      <c r="C634" s="29">
        <v>10</v>
      </c>
      <c r="D634" s="29" t="s">
        <v>29</v>
      </c>
      <c r="E634" s="29" t="s">
        <v>532</v>
      </c>
      <c r="F634" s="30"/>
      <c r="G634" s="31">
        <f t="shared" si="25"/>
        <v>1665450</v>
      </c>
      <c r="H634" s="116"/>
      <c r="I634" s="31">
        <f>G634+H634</f>
        <v>1665450</v>
      </c>
      <c r="J634" s="31">
        <f t="shared" si="26"/>
        <v>1665450</v>
      </c>
      <c r="K634" s="116"/>
      <c r="L634" s="31">
        <f>J634+K634</f>
        <v>1665450</v>
      </c>
    </row>
    <row r="635" spans="1:12" ht="38.25">
      <c r="A635" s="14" t="s">
        <v>554</v>
      </c>
      <c r="B635" s="29" t="s">
        <v>699</v>
      </c>
      <c r="C635" s="29">
        <v>10</v>
      </c>
      <c r="D635" s="29" t="s">
        <v>29</v>
      </c>
      <c r="E635" s="29" t="s">
        <v>555</v>
      </c>
      <c r="F635" s="30"/>
      <c r="G635" s="31">
        <f t="shared" si="25"/>
        <v>1665450</v>
      </c>
      <c r="H635" s="116"/>
      <c r="I635" s="31">
        <f>G635+H635</f>
        <v>1665450</v>
      </c>
      <c r="J635" s="31">
        <f t="shared" si="26"/>
        <v>1665450</v>
      </c>
      <c r="K635" s="116"/>
      <c r="L635" s="31">
        <f>J635+K635</f>
        <v>1665450</v>
      </c>
    </row>
    <row r="636" spans="1:12" ht="44.25" customHeight="1">
      <c r="A636" s="118" t="s">
        <v>556</v>
      </c>
      <c r="B636" s="29" t="s">
        <v>699</v>
      </c>
      <c r="C636" s="29">
        <v>10</v>
      </c>
      <c r="D636" s="29" t="s">
        <v>29</v>
      </c>
      <c r="E636" s="47" t="s">
        <v>557</v>
      </c>
      <c r="F636" s="30"/>
      <c r="G636" s="31">
        <f t="shared" si="25"/>
        <v>1665450</v>
      </c>
      <c r="H636" s="116"/>
      <c r="I636" s="31">
        <f>G636+H636</f>
        <v>1665450</v>
      </c>
      <c r="J636" s="31">
        <f t="shared" si="26"/>
        <v>1665450</v>
      </c>
      <c r="K636" s="116"/>
      <c r="L636" s="31">
        <f>J636+K636</f>
        <v>1665450</v>
      </c>
    </row>
    <row r="637" spans="1:12" ht="24" customHeight="1">
      <c r="A637" s="48" t="s">
        <v>211</v>
      </c>
      <c r="B637" s="29" t="s">
        <v>699</v>
      </c>
      <c r="C637" s="29">
        <v>10</v>
      </c>
      <c r="D637" s="29" t="s">
        <v>29</v>
      </c>
      <c r="E637" s="47" t="s">
        <v>557</v>
      </c>
      <c r="F637" s="30" t="s">
        <v>212</v>
      </c>
      <c r="G637" s="31">
        <f>1665442+8</f>
        <v>1665450</v>
      </c>
      <c r="H637" s="116"/>
      <c r="I637" s="31">
        <f>G637+H637</f>
        <v>1665450</v>
      </c>
      <c r="J637" s="31">
        <f>1665442+8</f>
        <v>1665450</v>
      </c>
      <c r="K637" s="116"/>
      <c r="L637" s="31">
        <f>J637+K637</f>
        <v>1665450</v>
      </c>
    </row>
    <row r="638" spans="2:6" ht="15">
      <c r="B638" s="92"/>
      <c r="C638" s="92"/>
      <c r="D638" s="92"/>
      <c r="E638" s="92"/>
      <c r="F638" s="93"/>
    </row>
    <row r="639" spans="2:6" ht="15">
      <c r="B639" s="92"/>
      <c r="C639" s="92"/>
      <c r="D639" s="92"/>
      <c r="E639" s="92"/>
      <c r="F639" s="93"/>
    </row>
    <row r="640" spans="2:6" ht="15">
      <c r="B640" s="92"/>
      <c r="C640" s="92"/>
      <c r="D640" s="92"/>
      <c r="E640" s="92"/>
      <c r="F640" s="93"/>
    </row>
    <row r="641" spans="2:6" ht="15">
      <c r="B641" s="92"/>
      <c r="C641" s="92"/>
      <c r="D641" s="92"/>
      <c r="E641" s="92"/>
      <c r="F641" s="93"/>
    </row>
    <row r="642" spans="2:6" ht="15">
      <c r="B642" s="92"/>
      <c r="C642" s="92"/>
      <c r="D642" s="92"/>
      <c r="E642" s="92"/>
      <c r="F642" s="93"/>
    </row>
    <row r="643" spans="2:6" ht="15">
      <c r="B643" s="92"/>
      <c r="C643" s="92"/>
      <c r="D643" s="92"/>
      <c r="E643" s="92"/>
      <c r="F643" s="93"/>
    </row>
    <row r="644" spans="2:6" ht="15">
      <c r="B644" s="92"/>
      <c r="C644" s="92"/>
      <c r="D644" s="92"/>
      <c r="E644" s="92"/>
      <c r="F644" s="93"/>
    </row>
    <row r="645" spans="2:6" ht="15">
      <c r="B645" s="92"/>
      <c r="C645" s="92"/>
      <c r="D645" s="92"/>
      <c r="E645" s="92"/>
      <c r="F645" s="93"/>
    </row>
    <row r="646" spans="2:6" ht="15">
      <c r="B646" s="92"/>
      <c r="C646" s="92"/>
      <c r="D646" s="92"/>
      <c r="E646" s="92"/>
      <c r="F646" s="93"/>
    </row>
    <row r="647" spans="2:6" ht="15">
      <c r="B647" s="92"/>
      <c r="C647" s="92"/>
      <c r="D647" s="92"/>
      <c r="E647" s="92"/>
      <c r="F647" s="93"/>
    </row>
    <row r="648" spans="2:6" ht="15">
      <c r="B648" s="92"/>
      <c r="C648" s="92"/>
      <c r="D648" s="92"/>
      <c r="E648" s="92"/>
      <c r="F648" s="93"/>
    </row>
    <row r="649" ht="15">
      <c r="B649" s="92"/>
    </row>
    <row r="650" ht="15">
      <c r="B650" s="92"/>
    </row>
    <row r="651" ht="15">
      <c r="B651" s="92"/>
    </row>
    <row r="652" ht="15">
      <c r="B652" s="92"/>
    </row>
    <row r="653" ht="15">
      <c r="B653" s="92"/>
    </row>
  </sheetData>
  <sheetProtection/>
  <mergeCells count="15">
    <mergeCell ref="I7:I8"/>
    <mergeCell ref="J7:J8"/>
    <mergeCell ref="K7:K8"/>
    <mergeCell ref="L7:L8"/>
    <mergeCell ref="E2:L2"/>
    <mergeCell ref="E3:L3"/>
    <mergeCell ref="A5:L5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275" r:id="rId1" display="consultantplus://offline/ref=C6EF3AE28B6C46D1117CBBA251A07B11C6C7C5768D606C8B0E322DA1BBA42282C9440EEF08E6CC43400230U6VFM"/>
  </hyperlinks>
  <printOptions/>
  <pageMargins left="0.95" right="0.22" top="0.42" bottom="0.43" header="0.31496062992125984" footer="0.31496062992125984"/>
  <pageSetup horizontalDpi="600" verticalDpi="600" orientation="portrait" paperSize="9" scale="72" r:id="rId2"/>
  <rowBreaks count="1" manualBreakCount="1">
    <brk id="605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14"/>
  <sheetViews>
    <sheetView view="pageBreakPreview" zoomScale="60" zoomScalePageLayoutView="0" workbookViewId="0" topLeftCell="A1">
      <selection activeCell="D18" sqref="D18"/>
    </sheetView>
  </sheetViews>
  <sheetFormatPr defaultColWidth="9.00390625" defaultRowHeight="12.75"/>
  <cols>
    <col min="1" max="1" width="68.625" style="2" customWidth="1"/>
    <col min="2" max="2" width="19.00390625" style="92" customWidth="1"/>
    <col min="3" max="3" width="6.375" style="95" customWidth="1"/>
    <col min="4" max="4" width="16.25390625" style="104" customWidth="1"/>
    <col min="5" max="5" width="24.375" style="1" customWidth="1"/>
    <col min="6" max="6" width="18.125" style="1" customWidth="1"/>
    <col min="7" max="7" width="20.625" style="1" customWidth="1"/>
    <col min="8" max="8" width="18.375" style="1" customWidth="1"/>
    <col min="9" max="16384" width="9.125" style="1" customWidth="1"/>
  </cols>
  <sheetData>
    <row r="1" spans="2:5" ht="15">
      <c r="B1" s="137" t="s">
        <v>713</v>
      </c>
      <c r="C1" s="97"/>
      <c r="E1" s="98"/>
    </row>
    <row r="2" spans="2:7" ht="72" customHeight="1">
      <c r="B2" s="265" t="s">
        <v>758</v>
      </c>
      <c r="C2" s="265"/>
      <c r="D2" s="265"/>
      <c r="E2" s="98"/>
      <c r="F2" s="24"/>
      <c r="G2" s="24"/>
    </row>
    <row r="3" spans="1:11" ht="42" customHeight="1">
      <c r="A3" s="106"/>
      <c r="B3" s="238" t="s">
        <v>776</v>
      </c>
      <c r="C3" s="238"/>
      <c r="D3" s="238"/>
      <c r="E3" s="2"/>
      <c r="F3" s="2"/>
      <c r="G3" s="2"/>
      <c r="H3" s="2"/>
      <c r="I3" s="2"/>
      <c r="J3" s="138"/>
      <c r="K3" s="138"/>
    </row>
    <row r="4" spans="2:9" ht="15">
      <c r="B4" s="266"/>
      <c r="C4" s="266"/>
      <c r="D4" s="266"/>
      <c r="E4" s="2"/>
      <c r="F4" s="139"/>
      <c r="G4" s="2"/>
      <c r="H4" s="2"/>
      <c r="I4" s="2"/>
    </row>
    <row r="5" spans="1:11" ht="54" customHeight="1">
      <c r="A5" s="267" t="s">
        <v>771</v>
      </c>
      <c r="B5" s="267"/>
      <c r="C5" s="267"/>
      <c r="D5" s="267"/>
      <c r="F5" s="267"/>
      <c r="G5" s="267"/>
      <c r="H5" s="267"/>
      <c r="I5" s="267"/>
      <c r="J5" s="267"/>
      <c r="K5" s="267"/>
    </row>
    <row r="6" spans="3:4" ht="17.25" customHeight="1" thickBot="1">
      <c r="C6" s="140"/>
      <c r="D6" s="79" t="s">
        <v>4</v>
      </c>
    </row>
    <row r="7" spans="1:6" ht="27" customHeight="1">
      <c r="A7" s="268" t="s">
        <v>5</v>
      </c>
      <c r="B7" s="270" t="s">
        <v>8</v>
      </c>
      <c r="C7" s="272" t="s">
        <v>9</v>
      </c>
      <c r="D7" s="274" t="s">
        <v>0</v>
      </c>
      <c r="E7" s="21"/>
      <c r="F7" s="100"/>
    </row>
    <row r="8" spans="1:4" ht="3.75" customHeight="1" thickBot="1">
      <c r="A8" s="269"/>
      <c r="B8" s="271"/>
      <c r="C8" s="273"/>
      <c r="D8" s="275"/>
    </row>
    <row r="9" spans="1:6" s="28" customFormat="1" ht="12.75" customHeight="1" thickBot="1">
      <c r="A9" s="219">
        <v>1</v>
      </c>
      <c r="B9" s="220" t="s">
        <v>11</v>
      </c>
      <c r="C9" s="220" t="s">
        <v>12</v>
      </c>
      <c r="D9" s="221" t="s">
        <v>13</v>
      </c>
      <c r="F9" s="115"/>
    </row>
    <row r="10" spans="1:7" s="34" customFormat="1" ht="20.25">
      <c r="A10" s="222" t="s">
        <v>15</v>
      </c>
      <c r="B10" s="223"/>
      <c r="C10" s="231"/>
      <c r="D10" s="125">
        <f>D11+D42+D101+D206+D213+D218+D233+D262+D298+D304+D312+D357+D386+D395+D428+D432+D442+D448+D457+D463+D499+D507+D409++D372+D419+D503+D414+D404</f>
        <v>752078113.5500001</v>
      </c>
      <c r="E10" s="79"/>
      <c r="F10" s="144"/>
      <c r="G10" s="33"/>
    </row>
    <row r="11" spans="1:7" ht="34.5" customHeight="1">
      <c r="A11" s="145" t="s">
        <v>512</v>
      </c>
      <c r="B11" s="29" t="s">
        <v>714</v>
      </c>
      <c r="C11" s="30"/>
      <c r="D11" s="190">
        <f>D12+D21+D27</f>
        <v>35782381.61</v>
      </c>
      <c r="E11" s="146"/>
      <c r="F11" s="21"/>
      <c r="G11" s="21"/>
    </row>
    <row r="12" spans="1:6" ht="30" customHeight="1">
      <c r="A12" s="145" t="s">
        <v>514</v>
      </c>
      <c r="B12" s="29" t="s">
        <v>516</v>
      </c>
      <c r="C12" s="30"/>
      <c r="D12" s="143">
        <f>D13</f>
        <v>17349180.61</v>
      </c>
      <c r="E12" s="146"/>
      <c r="F12" s="21"/>
    </row>
    <row r="13" spans="1:5" ht="38.25">
      <c r="A13" s="147" t="s">
        <v>517</v>
      </c>
      <c r="B13" s="29" t="s">
        <v>518</v>
      </c>
      <c r="C13" s="30"/>
      <c r="D13" s="143">
        <f>D14+D19</f>
        <v>17349180.61</v>
      </c>
      <c r="E13" s="146"/>
    </row>
    <row r="14" spans="1:5" ht="27" customHeight="1">
      <c r="A14" s="145" t="s">
        <v>201</v>
      </c>
      <c r="B14" s="50" t="s">
        <v>715</v>
      </c>
      <c r="C14" s="30"/>
      <c r="D14" s="143">
        <f>D15+D16+D17+D18</f>
        <v>17349180.61</v>
      </c>
      <c r="E14" s="146"/>
    </row>
    <row r="15" spans="1:5" ht="39.75" customHeight="1">
      <c r="A15" s="148" t="s">
        <v>26</v>
      </c>
      <c r="B15" s="50" t="s">
        <v>715</v>
      </c>
      <c r="C15" s="30" t="s">
        <v>27</v>
      </c>
      <c r="D15" s="151">
        <f>13477300+767879</f>
        <v>14245179</v>
      </c>
      <c r="E15" s="146"/>
    </row>
    <row r="16" spans="1:5" ht="26.25" customHeight="1">
      <c r="A16" s="148" t="s">
        <v>38</v>
      </c>
      <c r="B16" s="50" t="s">
        <v>715</v>
      </c>
      <c r="C16" s="30" t="s">
        <v>39</v>
      </c>
      <c r="D16" s="151">
        <f>2470467.61+200000</f>
        <v>2670467.61</v>
      </c>
      <c r="E16" s="146"/>
    </row>
    <row r="17" spans="1:5" ht="26.25" hidden="1">
      <c r="A17" s="149" t="s">
        <v>271</v>
      </c>
      <c r="B17" s="50" t="s">
        <v>715</v>
      </c>
      <c r="C17" s="30" t="s">
        <v>272</v>
      </c>
      <c r="D17" s="151"/>
      <c r="E17" s="146"/>
    </row>
    <row r="18" spans="1:5" ht="14.25" customHeight="1">
      <c r="A18" s="150" t="s">
        <v>84</v>
      </c>
      <c r="B18" s="50" t="s">
        <v>715</v>
      </c>
      <c r="C18" s="30" t="s">
        <v>85</v>
      </c>
      <c r="D18" s="151">
        <v>433534</v>
      </c>
      <c r="E18" s="146"/>
    </row>
    <row r="19" spans="1:5" ht="26.25">
      <c r="A19" s="148" t="s">
        <v>520</v>
      </c>
      <c r="B19" s="29" t="s">
        <v>521</v>
      </c>
      <c r="C19" s="30"/>
      <c r="D19" s="143">
        <f>D20</f>
        <v>0</v>
      </c>
      <c r="E19" s="146"/>
    </row>
    <row r="20" spans="1:5" ht="26.25">
      <c r="A20" s="148" t="s">
        <v>38</v>
      </c>
      <c r="B20" s="29" t="s">
        <v>521</v>
      </c>
      <c r="C20" s="30" t="s">
        <v>39</v>
      </c>
      <c r="D20" s="151"/>
      <c r="E20" s="146"/>
    </row>
    <row r="21" spans="1:5" ht="30.75" customHeight="1">
      <c r="A21" s="145" t="s">
        <v>522</v>
      </c>
      <c r="B21" s="50" t="s">
        <v>523</v>
      </c>
      <c r="C21" s="30"/>
      <c r="D21" s="143">
        <f>D22</f>
        <v>12101381</v>
      </c>
      <c r="E21" s="146"/>
    </row>
    <row r="22" spans="1:5" ht="28.5" customHeight="1">
      <c r="A22" s="84" t="s">
        <v>524</v>
      </c>
      <c r="B22" s="50" t="s">
        <v>525</v>
      </c>
      <c r="C22" s="30"/>
      <c r="D22" s="143">
        <f>D23</f>
        <v>12101381</v>
      </c>
      <c r="E22" s="146"/>
    </row>
    <row r="23" spans="1:5" ht="28.5" customHeight="1">
      <c r="A23" s="145" t="s">
        <v>201</v>
      </c>
      <c r="B23" s="50" t="s">
        <v>526</v>
      </c>
      <c r="C23" s="30"/>
      <c r="D23" s="143">
        <f>D24+D25+D26</f>
        <v>12101381</v>
      </c>
      <c r="E23" s="146"/>
    </row>
    <row r="24" spans="1:5" ht="39.75" customHeight="1">
      <c r="A24" s="148" t="s">
        <v>26</v>
      </c>
      <c r="B24" s="50" t="s">
        <v>526</v>
      </c>
      <c r="C24" s="30" t="s">
        <v>27</v>
      </c>
      <c r="D24" s="151">
        <f>10869500+705121</f>
        <v>11574621</v>
      </c>
      <c r="E24" s="146"/>
    </row>
    <row r="25" spans="1:5" ht="26.25">
      <c r="A25" s="148" t="s">
        <v>38</v>
      </c>
      <c r="B25" s="50" t="s">
        <v>526</v>
      </c>
      <c r="C25" s="30" t="s">
        <v>39</v>
      </c>
      <c r="D25" s="151">
        <f>236600+255960</f>
        <v>492560</v>
      </c>
      <c r="E25" s="146"/>
    </row>
    <row r="26" spans="1:5" ht="15" customHeight="1">
      <c r="A26" s="150" t="s">
        <v>84</v>
      </c>
      <c r="B26" s="50" t="s">
        <v>526</v>
      </c>
      <c r="C26" s="30" t="s">
        <v>85</v>
      </c>
      <c r="D26" s="151">
        <v>34200</v>
      </c>
      <c r="E26" s="146"/>
    </row>
    <row r="27" spans="1:5" ht="42" customHeight="1">
      <c r="A27" s="145" t="s">
        <v>531</v>
      </c>
      <c r="B27" s="29" t="s">
        <v>532</v>
      </c>
      <c r="C27" s="30"/>
      <c r="D27" s="143">
        <f>D28+D33+D36</f>
        <v>6331820</v>
      </c>
      <c r="E27" s="146"/>
    </row>
    <row r="28" spans="1:5" ht="28.5" customHeight="1">
      <c r="A28" s="152" t="s">
        <v>533</v>
      </c>
      <c r="B28" s="29" t="s">
        <v>534</v>
      </c>
      <c r="C28" s="30"/>
      <c r="D28" s="143">
        <f>D29</f>
        <v>3945000</v>
      </c>
      <c r="E28" s="146"/>
    </row>
    <row r="29" spans="1:5" ht="26.25" customHeight="1">
      <c r="A29" s="145" t="s">
        <v>201</v>
      </c>
      <c r="B29" s="29" t="s">
        <v>535</v>
      </c>
      <c r="C29" s="30"/>
      <c r="D29" s="143">
        <f>D30+D31+D32</f>
        <v>3945000</v>
      </c>
      <c r="E29" s="146"/>
    </row>
    <row r="30" spans="1:5" ht="44.25" customHeight="1">
      <c r="A30" s="148" t="s">
        <v>26</v>
      </c>
      <c r="B30" s="29" t="s">
        <v>535</v>
      </c>
      <c r="C30" s="30" t="s">
        <v>27</v>
      </c>
      <c r="D30" s="151">
        <v>3632200</v>
      </c>
      <c r="E30" s="146"/>
    </row>
    <row r="31" spans="1:5" ht="26.25">
      <c r="A31" s="148" t="s">
        <v>38</v>
      </c>
      <c r="B31" s="29" t="s">
        <v>535</v>
      </c>
      <c r="C31" s="30" t="s">
        <v>39</v>
      </c>
      <c r="D31" s="151">
        <f>162800+50000+100000</f>
        <v>312800</v>
      </c>
      <c r="E31" s="146"/>
    </row>
    <row r="32" spans="1:5" ht="15" hidden="1">
      <c r="A32" s="150" t="s">
        <v>84</v>
      </c>
      <c r="B32" s="29" t="s">
        <v>535</v>
      </c>
      <c r="C32" s="30" t="s">
        <v>85</v>
      </c>
      <c r="D32" s="151"/>
      <c r="E32" s="146"/>
    </row>
    <row r="33" spans="1:5" ht="42.75" customHeight="1">
      <c r="A33" s="153" t="s">
        <v>536</v>
      </c>
      <c r="B33" s="29" t="s">
        <v>537</v>
      </c>
      <c r="C33" s="30"/>
      <c r="D33" s="143">
        <f>D35</f>
        <v>10851</v>
      </c>
      <c r="E33" s="146"/>
    </row>
    <row r="34" spans="1:5" ht="41.25" customHeight="1">
      <c r="A34" s="154" t="s">
        <v>538</v>
      </c>
      <c r="B34" s="29" t="s">
        <v>539</v>
      </c>
      <c r="C34" s="30"/>
      <c r="D34" s="143">
        <f>D35</f>
        <v>10851</v>
      </c>
      <c r="E34" s="146"/>
    </row>
    <row r="35" spans="1:5" ht="46.5" customHeight="1">
      <c r="A35" s="148" t="s">
        <v>26</v>
      </c>
      <c r="B35" s="29" t="s">
        <v>539</v>
      </c>
      <c r="C35" s="30" t="s">
        <v>27</v>
      </c>
      <c r="D35" s="151">
        <v>10851</v>
      </c>
      <c r="E35" s="146"/>
    </row>
    <row r="36" spans="1:5" ht="30.75" customHeight="1">
      <c r="A36" s="155" t="s">
        <v>554</v>
      </c>
      <c r="B36" s="29" t="s">
        <v>555</v>
      </c>
      <c r="C36" s="30"/>
      <c r="D36" s="143">
        <f>D40+D37</f>
        <v>2375969</v>
      </c>
      <c r="E36" s="146"/>
    </row>
    <row r="37" spans="1:5" ht="42.75" customHeight="1">
      <c r="A37" s="155" t="s">
        <v>763</v>
      </c>
      <c r="B37" s="29" t="s">
        <v>762</v>
      </c>
      <c r="C37" s="30"/>
      <c r="D37" s="143">
        <v>1680820</v>
      </c>
      <c r="E37" s="146"/>
    </row>
    <row r="38" spans="1:5" ht="41.25" customHeight="1">
      <c r="A38" s="155" t="s">
        <v>26</v>
      </c>
      <c r="B38" s="29" t="s">
        <v>762</v>
      </c>
      <c r="C38" s="30" t="s">
        <v>27</v>
      </c>
      <c r="D38" s="143">
        <v>847020</v>
      </c>
      <c r="E38" s="146"/>
    </row>
    <row r="39" spans="1:5" ht="24" customHeight="1">
      <c r="A39" s="148" t="s">
        <v>211</v>
      </c>
      <c r="B39" s="29" t="s">
        <v>762</v>
      </c>
      <c r="C39" s="30" t="s">
        <v>212</v>
      </c>
      <c r="D39" s="143">
        <v>833800</v>
      </c>
      <c r="E39" s="146"/>
    </row>
    <row r="40" spans="1:5" ht="30" customHeight="1">
      <c r="A40" s="156" t="s">
        <v>556</v>
      </c>
      <c r="B40" s="47" t="s">
        <v>557</v>
      </c>
      <c r="C40" s="30"/>
      <c r="D40" s="143">
        <f>D41</f>
        <v>695149</v>
      </c>
      <c r="E40" s="146"/>
    </row>
    <row r="41" spans="1:5" ht="15">
      <c r="A41" s="150" t="s">
        <v>211</v>
      </c>
      <c r="B41" s="47" t="s">
        <v>557</v>
      </c>
      <c r="C41" s="30" t="s">
        <v>212</v>
      </c>
      <c r="D41" s="151">
        <f>777865-82716</f>
        <v>695149</v>
      </c>
      <c r="E41" s="146"/>
    </row>
    <row r="42" spans="1:7" ht="30.75" customHeight="1">
      <c r="A42" s="145" t="s">
        <v>546</v>
      </c>
      <c r="B42" s="29" t="s">
        <v>44</v>
      </c>
      <c r="C42" s="30"/>
      <c r="D42" s="143">
        <f>D43+D72+D86</f>
        <v>97150512</v>
      </c>
      <c r="E42" s="21" t="s">
        <v>748</v>
      </c>
      <c r="F42" s="1" t="s">
        <v>750</v>
      </c>
      <c r="G42" s="1" t="s">
        <v>749</v>
      </c>
    </row>
    <row r="43" spans="1:7" ht="45.75" customHeight="1">
      <c r="A43" s="157" t="s">
        <v>559</v>
      </c>
      <c r="B43" s="29" t="s">
        <v>126</v>
      </c>
      <c r="C43" s="30"/>
      <c r="D43" s="143">
        <f>D44+D66+D69</f>
        <v>64795747</v>
      </c>
      <c r="E43" s="146">
        <f>D45+F48+D52+D54+D57+D60+D63+D75+D77+D85+D93+D96</f>
        <v>52741432</v>
      </c>
      <c r="F43" s="21">
        <f>F49</f>
        <v>44062680</v>
      </c>
      <c r="G43" s="21">
        <f>D68+D71+D82+D100</f>
        <v>346400</v>
      </c>
    </row>
    <row r="44" spans="1:5" ht="30" customHeight="1">
      <c r="A44" s="157" t="s">
        <v>560</v>
      </c>
      <c r="B44" s="29" t="s">
        <v>561</v>
      </c>
      <c r="C44" s="30"/>
      <c r="D44" s="151">
        <f>D45+D54+D57+D60+D63+D48+D52+D50</f>
        <v>64486347</v>
      </c>
      <c r="E44" s="146"/>
    </row>
    <row r="45" spans="1:5" ht="15">
      <c r="A45" s="145" t="s">
        <v>580</v>
      </c>
      <c r="B45" s="29" t="s">
        <v>581</v>
      </c>
      <c r="C45" s="30"/>
      <c r="D45" s="151">
        <f>D47+D46</f>
        <v>2254800</v>
      </c>
      <c r="E45" s="146" t="s">
        <v>748</v>
      </c>
    </row>
    <row r="46" spans="1:5" ht="27" customHeight="1">
      <c r="A46" s="148" t="s">
        <v>38</v>
      </c>
      <c r="B46" s="29" t="s">
        <v>581</v>
      </c>
      <c r="C46" s="30" t="s">
        <v>39</v>
      </c>
      <c r="D46" s="151">
        <v>350</v>
      </c>
      <c r="E46" s="146"/>
    </row>
    <row r="47" spans="1:5" ht="18.75" customHeight="1">
      <c r="A47" s="158" t="s">
        <v>211</v>
      </c>
      <c r="B47" s="29" t="s">
        <v>581</v>
      </c>
      <c r="C47" s="30" t="s">
        <v>212</v>
      </c>
      <c r="D47" s="151">
        <f>2093291+161159</f>
        <v>2254450</v>
      </c>
      <c r="E47" s="146"/>
    </row>
    <row r="48" spans="1:6" ht="15">
      <c r="A48" s="158" t="s">
        <v>582</v>
      </c>
      <c r="B48" s="29" t="s">
        <v>583</v>
      </c>
      <c r="C48" s="30"/>
      <c r="D48" s="151">
        <f>D49</f>
        <v>50646759</v>
      </c>
      <c r="E48" s="146" t="s">
        <v>748</v>
      </c>
      <c r="F48" s="232">
        <v>6584079</v>
      </c>
    </row>
    <row r="49" spans="1:6" ht="12.75" customHeight="1">
      <c r="A49" s="158" t="s">
        <v>211</v>
      </c>
      <c r="B49" s="29" t="s">
        <v>583</v>
      </c>
      <c r="C49" s="30" t="s">
        <v>212</v>
      </c>
      <c r="D49" s="151">
        <v>50646759</v>
      </c>
      <c r="E49" s="146" t="s">
        <v>750</v>
      </c>
      <c r="F49" s="232">
        <v>44062680</v>
      </c>
    </row>
    <row r="50" spans="1:5" ht="38.25" hidden="1">
      <c r="A50" s="84" t="s">
        <v>584</v>
      </c>
      <c r="B50" s="29" t="s">
        <v>585</v>
      </c>
      <c r="C50" s="30"/>
      <c r="D50" s="151">
        <f>D51</f>
        <v>0</v>
      </c>
      <c r="E50" s="146"/>
    </row>
    <row r="51" spans="1:5" ht="15" hidden="1">
      <c r="A51" s="158" t="s">
        <v>211</v>
      </c>
      <c r="B51" s="29" t="s">
        <v>585</v>
      </c>
      <c r="C51" s="30" t="s">
        <v>212</v>
      </c>
      <c r="D51" s="151"/>
      <c r="E51" s="146"/>
    </row>
    <row r="52" spans="1:5" ht="25.5">
      <c r="A52" s="158" t="s">
        <v>586</v>
      </c>
      <c r="B52" s="29" t="s">
        <v>587</v>
      </c>
      <c r="C52" s="30"/>
      <c r="D52" s="151">
        <f>D53</f>
        <v>987755</v>
      </c>
      <c r="E52" s="146" t="s">
        <v>748</v>
      </c>
    </row>
    <row r="53" spans="1:5" ht="26.25">
      <c r="A53" s="148" t="s">
        <v>38</v>
      </c>
      <c r="B53" s="29" t="s">
        <v>587</v>
      </c>
      <c r="C53" s="30" t="s">
        <v>39</v>
      </c>
      <c r="D53" s="151">
        <v>987755</v>
      </c>
      <c r="E53" s="146"/>
    </row>
    <row r="54" spans="1:5" ht="26.25">
      <c r="A54" s="154" t="s">
        <v>562</v>
      </c>
      <c r="B54" s="29" t="s">
        <v>563</v>
      </c>
      <c r="C54" s="30"/>
      <c r="D54" s="151">
        <f>D56+D55</f>
        <v>49242</v>
      </c>
      <c r="E54" s="146" t="s">
        <v>748</v>
      </c>
    </row>
    <row r="55" spans="1:5" ht="30.75" customHeight="1">
      <c r="A55" s="148" t="s">
        <v>38</v>
      </c>
      <c r="B55" s="29" t="s">
        <v>563</v>
      </c>
      <c r="C55" s="30" t="s">
        <v>39</v>
      </c>
      <c r="D55" s="151">
        <f>450+120</f>
        <v>570</v>
      </c>
      <c r="E55" s="146"/>
    </row>
    <row r="56" spans="1:5" ht="17.25" customHeight="1">
      <c r="A56" s="158" t="s">
        <v>211</v>
      </c>
      <c r="B56" s="29" t="s">
        <v>563</v>
      </c>
      <c r="C56" s="30" t="s">
        <v>212</v>
      </c>
      <c r="D56" s="151">
        <f>45152+3520</f>
        <v>48672</v>
      </c>
      <c r="E56" s="146"/>
    </row>
    <row r="57" spans="1:5" ht="29.25" customHeight="1">
      <c r="A57" s="154" t="s">
        <v>564</v>
      </c>
      <c r="B57" s="29" t="s">
        <v>565</v>
      </c>
      <c r="C57" s="30"/>
      <c r="D57" s="151">
        <f>D59+D58</f>
        <v>219945</v>
      </c>
      <c r="E57" s="146" t="s">
        <v>748</v>
      </c>
    </row>
    <row r="58" spans="1:5" ht="31.5" customHeight="1">
      <c r="A58" s="148" t="s">
        <v>38</v>
      </c>
      <c r="B58" s="29" t="s">
        <v>565</v>
      </c>
      <c r="C58" s="30" t="s">
        <v>39</v>
      </c>
      <c r="D58" s="151">
        <f>2500+500</f>
        <v>3000</v>
      </c>
      <c r="E58" s="146"/>
    </row>
    <row r="59" spans="1:5" ht="15">
      <c r="A59" s="158" t="s">
        <v>211</v>
      </c>
      <c r="B59" s="29" t="s">
        <v>565</v>
      </c>
      <c r="C59" s="30" t="s">
        <v>212</v>
      </c>
      <c r="D59" s="151">
        <f>201221+15724</f>
        <v>216945</v>
      </c>
      <c r="E59" s="146"/>
    </row>
    <row r="60" spans="1:5" ht="15">
      <c r="A60" s="145" t="s">
        <v>566</v>
      </c>
      <c r="B60" s="29" t="s">
        <v>567</v>
      </c>
      <c r="C60" s="30"/>
      <c r="D60" s="151">
        <f>D62+D61</f>
        <v>9607846</v>
      </c>
      <c r="E60" s="146" t="s">
        <v>748</v>
      </c>
    </row>
    <row r="61" spans="1:5" ht="32.25" customHeight="1">
      <c r="A61" s="148" t="s">
        <v>38</v>
      </c>
      <c r="B61" s="29" t="s">
        <v>567</v>
      </c>
      <c r="C61" s="30" t="s">
        <v>39</v>
      </c>
      <c r="D61" s="151">
        <f>80000+23000</f>
        <v>103000</v>
      </c>
      <c r="E61" s="146"/>
    </row>
    <row r="62" spans="1:5" ht="19.5" customHeight="1">
      <c r="A62" s="158" t="s">
        <v>211</v>
      </c>
      <c r="B62" s="29" t="s">
        <v>567</v>
      </c>
      <c r="C62" s="30" t="s">
        <v>212</v>
      </c>
      <c r="D62" s="151">
        <f>8766420+738426</f>
        <v>9504846</v>
      </c>
      <c r="E62" s="146"/>
    </row>
    <row r="63" spans="1:5" ht="15">
      <c r="A63" s="145" t="s">
        <v>568</v>
      </c>
      <c r="B63" s="29" t="s">
        <v>569</v>
      </c>
      <c r="C63" s="30"/>
      <c r="D63" s="151">
        <f>D65+D64</f>
        <v>720000</v>
      </c>
      <c r="E63" s="146" t="s">
        <v>748</v>
      </c>
    </row>
    <row r="64" spans="1:5" ht="28.5" customHeight="1">
      <c r="A64" s="148" t="s">
        <v>38</v>
      </c>
      <c r="B64" s="29" t="s">
        <v>569</v>
      </c>
      <c r="C64" s="30" t="s">
        <v>39</v>
      </c>
      <c r="D64" s="151">
        <f>10800+800</f>
        <v>11600</v>
      </c>
      <c r="E64" s="146"/>
    </row>
    <row r="65" spans="1:5" ht="21.75" customHeight="1">
      <c r="A65" s="158" t="s">
        <v>211</v>
      </c>
      <c r="B65" s="29" t="s">
        <v>569</v>
      </c>
      <c r="C65" s="30" t="s">
        <v>212</v>
      </c>
      <c r="D65" s="151">
        <v>708400</v>
      </c>
      <c r="E65" s="146"/>
    </row>
    <row r="66" spans="1:5" ht="33" customHeight="1">
      <c r="A66" s="157" t="s">
        <v>127</v>
      </c>
      <c r="B66" s="29" t="s">
        <v>128</v>
      </c>
      <c r="C66" s="30"/>
      <c r="D66" s="151">
        <f>D67</f>
        <v>14000</v>
      </c>
      <c r="E66" s="146"/>
    </row>
    <row r="67" spans="1:5" ht="15" customHeight="1">
      <c r="A67" s="148" t="s">
        <v>129</v>
      </c>
      <c r="B67" s="50" t="s">
        <v>130</v>
      </c>
      <c r="C67" s="30"/>
      <c r="D67" s="151">
        <f>D68</f>
        <v>14000</v>
      </c>
      <c r="E67" s="146"/>
    </row>
    <row r="68" spans="1:5" ht="27.75" customHeight="1">
      <c r="A68" s="148" t="s">
        <v>38</v>
      </c>
      <c r="B68" s="50" t="s">
        <v>130</v>
      </c>
      <c r="C68" s="30" t="s">
        <v>39</v>
      </c>
      <c r="D68" s="151">
        <v>14000</v>
      </c>
      <c r="E68" s="146" t="s">
        <v>749</v>
      </c>
    </row>
    <row r="69" spans="1:5" ht="27.75" customHeight="1">
      <c r="A69" s="155" t="s">
        <v>548</v>
      </c>
      <c r="B69" s="29" t="s">
        <v>549</v>
      </c>
      <c r="C69" s="30"/>
      <c r="D69" s="143">
        <f>D70</f>
        <v>295400</v>
      </c>
      <c r="E69" s="146"/>
    </row>
    <row r="70" spans="1:5" ht="18.75" customHeight="1">
      <c r="A70" s="159" t="s">
        <v>550</v>
      </c>
      <c r="B70" s="29" t="s">
        <v>552</v>
      </c>
      <c r="C70" s="30"/>
      <c r="D70" s="143">
        <f>D71</f>
        <v>295400</v>
      </c>
      <c r="E70" s="146"/>
    </row>
    <row r="71" spans="1:5" ht="18.75" customHeight="1">
      <c r="A71" s="150" t="s">
        <v>211</v>
      </c>
      <c r="B71" s="29" t="s">
        <v>552</v>
      </c>
      <c r="C71" s="30" t="s">
        <v>212</v>
      </c>
      <c r="D71" s="151">
        <v>295400</v>
      </c>
      <c r="E71" s="146" t="s">
        <v>749</v>
      </c>
    </row>
    <row r="72" spans="1:5" ht="53.25" customHeight="1">
      <c r="A72" s="160" t="s">
        <v>588</v>
      </c>
      <c r="B72" s="36" t="s">
        <v>46</v>
      </c>
      <c r="C72" s="37"/>
      <c r="D72" s="143">
        <f>D73+D76+D80+D840+D83</f>
        <v>28907065</v>
      </c>
      <c r="E72" s="146"/>
    </row>
    <row r="73" spans="1:5" ht="42" customHeight="1">
      <c r="A73" s="84" t="s">
        <v>589</v>
      </c>
      <c r="B73" s="29" t="s">
        <v>590</v>
      </c>
      <c r="C73" s="30"/>
      <c r="D73" s="143">
        <f>D74</f>
        <v>16676179</v>
      </c>
      <c r="E73" s="146"/>
    </row>
    <row r="74" spans="1:5" ht="29.25" customHeight="1">
      <c r="A74" s="154" t="s">
        <v>591</v>
      </c>
      <c r="B74" s="29" t="s">
        <v>592</v>
      </c>
      <c r="C74" s="30"/>
      <c r="D74" s="143">
        <f>D75</f>
        <v>16676179</v>
      </c>
      <c r="E74" s="146"/>
    </row>
    <row r="75" spans="1:5" ht="21" customHeight="1">
      <c r="A75" s="158" t="s">
        <v>211</v>
      </c>
      <c r="B75" s="29" t="s">
        <v>592</v>
      </c>
      <c r="C75" s="30" t="s">
        <v>212</v>
      </c>
      <c r="D75" s="151">
        <f>16092874+583305</f>
        <v>16676179</v>
      </c>
      <c r="E75" s="146" t="s">
        <v>748</v>
      </c>
    </row>
    <row r="76" spans="1:5" ht="51.75" customHeight="1">
      <c r="A76" s="161" t="s">
        <v>47</v>
      </c>
      <c r="B76" s="36" t="s">
        <v>48</v>
      </c>
      <c r="C76" s="37"/>
      <c r="D76" s="143">
        <f>D77</f>
        <v>1004100</v>
      </c>
      <c r="E76" s="146"/>
    </row>
    <row r="77" spans="1:5" ht="46.5" customHeight="1">
      <c r="A77" s="156" t="s">
        <v>49</v>
      </c>
      <c r="B77" s="36" t="s">
        <v>50</v>
      </c>
      <c r="C77" s="37"/>
      <c r="D77" s="143">
        <f>D78+D79</f>
        <v>1004100</v>
      </c>
      <c r="E77" s="146" t="s">
        <v>748</v>
      </c>
    </row>
    <row r="78" spans="1:5" ht="39">
      <c r="A78" s="148" t="s">
        <v>26</v>
      </c>
      <c r="B78" s="36" t="s">
        <v>50</v>
      </c>
      <c r="C78" s="37" t="s">
        <v>27</v>
      </c>
      <c r="D78" s="151">
        <v>938056</v>
      </c>
      <c r="E78" s="146"/>
    </row>
    <row r="79" spans="1:5" ht="26.25">
      <c r="A79" s="148" t="s">
        <v>38</v>
      </c>
      <c r="B79" s="36" t="s">
        <v>50</v>
      </c>
      <c r="C79" s="37" t="s">
        <v>39</v>
      </c>
      <c r="D79" s="151">
        <f>12000+54044</f>
        <v>66044</v>
      </c>
      <c r="E79" s="146"/>
    </row>
    <row r="80" spans="1:5" ht="31.5" customHeight="1">
      <c r="A80" s="162" t="s">
        <v>131</v>
      </c>
      <c r="B80" s="29" t="s">
        <v>132</v>
      </c>
      <c r="C80" s="30"/>
      <c r="D80" s="151">
        <f>D81</f>
        <v>27000</v>
      </c>
      <c r="E80" s="146"/>
    </row>
    <row r="81" spans="1:5" ht="38.25" customHeight="1">
      <c r="A81" s="157" t="s">
        <v>133</v>
      </c>
      <c r="B81" s="50" t="s">
        <v>134</v>
      </c>
      <c r="C81" s="30"/>
      <c r="D81" s="151">
        <f>D82</f>
        <v>27000</v>
      </c>
      <c r="E81" s="146"/>
    </row>
    <row r="82" spans="1:5" ht="26.25" customHeight="1">
      <c r="A82" s="148" t="s">
        <v>38</v>
      </c>
      <c r="B82" s="50" t="s">
        <v>134</v>
      </c>
      <c r="C82" s="30" t="s">
        <v>39</v>
      </c>
      <c r="D82" s="151">
        <v>27000</v>
      </c>
      <c r="E82" s="146" t="s">
        <v>749</v>
      </c>
    </row>
    <row r="83" spans="1:5" ht="31.5" customHeight="1">
      <c r="A83" s="43" t="s">
        <v>745</v>
      </c>
      <c r="B83" s="29" t="s">
        <v>746</v>
      </c>
      <c r="C83" s="30"/>
      <c r="D83" s="151">
        <f>D84</f>
        <v>11199786</v>
      </c>
      <c r="E83" s="146"/>
    </row>
    <row r="84" spans="1:5" ht="38.25" customHeight="1">
      <c r="A84" s="44" t="s">
        <v>598</v>
      </c>
      <c r="B84" s="29" t="s">
        <v>747</v>
      </c>
      <c r="C84" s="30"/>
      <c r="D84" s="151">
        <f>D85</f>
        <v>11199786</v>
      </c>
      <c r="E84" s="146"/>
    </row>
    <row r="85" spans="1:5" ht="26.25" customHeight="1">
      <c r="A85" s="16" t="s">
        <v>271</v>
      </c>
      <c r="B85" s="29" t="s">
        <v>747</v>
      </c>
      <c r="C85" s="30" t="s">
        <v>272</v>
      </c>
      <c r="D85" s="31">
        <f>8168395+3031391</f>
        <v>11199786</v>
      </c>
      <c r="E85" s="146" t="s">
        <v>748</v>
      </c>
    </row>
    <row r="86" spans="1:5" ht="44.25" customHeight="1">
      <c r="A86" s="154" t="s">
        <v>135</v>
      </c>
      <c r="B86" s="29" t="s">
        <v>52</v>
      </c>
      <c r="C86" s="30"/>
      <c r="D86" s="143">
        <f>D87+D92</f>
        <v>3447700</v>
      </c>
      <c r="E86" s="146"/>
    </row>
    <row r="87" spans="1:5" ht="30.75" customHeight="1" hidden="1">
      <c r="A87" s="154" t="s">
        <v>136</v>
      </c>
      <c r="B87" s="29" t="s">
        <v>137</v>
      </c>
      <c r="C87" s="30"/>
      <c r="D87" s="143">
        <f>D88+D90</f>
        <v>0</v>
      </c>
      <c r="E87" s="146"/>
    </row>
    <row r="88" spans="1:5" ht="30" customHeight="1" hidden="1">
      <c r="A88" s="154" t="s">
        <v>138</v>
      </c>
      <c r="B88" s="29" t="s">
        <v>139</v>
      </c>
      <c r="C88" s="30"/>
      <c r="D88" s="143">
        <f>D89</f>
        <v>0</v>
      </c>
      <c r="E88" s="146"/>
    </row>
    <row r="89" spans="1:5" ht="32.25" customHeight="1" hidden="1">
      <c r="A89" s="148" t="s">
        <v>140</v>
      </c>
      <c r="B89" s="29" t="s">
        <v>139</v>
      </c>
      <c r="C89" s="37" t="s">
        <v>141</v>
      </c>
      <c r="D89" s="143"/>
      <c r="E89" s="146"/>
    </row>
    <row r="90" spans="1:5" ht="20.25" customHeight="1" hidden="1">
      <c r="A90" s="154" t="s">
        <v>142</v>
      </c>
      <c r="B90" s="29" t="s">
        <v>143</v>
      </c>
      <c r="C90" s="37"/>
      <c r="D90" s="143">
        <f>D91</f>
        <v>0</v>
      </c>
      <c r="E90" s="146"/>
    </row>
    <row r="91" spans="1:5" ht="32.25" customHeight="1" hidden="1">
      <c r="A91" s="148" t="s">
        <v>140</v>
      </c>
      <c r="B91" s="29" t="s">
        <v>143</v>
      </c>
      <c r="C91" s="37" t="s">
        <v>141</v>
      </c>
      <c r="D91" s="143"/>
      <c r="E91" s="146"/>
    </row>
    <row r="92" spans="1:5" ht="28.5" customHeight="1">
      <c r="A92" s="147" t="s">
        <v>53</v>
      </c>
      <c r="B92" s="36" t="s">
        <v>54</v>
      </c>
      <c r="C92" s="30"/>
      <c r="D92" s="143">
        <f>D93+D96+D99</f>
        <v>3447700</v>
      </c>
      <c r="E92" s="146"/>
    </row>
    <row r="93" spans="1:5" ht="30.75" customHeight="1">
      <c r="A93" s="154" t="s">
        <v>55</v>
      </c>
      <c r="B93" s="36" t="s">
        <v>56</v>
      </c>
      <c r="C93" s="30"/>
      <c r="D93" s="143">
        <f>D94+D95</f>
        <v>2342900</v>
      </c>
      <c r="E93" s="146" t="s">
        <v>748</v>
      </c>
    </row>
    <row r="94" spans="1:5" ht="42.75" customHeight="1">
      <c r="A94" s="148" t="s">
        <v>26</v>
      </c>
      <c r="B94" s="36" t="s">
        <v>56</v>
      </c>
      <c r="C94" s="37" t="s">
        <v>27</v>
      </c>
      <c r="D94" s="151">
        <v>2307507</v>
      </c>
      <c r="E94" s="146"/>
    </row>
    <row r="95" spans="1:5" ht="26.25">
      <c r="A95" s="148" t="s">
        <v>38</v>
      </c>
      <c r="B95" s="36" t="s">
        <v>56</v>
      </c>
      <c r="C95" s="37" t="s">
        <v>39</v>
      </c>
      <c r="D95" s="151">
        <v>35393</v>
      </c>
      <c r="E95" s="146"/>
    </row>
    <row r="96" spans="1:5" ht="41.25" customHeight="1">
      <c r="A96" s="157" t="s">
        <v>57</v>
      </c>
      <c r="B96" s="36" t="s">
        <v>58</v>
      </c>
      <c r="C96" s="37"/>
      <c r="D96" s="151">
        <f>D97+D98</f>
        <v>1094800</v>
      </c>
      <c r="E96" s="146" t="s">
        <v>748</v>
      </c>
    </row>
    <row r="97" spans="1:5" ht="39">
      <c r="A97" s="148" t="s">
        <v>26</v>
      </c>
      <c r="B97" s="36" t="s">
        <v>58</v>
      </c>
      <c r="C97" s="37" t="s">
        <v>27</v>
      </c>
      <c r="D97" s="151">
        <v>1004100</v>
      </c>
      <c r="E97" s="146"/>
    </row>
    <row r="98" spans="1:5" ht="28.5" customHeight="1">
      <c r="A98" s="148" t="s">
        <v>38</v>
      </c>
      <c r="B98" s="36" t="s">
        <v>58</v>
      </c>
      <c r="C98" s="37" t="s">
        <v>39</v>
      </c>
      <c r="D98" s="151">
        <v>90700</v>
      </c>
      <c r="E98" s="146"/>
    </row>
    <row r="99" spans="1:5" ht="17.25" customHeight="1">
      <c r="A99" s="162" t="s">
        <v>144</v>
      </c>
      <c r="B99" s="29" t="s">
        <v>145</v>
      </c>
      <c r="C99" s="37"/>
      <c r="D99" s="151">
        <f>D100</f>
        <v>10000</v>
      </c>
      <c r="E99" s="146"/>
    </row>
    <row r="100" spans="1:5" ht="26.25">
      <c r="A100" s="148" t="s">
        <v>38</v>
      </c>
      <c r="B100" s="29" t="s">
        <v>145</v>
      </c>
      <c r="C100" s="37" t="s">
        <v>39</v>
      </c>
      <c r="D100" s="151">
        <v>10000</v>
      </c>
      <c r="E100" s="146" t="s">
        <v>749</v>
      </c>
    </row>
    <row r="101" spans="1:8" ht="32.25" customHeight="1">
      <c r="A101" s="145" t="s">
        <v>370</v>
      </c>
      <c r="B101" s="29" t="s">
        <v>371</v>
      </c>
      <c r="C101" s="30"/>
      <c r="D101" s="143">
        <f>D102+D177+D193+D202</f>
        <v>511871768.6</v>
      </c>
      <c r="E101" s="21"/>
      <c r="F101" s="21"/>
      <c r="G101" s="21"/>
      <c r="H101" s="21"/>
    </row>
    <row r="102" spans="1:5" s="42" customFormat="1" ht="51" customHeight="1">
      <c r="A102" s="163" t="s">
        <v>372</v>
      </c>
      <c r="B102" s="29" t="s">
        <v>373</v>
      </c>
      <c r="C102" s="30"/>
      <c r="D102" s="143">
        <f>D114+D131+D168+D106+D103+D111</f>
        <v>478106729.6</v>
      </c>
      <c r="E102" s="164"/>
    </row>
    <row r="103" spans="1:5" s="42" customFormat="1" ht="21" customHeight="1">
      <c r="A103" s="84" t="s">
        <v>384</v>
      </c>
      <c r="B103" s="29" t="s">
        <v>385</v>
      </c>
      <c r="C103" s="30"/>
      <c r="D103" s="143">
        <f>D104</f>
        <v>4487736</v>
      </c>
      <c r="E103" s="164"/>
    </row>
    <row r="104" spans="1:5" s="42" customFormat="1" ht="45" customHeight="1">
      <c r="A104" s="84" t="s">
        <v>386</v>
      </c>
      <c r="B104" s="29" t="s">
        <v>387</v>
      </c>
      <c r="C104" s="30"/>
      <c r="D104" s="143">
        <f>D105</f>
        <v>4487736</v>
      </c>
      <c r="E104" s="164"/>
    </row>
    <row r="105" spans="1:5" s="42" customFormat="1" ht="28.5" customHeight="1">
      <c r="A105" s="148" t="s">
        <v>38</v>
      </c>
      <c r="B105" s="29" t="s">
        <v>387</v>
      </c>
      <c r="C105" s="45" t="s">
        <v>39</v>
      </c>
      <c r="D105" s="151">
        <v>4487736</v>
      </c>
      <c r="E105" s="164"/>
    </row>
    <row r="106" spans="1:5" s="42" customFormat="1" ht="19.5" customHeight="1">
      <c r="A106" s="84" t="s">
        <v>451</v>
      </c>
      <c r="B106" s="29" t="s">
        <v>389</v>
      </c>
      <c r="C106" s="45"/>
      <c r="D106" s="151">
        <f>D107+D109</f>
        <v>4435742</v>
      </c>
      <c r="E106" s="164"/>
    </row>
    <row r="107" spans="1:5" s="42" customFormat="1" ht="29.25" customHeight="1">
      <c r="A107" s="163" t="s">
        <v>390</v>
      </c>
      <c r="B107" s="29" t="s">
        <v>391</v>
      </c>
      <c r="C107" s="45"/>
      <c r="D107" s="151">
        <f>D108</f>
        <v>4435742</v>
      </c>
      <c r="E107" s="164"/>
    </row>
    <row r="108" spans="1:5" s="42" customFormat="1" ht="23.25" customHeight="1">
      <c r="A108" s="148" t="s">
        <v>38</v>
      </c>
      <c r="B108" s="29" t="s">
        <v>391</v>
      </c>
      <c r="C108" s="30" t="s">
        <v>39</v>
      </c>
      <c r="D108" s="151">
        <f>4434764+978</f>
        <v>4435742</v>
      </c>
      <c r="E108" s="164"/>
    </row>
    <row r="109" spans="1:5" s="42" customFormat="1" ht="0.75" customHeight="1" hidden="1">
      <c r="A109" s="162" t="s">
        <v>452</v>
      </c>
      <c r="B109" s="29" t="s">
        <v>453</v>
      </c>
      <c r="C109" s="45"/>
      <c r="D109" s="151">
        <f>D110</f>
        <v>0</v>
      </c>
      <c r="E109" s="164"/>
    </row>
    <row r="110" spans="1:5" s="42" customFormat="1" ht="33" customHeight="1" hidden="1">
      <c r="A110" s="148" t="s">
        <v>38</v>
      </c>
      <c r="B110" s="29" t="s">
        <v>453</v>
      </c>
      <c r="C110" s="30" t="s">
        <v>39</v>
      </c>
      <c r="D110" s="151"/>
      <c r="E110" s="164"/>
    </row>
    <row r="111" spans="1:5" s="42" customFormat="1" ht="21.75" customHeight="1">
      <c r="A111" s="84" t="s">
        <v>392</v>
      </c>
      <c r="B111" s="29" t="s">
        <v>393</v>
      </c>
      <c r="C111" s="30"/>
      <c r="D111" s="151">
        <f>D112</f>
        <v>7746796</v>
      </c>
      <c r="E111" s="164"/>
    </row>
    <row r="112" spans="1:5" s="42" customFormat="1" ht="33.75" customHeight="1">
      <c r="A112" s="162" t="s">
        <v>716</v>
      </c>
      <c r="B112" s="47" t="s">
        <v>395</v>
      </c>
      <c r="C112" s="30"/>
      <c r="D112" s="151">
        <f>D113</f>
        <v>7746796</v>
      </c>
      <c r="E112" s="164"/>
    </row>
    <row r="113" spans="1:5" s="42" customFormat="1" ht="33" customHeight="1">
      <c r="A113" s="148" t="s">
        <v>38</v>
      </c>
      <c r="B113" s="47" t="s">
        <v>395</v>
      </c>
      <c r="C113" s="30" t="s">
        <v>39</v>
      </c>
      <c r="D113" s="151">
        <v>7746796</v>
      </c>
      <c r="E113" s="164"/>
    </row>
    <row r="114" spans="1:5" ht="33" customHeight="1">
      <c r="A114" s="84" t="s">
        <v>374</v>
      </c>
      <c r="B114" s="90" t="s">
        <v>375</v>
      </c>
      <c r="C114" s="30"/>
      <c r="D114" s="143">
        <f>D115+D117+D124+D122+D121+D129</f>
        <v>106390329.72</v>
      </c>
      <c r="E114" s="146"/>
    </row>
    <row r="115" spans="1:5" ht="17.25" customHeight="1">
      <c r="A115" s="165" t="s">
        <v>595</v>
      </c>
      <c r="B115" s="90" t="s">
        <v>596</v>
      </c>
      <c r="C115" s="30"/>
      <c r="D115" s="143">
        <f>D116</f>
        <v>2320643</v>
      </c>
      <c r="E115" s="146"/>
    </row>
    <row r="116" spans="1:5" ht="18.75" customHeight="1">
      <c r="A116" s="158" t="s">
        <v>211</v>
      </c>
      <c r="B116" s="90" t="s">
        <v>596</v>
      </c>
      <c r="C116" s="30" t="s">
        <v>212</v>
      </c>
      <c r="D116" s="151">
        <v>2320643</v>
      </c>
      <c r="E116" s="146"/>
    </row>
    <row r="117" spans="1:5" ht="66" customHeight="1">
      <c r="A117" s="156" t="s">
        <v>376</v>
      </c>
      <c r="B117" s="29" t="s">
        <v>377</v>
      </c>
      <c r="C117" s="30"/>
      <c r="D117" s="143">
        <f>D118+D119</f>
        <v>57617557</v>
      </c>
      <c r="E117" s="146"/>
    </row>
    <row r="118" spans="1:5" ht="42" customHeight="1">
      <c r="A118" s="166" t="s">
        <v>26</v>
      </c>
      <c r="B118" s="29" t="s">
        <v>377</v>
      </c>
      <c r="C118" s="30" t="s">
        <v>27</v>
      </c>
      <c r="D118" s="151">
        <v>57132120</v>
      </c>
      <c r="E118" s="146"/>
    </row>
    <row r="119" spans="1:5" ht="24.75" customHeight="1">
      <c r="A119" s="148" t="s">
        <v>38</v>
      </c>
      <c r="B119" s="29" t="s">
        <v>377</v>
      </c>
      <c r="C119" s="30" t="s">
        <v>39</v>
      </c>
      <c r="D119" s="151">
        <v>485437</v>
      </c>
      <c r="E119" s="146"/>
    </row>
    <row r="120" spans="1:5" ht="26.25">
      <c r="A120" s="156" t="s">
        <v>408</v>
      </c>
      <c r="B120" s="29" t="s">
        <v>686</v>
      </c>
      <c r="C120" s="30"/>
      <c r="D120" s="143">
        <f>D121</f>
        <v>585916</v>
      </c>
      <c r="E120" s="146"/>
    </row>
    <row r="121" spans="1:5" ht="26.25">
      <c r="A121" s="148" t="s">
        <v>38</v>
      </c>
      <c r="B121" s="29" t="s">
        <v>686</v>
      </c>
      <c r="C121" s="30" t="s">
        <v>39</v>
      </c>
      <c r="D121" s="143">
        <v>585916</v>
      </c>
      <c r="E121" s="146"/>
    </row>
    <row r="122" spans="1:5" ht="26.25">
      <c r="A122" s="156" t="s">
        <v>410</v>
      </c>
      <c r="B122" s="29" t="s">
        <v>687</v>
      </c>
      <c r="C122" s="30"/>
      <c r="D122" s="143">
        <f>D123</f>
        <v>315494</v>
      </c>
      <c r="E122" s="146"/>
    </row>
    <row r="123" spans="1:5" ht="26.25">
      <c r="A123" s="148" t="s">
        <v>38</v>
      </c>
      <c r="B123" s="29" t="s">
        <v>687</v>
      </c>
      <c r="C123" s="30" t="s">
        <v>39</v>
      </c>
      <c r="D123" s="143">
        <v>315494</v>
      </c>
      <c r="E123" s="146"/>
    </row>
    <row r="124" spans="1:5" ht="21" customHeight="1">
      <c r="A124" s="84" t="s">
        <v>201</v>
      </c>
      <c r="B124" s="29" t="s">
        <v>378</v>
      </c>
      <c r="C124" s="30"/>
      <c r="D124" s="143">
        <f>D125+D126+D128+D127</f>
        <v>45550719.72</v>
      </c>
      <c r="E124" s="146"/>
    </row>
    <row r="125" spans="1:5" ht="44.25" customHeight="1">
      <c r="A125" s="148" t="s">
        <v>26</v>
      </c>
      <c r="B125" s="29" t="s">
        <v>378</v>
      </c>
      <c r="C125" s="30" t="s">
        <v>27</v>
      </c>
      <c r="D125" s="151">
        <v>27389000</v>
      </c>
      <c r="E125" s="146"/>
    </row>
    <row r="126" spans="1:5" ht="24" customHeight="1">
      <c r="A126" s="148" t="s">
        <v>38</v>
      </c>
      <c r="B126" s="29" t="s">
        <v>378</v>
      </c>
      <c r="C126" s="30" t="s">
        <v>39</v>
      </c>
      <c r="D126" s="151">
        <f>15992497.32+430018.4-10000</f>
        <v>16412515.72</v>
      </c>
      <c r="E126" s="146"/>
    </row>
    <row r="127" spans="1:5" ht="26.25" customHeight="1" hidden="1">
      <c r="A127" s="149" t="s">
        <v>271</v>
      </c>
      <c r="B127" s="29" t="s">
        <v>378</v>
      </c>
      <c r="C127" s="30" t="s">
        <v>272</v>
      </c>
      <c r="D127" s="151"/>
      <c r="E127" s="146"/>
    </row>
    <row r="128" spans="1:5" ht="18" customHeight="1">
      <c r="A128" s="84" t="s">
        <v>84</v>
      </c>
      <c r="B128" s="29" t="s">
        <v>378</v>
      </c>
      <c r="C128" s="30" t="s">
        <v>85</v>
      </c>
      <c r="D128" s="151">
        <v>1749204</v>
      </c>
      <c r="E128" s="146"/>
    </row>
    <row r="129" spans="1:5" ht="35.25" customHeight="1" hidden="1">
      <c r="A129" s="84" t="s">
        <v>236</v>
      </c>
      <c r="B129" s="29" t="s">
        <v>717</v>
      </c>
      <c r="C129" s="30"/>
      <c r="D129" s="151">
        <f>D130</f>
        <v>0</v>
      </c>
      <c r="E129" s="146"/>
    </row>
    <row r="130" spans="1:5" ht="33.75" customHeight="1" hidden="1">
      <c r="A130" s="148" t="s">
        <v>38</v>
      </c>
      <c r="B130" s="29" t="s">
        <v>717</v>
      </c>
      <c r="C130" s="30" t="s">
        <v>39</v>
      </c>
      <c r="D130" s="151"/>
      <c r="E130" s="146"/>
    </row>
    <row r="131" spans="1:5" ht="25.5">
      <c r="A131" s="84" t="s">
        <v>396</v>
      </c>
      <c r="B131" s="90" t="s">
        <v>397</v>
      </c>
      <c r="C131" s="30"/>
      <c r="D131" s="143">
        <f>D144+D151+D153+D155+D157+D160+D166+D132+D134+D147+D149+D164+D136+D138+D140+D142</f>
        <v>329951137.88</v>
      </c>
      <c r="E131" s="146"/>
    </row>
    <row r="132" spans="1:5" ht="25.5" customHeight="1" hidden="1">
      <c r="A132" s="84" t="s">
        <v>691</v>
      </c>
      <c r="B132" s="29" t="s">
        <v>692</v>
      </c>
      <c r="C132" s="30"/>
      <c r="D132" s="151">
        <f>D133</f>
        <v>0</v>
      </c>
      <c r="E132" s="146"/>
    </row>
    <row r="133" spans="1:5" ht="26.25" customHeight="1" hidden="1">
      <c r="A133" s="148" t="s">
        <v>38</v>
      </c>
      <c r="B133" s="29" t="s">
        <v>692</v>
      </c>
      <c r="C133" s="30" t="s">
        <v>39</v>
      </c>
      <c r="D133" s="151"/>
      <c r="E133" s="146"/>
    </row>
    <row r="134" spans="1:5" ht="25.5" customHeight="1" hidden="1">
      <c r="A134" s="162" t="s">
        <v>390</v>
      </c>
      <c r="B134" s="29" t="s">
        <v>693</v>
      </c>
      <c r="C134" s="30"/>
      <c r="D134" s="151">
        <f>D135</f>
        <v>0</v>
      </c>
      <c r="E134" s="146"/>
    </row>
    <row r="135" spans="1:5" ht="26.25" customHeight="1" hidden="1">
      <c r="A135" s="148" t="s">
        <v>38</v>
      </c>
      <c r="B135" s="29" t="s">
        <v>693</v>
      </c>
      <c r="C135" s="30" t="s">
        <v>39</v>
      </c>
      <c r="D135" s="151"/>
      <c r="E135" s="146"/>
    </row>
    <row r="136" spans="1:5" ht="38.25">
      <c r="A136" s="162" t="s">
        <v>398</v>
      </c>
      <c r="B136" s="29" t="s">
        <v>399</v>
      </c>
      <c r="C136" s="30"/>
      <c r="D136" s="151">
        <f>D137</f>
        <v>8427743</v>
      </c>
      <c r="E136" s="146"/>
    </row>
    <row r="137" spans="1:5" ht="26.25">
      <c r="A137" s="148" t="s">
        <v>38</v>
      </c>
      <c r="B137" s="29" t="s">
        <v>399</v>
      </c>
      <c r="C137" s="30" t="s">
        <v>39</v>
      </c>
      <c r="D137" s="151">
        <v>8427743</v>
      </c>
      <c r="E137" s="146"/>
    </row>
    <row r="138" spans="1:5" ht="47.25" customHeight="1">
      <c r="A138" s="84" t="s">
        <v>400</v>
      </c>
      <c r="B138" s="29" t="s">
        <v>401</v>
      </c>
      <c r="C138" s="30"/>
      <c r="D138" s="151">
        <f>D139</f>
        <v>16439201</v>
      </c>
      <c r="E138" s="146"/>
    </row>
    <row r="139" spans="1:5" ht="39">
      <c r="A139" s="148" t="s">
        <v>26</v>
      </c>
      <c r="B139" s="29" t="s">
        <v>401</v>
      </c>
      <c r="C139" s="30" t="s">
        <v>27</v>
      </c>
      <c r="D139" s="151">
        <f>16873920-434719</f>
        <v>16439201</v>
      </c>
      <c r="E139" s="146"/>
    </row>
    <row r="140" spans="1:5" ht="38.25" hidden="1">
      <c r="A140" s="162" t="s">
        <v>402</v>
      </c>
      <c r="B140" s="29" t="s">
        <v>403</v>
      </c>
      <c r="C140" s="30"/>
      <c r="D140" s="151">
        <f>D141</f>
        <v>0</v>
      </c>
      <c r="E140" s="146"/>
    </row>
    <row r="141" spans="1:5" ht="26.25" hidden="1">
      <c r="A141" s="148" t="s">
        <v>38</v>
      </c>
      <c r="B141" s="29" t="s">
        <v>403</v>
      </c>
      <c r="C141" s="30" t="s">
        <v>39</v>
      </c>
      <c r="D141" s="151"/>
      <c r="E141" s="146"/>
    </row>
    <row r="142" spans="1:5" ht="38.25" hidden="1">
      <c r="A142" s="162" t="s">
        <v>404</v>
      </c>
      <c r="B142" s="29" t="s">
        <v>405</v>
      </c>
      <c r="C142" s="30"/>
      <c r="D142" s="151">
        <f>D143</f>
        <v>0</v>
      </c>
      <c r="E142" s="146"/>
    </row>
    <row r="143" spans="1:5" ht="26.25" hidden="1">
      <c r="A143" s="148" t="s">
        <v>38</v>
      </c>
      <c r="B143" s="29" t="s">
        <v>405</v>
      </c>
      <c r="C143" s="30" t="s">
        <v>39</v>
      </c>
      <c r="D143" s="151"/>
      <c r="E143" s="146"/>
    </row>
    <row r="144" spans="1:5" ht="66.75" customHeight="1">
      <c r="A144" s="156" t="s">
        <v>406</v>
      </c>
      <c r="B144" s="29" t="s">
        <v>407</v>
      </c>
      <c r="C144" s="30"/>
      <c r="D144" s="143">
        <f>D145+D146</f>
        <v>257764367</v>
      </c>
      <c r="E144" s="146"/>
    </row>
    <row r="145" spans="1:5" ht="45" customHeight="1">
      <c r="A145" s="148" t="s">
        <v>26</v>
      </c>
      <c r="B145" s="29" t="s">
        <v>407</v>
      </c>
      <c r="C145" s="30" t="s">
        <v>27</v>
      </c>
      <c r="D145" s="151">
        <v>250857973</v>
      </c>
      <c r="E145" s="146"/>
    </row>
    <row r="146" spans="1:5" ht="24" customHeight="1">
      <c r="A146" s="148" t="s">
        <v>38</v>
      </c>
      <c r="B146" s="29" t="s">
        <v>407</v>
      </c>
      <c r="C146" s="30" t="s">
        <v>39</v>
      </c>
      <c r="D146" s="151">
        <f>742224+280800+5741970+141400</f>
        <v>6906394</v>
      </c>
      <c r="E146" s="146"/>
    </row>
    <row r="147" spans="1:5" ht="26.25">
      <c r="A147" s="167" t="s">
        <v>408</v>
      </c>
      <c r="B147" s="29" t="s">
        <v>409</v>
      </c>
      <c r="C147" s="30"/>
      <c r="D147" s="151">
        <f>D148</f>
        <v>2700483</v>
      </c>
      <c r="E147" s="146"/>
    </row>
    <row r="148" spans="1:5" ht="26.25">
      <c r="A148" s="148" t="s">
        <v>38</v>
      </c>
      <c r="B148" s="29" t="s">
        <v>409</v>
      </c>
      <c r="C148" s="30" t="s">
        <v>39</v>
      </c>
      <c r="D148" s="151">
        <v>2700483</v>
      </c>
      <c r="E148" s="146"/>
    </row>
    <row r="149" spans="1:5" ht="26.25">
      <c r="A149" s="167" t="s">
        <v>410</v>
      </c>
      <c r="B149" s="29" t="s">
        <v>411</v>
      </c>
      <c r="C149" s="30"/>
      <c r="D149" s="151">
        <f>D150</f>
        <v>1454107</v>
      </c>
      <c r="E149" s="146"/>
    </row>
    <row r="150" spans="1:5" ht="26.25">
      <c r="A150" s="148" t="s">
        <v>38</v>
      </c>
      <c r="B150" s="29" t="s">
        <v>411</v>
      </c>
      <c r="C150" s="30" t="s">
        <v>39</v>
      </c>
      <c r="D150" s="151">
        <v>1454107</v>
      </c>
      <c r="E150" s="146"/>
    </row>
    <row r="151" spans="1:4" ht="38.25">
      <c r="A151" s="162" t="s">
        <v>695</v>
      </c>
      <c r="B151" s="29" t="s">
        <v>413</v>
      </c>
      <c r="C151" s="30"/>
      <c r="D151" s="143">
        <f>D152</f>
        <v>1085644</v>
      </c>
    </row>
    <row r="152" spans="1:4" ht="26.25">
      <c r="A152" s="148" t="s">
        <v>38</v>
      </c>
      <c r="B152" s="29" t="s">
        <v>413</v>
      </c>
      <c r="C152" s="30" t="s">
        <v>39</v>
      </c>
      <c r="D152" s="151">
        <v>1085644</v>
      </c>
    </row>
    <row r="153" spans="1:5" ht="38.25">
      <c r="A153" s="162" t="s">
        <v>414</v>
      </c>
      <c r="B153" s="29" t="s">
        <v>415</v>
      </c>
      <c r="C153" s="30"/>
      <c r="D153" s="143">
        <f>D154</f>
        <v>1670986</v>
      </c>
      <c r="E153" s="146"/>
    </row>
    <row r="154" spans="1:5" ht="25.5" customHeight="1">
      <c r="A154" s="148" t="s">
        <v>38</v>
      </c>
      <c r="B154" s="29" t="s">
        <v>415</v>
      </c>
      <c r="C154" s="30" t="s">
        <v>39</v>
      </c>
      <c r="D154" s="151">
        <v>1670986</v>
      </c>
      <c r="E154" s="146"/>
    </row>
    <row r="155" spans="1:4" ht="51.75">
      <c r="A155" s="156" t="s">
        <v>416</v>
      </c>
      <c r="B155" s="29" t="s">
        <v>417</v>
      </c>
      <c r="C155" s="30"/>
      <c r="D155" s="143">
        <f>D156</f>
        <v>737089</v>
      </c>
    </row>
    <row r="156" spans="1:4" ht="26.25">
      <c r="A156" s="148" t="s">
        <v>38</v>
      </c>
      <c r="B156" s="29" t="s">
        <v>417</v>
      </c>
      <c r="C156" s="30" t="s">
        <v>39</v>
      </c>
      <c r="D156" s="151">
        <v>737089</v>
      </c>
    </row>
    <row r="157" spans="1:4" ht="39">
      <c r="A157" s="156" t="s">
        <v>718</v>
      </c>
      <c r="B157" s="29" t="s">
        <v>419</v>
      </c>
      <c r="C157" s="30"/>
      <c r="D157" s="143">
        <f>D158+D159</f>
        <v>4929639</v>
      </c>
    </row>
    <row r="158" spans="1:4" ht="24.75" customHeight="1">
      <c r="A158" s="148" t="s">
        <v>38</v>
      </c>
      <c r="B158" s="29" t="s">
        <v>419</v>
      </c>
      <c r="C158" s="30" t="s">
        <v>39</v>
      </c>
      <c r="D158" s="151">
        <f>4929639-628496-1151382</f>
        <v>3149761</v>
      </c>
    </row>
    <row r="159" spans="1:4" ht="15">
      <c r="A159" s="158" t="s">
        <v>211</v>
      </c>
      <c r="B159" s="29" t="s">
        <v>419</v>
      </c>
      <c r="C159" s="30" t="s">
        <v>212</v>
      </c>
      <c r="D159" s="151">
        <f>628496+1151382</f>
        <v>1779878</v>
      </c>
    </row>
    <row r="160" spans="1:4" ht="17.25" customHeight="1">
      <c r="A160" s="84" t="s">
        <v>201</v>
      </c>
      <c r="B160" s="29" t="s">
        <v>420</v>
      </c>
      <c r="C160" s="30"/>
      <c r="D160" s="143">
        <f>D161+D163+D162</f>
        <v>34641878.88</v>
      </c>
    </row>
    <row r="161" spans="1:4" ht="27" customHeight="1">
      <c r="A161" s="148" t="s">
        <v>38</v>
      </c>
      <c r="B161" s="29" t="s">
        <v>420</v>
      </c>
      <c r="C161" s="30" t="s">
        <v>39</v>
      </c>
      <c r="D161" s="151">
        <f>29120686.28+2585898.6+502980-12950+201800+10000</f>
        <v>32408414.880000003</v>
      </c>
    </row>
    <row r="162" spans="1:4" ht="26.25" hidden="1">
      <c r="A162" s="149" t="s">
        <v>271</v>
      </c>
      <c r="B162" s="29" t="s">
        <v>420</v>
      </c>
      <c r="C162" s="30" t="s">
        <v>272</v>
      </c>
      <c r="D162" s="151"/>
    </row>
    <row r="163" spans="1:5" ht="18.75" customHeight="1">
      <c r="A163" s="84" t="s">
        <v>84</v>
      </c>
      <c r="B163" s="29" t="s">
        <v>420</v>
      </c>
      <c r="C163" s="30" t="s">
        <v>85</v>
      </c>
      <c r="D163" s="151">
        <v>2233464</v>
      </c>
      <c r="E163" s="146"/>
    </row>
    <row r="164" spans="1:5" ht="30.75" customHeight="1" hidden="1">
      <c r="A164" s="84" t="s">
        <v>236</v>
      </c>
      <c r="B164" s="29" t="s">
        <v>423</v>
      </c>
      <c r="C164" s="30"/>
      <c r="D164" s="151">
        <f>D165</f>
        <v>0</v>
      </c>
      <c r="E164" s="146"/>
    </row>
    <row r="165" spans="1:5" ht="31.5" customHeight="1" hidden="1">
      <c r="A165" s="148" t="s">
        <v>38</v>
      </c>
      <c r="B165" s="29" t="s">
        <v>423</v>
      </c>
      <c r="C165" s="30" t="s">
        <v>39</v>
      </c>
      <c r="D165" s="151"/>
      <c r="E165" s="146"/>
    </row>
    <row r="166" spans="1:5" ht="21" customHeight="1">
      <c r="A166" s="155" t="s">
        <v>421</v>
      </c>
      <c r="B166" s="29" t="s">
        <v>422</v>
      </c>
      <c r="C166" s="30"/>
      <c r="D166" s="151">
        <f>D167</f>
        <v>100000</v>
      </c>
      <c r="E166" s="146"/>
    </row>
    <row r="167" spans="1:5" ht="24" customHeight="1">
      <c r="A167" s="158" t="s">
        <v>211</v>
      </c>
      <c r="B167" s="29" t="s">
        <v>422</v>
      </c>
      <c r="C167" s="30" t="s">
        <v>212</v>
      </c>
      <c r="D167" s="151">
        <v>100000</v>
      </c>
      <c r="E167" s="146"/>
    </row>
    <row r="168" spans="1:5" ht="33" customHeight="1">
      <c r="A168" s="84" t="s">
        <v>570</v>
      </c>
      <c r="B168" s="29" t="s">
        <v>571</v>
      </c>
      <c r="C168" s="30"/>
      <c r="D168" s="143">
        <f>D175+D169+D172</f>
        <v>25094988</v>
      </c>
      <c r="E168" s="146"/>
    </row>
    <row r="169" spans="1:5" ht="49.5" customHeight="1">
      <c r="A169" s="84" t="s">
        <v>760</v>
      </c>
      <c r="B169" s="29" t="s">
        <v>759</v>
      </c>
      <c r="C169" s="30"/>
      <c r="D169" s="143">
        <f>D170+D171</f>
        <v>20358422</v>
      </c>
      <c r="E169" s="146"/>
    </row>
    <row r="170" spans="1:5" ht="46.5" customHeight="1">
      <c r="A170" s="84" t="s">
        <v>26</v>
      </c>
      <c r="B170" s="29" t="s">
        <v>759</v>
      </c>
      <c r="C170" s="30" t="s">
        <v>27</v>
      </c>
      <c r="D170" s="143">
        <f>3227344+11791078</f>
        <v>15018422</v>
      </c>
      <c r="E170" s="146"/>
    </row>
    <row r="171" spans="1:5" ht="18" customHeight="1">
      <c r="A171" s="84" t="s">
        <v>211</v>
      </c>
      <c r="B171" s="29" t="s">
        <v>759</v>
      </c>
      <c r="C171" s="30" t="s">
        <v>212</v>
      </c>
      <c r="D171" s="143">
        <f>1260000+4080000</f>
        <v>5340000</v>
      </c>
      <c r="E171" s="146"/>
    </row>
    <row r="172" spans="1:5" ht="72.75" customHeight="1">
      <c r="A172" s="10" t="s">
        <v>765</v>
      </c>
      <c r="B172" s="29" t="s">
        <v>764</v>
      </c>
      <c r="C172" s="30"/>
      <c r="D172" s="31">
        <f>D173+D174</f>
        <v>208676</v>
      </c>
      <c r="E172" s="146"/>
    </row>
    <row r="173" spans="1:5" ht="30" customHeight="1">
      <c r="A173" s="35" t="s">
        <v>38</v>
      </c>
      <c r="B173" s="29" t="s">
        <v>764</v>
      </c>
      <c r="C173" s="30" t="s">
        <v>39</v>
      </c>
      <c r="D173" s="143">
        <v>142168</v>
      </c>
      <c r="E173" s="146"/>
    </row>
    <row r="174" spans="1:5" ht="30" customHeight="1">
      <c r="A174" s="145" t="s">
        <v>140</v>
      </c>
      <c r="B174" s="29" t="s">
        <v>764</v>
      </c>
      <c r="C174" s="30" t="s">
        <v>141</v>
      </c>
      <c r="D174" s="143">
        <v>66508</v>
      </c>
      <c r="E174" s="146"/>
    </row>
    <row r="175" spans="1:5" ht="58.5" customHeight="1">
      <c r="A175" s="156" t="s">
        <v>572</v>
      </c>
      <c r="B175" s="29" t="s">
        <v>573</v>
      </c>
      <c r="C175" s="30"/>
      <c r="D175" s="143">
        <f>D176</f>
        <v>4527890</v>
      </c>
      <c r="E175" s="146"/>
    </row>
    <row r="176" spans="1:5" ht="15.75" customHeight="1">
      <c r="A176" s="158" t="s">
        <v>211</v>
      </c>
      <c r="B176" s="29" t="s">
        <v>573</v>
      </c>
      <c r="C176" s="30" t="s">
        <v>212</v>
      </c>
      <c r="D176" s="151">
        <f>9902040-5374150</f>
        <v>4527890</v>
      </c>
      <c r="E176" s="146"/>
    </row>
    <row r="177" spans="1:5" s="42" customFormat="1" ht="47.25" customHeight="1">
      <c r="A177" s="148" t="s">
        <v>454</v>
      </c>
      <c r="B177" s="29" t="s">
        <v>455</v>
      </c>
      <c r="C177" s="30"/>
      <c r="D177" s="143">
        <f>D178+D185+D190</f>
        <v>23684014</v>
      </c>
      <c r="E177" s="164"/>
    </row>
    <row r="178" spans="1:5" ht="36.75" customHeight="1">
      <c r="A178" s="84" t="s">
        <v>456</v>
      </c>
      <c r="B178" s="29" t="s">
        <v>457</v>
      </c>
      <c r="C178" s="30"/>
      <c r="D178" s="143">
        <f>D179</f>
        <v>11064839</v>
      </c>
      <c r="E178" s="146"/>
    </row>
    <row r="179" spans="1:5" ht="23.25" customHeight="1">
      <c r="A179" s="84" t="s">
        <v>201</v>
      </c>
      <c r="B179" s="29" t="s">
        <v>458</v>
      </c>
      <c r="C179" s="30"/>
      <c r="D179" s="143">
        <f>D180+D181+D184+D182+D183</f>
        <v>11064839</v>
      </c>
      <c r="E179" s="146"/>
    </row>
    <row r="180" spans="1:5" ht="47.25" customHeight="1" hidden="1">
      <c r="A180" s="148" t="s">
        <v>26</v>
      </c>
      <c r="B180" s="29" t="s">
        <v>458</v>
      </c>
      <c r="C180" s="30" t="s">
        <v>27</v>
      </c>
      <c r="D180" s="151"/>
      <c r="E180" s="146"/>
    </row>
    <row r="181" spans="1:5" ht="32.25" customHeight="1" hidden="1">
      <c r="A181" s="148" t="s">
        <v>38</v>
      </c>
      <c r="B181" s="29" t="s">
        <v>458</v>
      </c>
      <c r="C181" s="30" t="s">
        <v>39</v>
      </c>
      <c r="D181" s="151"/>
      <c r="E181" s="146"/>
    </row>
    <row r="182" spans="1:5" ht="26.25" hidden="1">
      <c r="A182" s="149" t="s">
        <v>271</v>
      </c>
      <c r="B182" s="29" t="s">
        <v>458</v>
      </c>
      <c r="C182" s="30" t="s">
        <v>272</v>
      </c>
      <c r="D182" s="151"/>
      <c r="E182" s="146"/>
    </row>
    <row r="183" spans="1:5" ht="26.25">
      <c r="A183" s="145" t="s">
        <v>140</v>
      </c>
      <c r="B183" s="29" t="s">
        <v>458</v>
      </c>
      <c r="C183" s="30" t="s">
        <v>141</v>
      </c>
      <c r="D183" s="151">
        <f>9509015+1498574+12950+44300</f>
        <v>11064839</v>
      </c>
      <c r="E183" s="146"/>
    </row>
    <row r="184" spans="1:5" ht="20.25" customHeight="1" hidden="1">
      <c r="A184" s="84" t="s">
        <v>84</v>
      </c>
      <c r="B184" s="29" t="s">
        <v>458</v>
      </c>
      <c r="C184" s="30" t="s">
        <v>85</v>
      </c>
      <c r="D184" s="151"/>
      <c r="E184" s="146"/>
    </row>
    <row r="185" spans="1:5" ht="29.25" customHeight="1">
      <c r="A185" s="168" t="s">
        <v>574</v>
      </c>
      <c r="B185" s="29" t="s">
        <v>575</v>
      </c>
      <c r="C185" s="30"/>
      <c r="D185" s="143">
        <f>D186+D188</f>
        <v>1175525</v>
      </c>
      <c r="E185" s="146"/>
    </row>
    <row r="186" spans="1:5" ht="57" customHeight="1">
      <c r="A186" s="169" t="s">
        <v>576</v>
      </c>
      <c r="B186" s="29" t="s">
        <v>577</v>
      </c>
      <c r="C186" s="30"/>
      <c r="D186" s="143">
        <f>D187</f>
        <v>397010</v>
      </c>
      <c r="E186" s="146"/>
    </row>
    <row r="187" spans="1:5" ht="19.5" customHeight="1">
      <c r="A187" s="158" t="s">
        <v>211</v>
      </c>
      <c r="B187" s="29" t="s">
        <v>577</v>
      </c>
      <c r="C187" s="30" t="s">
        <v>212</v>
      </c>
      <c r="D187" s="224">
        <v>397010</v>
      </c>
      <c r="E187" s="146"/>
    </row>
    <row r="188" spans="1:5" ht="44.25" customHeight="1">
      <c r="A188" s="10" t="s">
        <v>760</v>
      </c>
      <c r="B188" s="29" t="s">
        <v>766</v>
      </c>
      <c r="C188" s="30"/>
      <c r="D188" s="31">
        <v>778515</v>
      </c>
      <c r="E188" s="146"/>
    </row>
    <row r="189" spans="1:5" ht="36.75" customHeight="1">
      <c r="A189" s="10" t="s">
        <v>140</v>
      </c>
      <c r="B189" s="29" t="s">
        <v>766</v>
      </c>
      <c r="C189" s="30" t="s">
        <v>141</v>
      </c>
      <c r="D189" s="31">
        <v>778515</v>
      </c>
      <c r="E189" s="146"/>
    </row>
    <row r="190" spans="1:5" ht="34.5" customHeight="1">
      <c r="A190" s="84" t="s">
        <v>459</v>
      </c>
      <c r="B190" s="29" t="s">
        <v>460</v>
      </c>
      <c r="C190" s="30"/>
      <c r="D190" s="151">
        <f>D191</f>
        <v>11443650</v>
      </c>
      <c r="E190" s="146"/>
    </row>
    <row r="191" spans="1:5" ht="18" customHeight="1">
      <c r="A191" s="84" t="s">
        <v>201</v>
      </c>
      <c r="B191" s="29" t="s">
        <v>461</v>
      </c>
      <c r="C191" s="30"/>
      <c r="D191" s="151">
        <f>D192</f>
        <v>11443650</v>
      </c>
      <c r="E191" s="146"/>
    </row>
    <row r="192" spans="1:5" ht="35.25" customHeight="1">
      <c r="A192" s="145" t="s">
        <v>140</v>
      </c>
      <c r="B192" s="29" t="s">
        <v>461</v>
      </c>
      <c r="C192" s="30" t="s">
        <v>141</v>
      </c>
      <c r="D192" s="151">
        <f>9783224+1660426</f>
        <v>11443650</v>
      </c>
      <c r="E192" s="146"/>
    </row>
    <row r="193" spans="1:5" s="42" customFormat="1" ht="43.5" customHeight="1">
      <c r="A193" s="170" t="s">
        <v>494</v>
      </c>
      <c r="B193" s="29" t="s">
        <v>495</v>
      </c>
      <c r="C193" s="30"/>
      <c r="D193" s="143">
        <f>D194+D199</f>
        <v>10081025</v>
      </c>
      <c r="E193" s="164"/>
    </row>
    <row r="194" spans="1:5" ht="32.25" customHeight="1">
      <c r="A194" s="84" t="s">
        <v>496</v>
      </c>
      <c r="B194" s="29" t="s">
        <v>497</v>
      </c>
      <c r="C194" s="30"/>
      <c r="D194" s="143">
        <f>D195</f>
        <v>9791150</v>
      </c>
      <c r="E194" s="146"/>
    </row>
    <row r="195" spans="1:5" ht="18.75" customHeight="1">
      <c r="A195" s="84" t="s">
        <v>201</v>
      </c>
      <c r="B195" s="29" t="s">
        <v>498</v>
      </c>
      <c r="C195" s="30"/>
      <c r="D195" s="143">
        <f>D196+D197+D198</f>
        <v>9791150</v>
      </c>
      <c r="E195" s="146"/>
    </row>
    <row r="196" spans="1:5" ht="42" customHeight="1">
      <c r="A196" s="148" t="s">
        <v>26</v>
      </c>
      <c r="B196" s="29" t="s">
        <v>498</v>
      </c>
      <c r="C196" s="30" t="s">
        <v>27</v>
      </c>
      <c r="D196" s="151">
        <v>8473000</v>
      </c>
      <c r="E196" s="146"/>
    </row>
    <row r="197" spans="1:5" ht="27.75" customHeight="1">
      <c r="A197" s="148" t="s">
        <v>38</v>
      </c>
      <c r="B197" s="29" t="s">
        <v>498</v>
      </c>
      <c r="C197" s="30" t="s">
        <v>39</v>
      </c>
      <c r="D197" s="151">
        <f>1155422+49800+88200</f>
        <v>1293422</v>
      </c>
      <c r="E197" s="146"/>
    </row>
    <row r="198" spans="1:5" ht="16.5" customHeight="1">
      <c r="A198" s="84" t="s">
        <v>84</v>
      </c>
      <c r="B198" s="29" t="s">
        <v>498</v>
      </c>
      <c r="C198" s="30" t="s">
        <v>85</v>
      </c>
      <c r="D198" s="151">
        <v>24728</v>
      </c>
      <c r="E198" s="146"/>
    </row>
    <row r="199" spans="1:5" ht="27.75" customHeight="1">
      <c r="A199" s="84" t="s">
        <v>499</v>
      </c>
      <c r="B199" s="29" t="s">
        <v>500</v>
      </c>
      <c r="C199" s="30"/>
      <c r="D199" s="143">
        <f>D200</f>
        <v>289875</v>
      </c>
      <c r="E199" s="146"/>
    </row>
    <row r="200" spans="1:5" ht="28.5" customHeight="1">
      <c r="A200" s="171" t="s">
        <v>501</v>
      </c>
      <c r="B200" s="29" t="s">
        <v>502</v>
      </c>
      <c r="C200" s="30"/>
      <c r="D200" s="143">
        <f>D201</f>
        <v>289875</v>
      </c>
      <c r="E200" s="146"/>
    </row>
    <row r="201" spans="1:5" ht="39" customHeight="1">
      <c r="A201" s="148" t="s">
        <v>26</v>
      </c>
      <c r="B201" s="29" t="s">
        <v>502</v>
      </c>
      <c r="C201" s="30" t="s">
        <v>27</v>
      </c>
      <c r="D201" s="151">
        <v>289875</v>
      </c>
      <c r="E201" s="146"/>
    </row>
    <row r="202" spans="1:5" ht="39" customHeight="1" hidden="1">
      <c r="A202" s="15" t="s">
        <v>752</v>
      </c>
      <c r="B202" s="29" t="s">
        <v>751</v>
      </c>
      <c r="C202" s="30"/>
      <c r="D202" s="31">
        <f>D203</f>
        <v>0</v>
      </c>
      <c r="E202" s="146"/>
    </row>
    <row r="203" spans="1:5" ht="39" customHeight="1" hidden="1">
      <c r="A203" s="10" t="s">
        <v>753</v>
      </c>
      <c r="B203" s="29" t="s">
        <v>754</v>
      </c>
      <c r="C203" s="30"/>
      <c r="D203" s="31">
        <f>D204</f>
        <v>0</v>
      </c>
      <c r="E203" s="146"/>
    </row>
    <row r="204" spans="1:5" ht="18.75" customHeight="1" hidden="1">
      <c r="A204" s="10" t="s">
        <v>201</v>
      </c>
      <c r="B204" s="29" t="s">
        <v>755</v>
      </c>
      <c r="C204" s="30"/>
      <c r="D204" s="31">
        <f>D205</f>
        <v>0</v>
      </c>
      <c r="E204" s="146"/>
    </row>
    <row r="205" spans="1:5" ht="24" customHeight="1" hidden="1">
      <c r="A205" s="14" t="s">
        <v>271</v>
      </c>
      <c r="B205" s="29" t="s">
        <v>755</v>
      </c>
      <c r="C205" s="30" t="s">
        <v>272</v>
      </c>
      <c r="D205" s="31"/>
      <c r="E205" s="146"/>
    </row>
    <row r="206" spans="1:5" ht="43.5" customHeight="1">
      <c r="A206" s="170" t="s">
        <v>284</v>
      </c>
      <c r="B206" s="29" t="s">
        <v>285</v>
      </c>
      <c r="C206" s="30"/>
      <c r="D206" s="143">
        <f>D207</f>
        <v>1000000</v>
      </c>
      <c r="E206" s="146"/>
    </row>
    <row r="207" spans="1:5" s="42" customFormat="1" ht="54" customHeight="1">
      <c r="A207" s="172" t="s">
        <v>286</v>
      </c>
      <c r="B207" s="29" t="s">
        <v>287</v>
      </c>
      <c r="C207" s="30"/>
      <c r="D207" s="143">
        <f>D208</f>
        <v>1000000</v>
      </c>
      <c r="E207" s="164"/>
    </row>
    <row r="208" spans="1:5" s="42" customFormat="1" ht="37.5" customHeight="1">
      <c r="A208" s="84" t="s">
        <v>288</v>
      </c>
      <c r="B208" s="29" t="s">
        <v>289</v>
      </c>
      <c r="C208" s="30"/>
      <c r="D208" s="151">
        <f>D209+D211</f>
        <v>1000000</v>
      </c>
      <c r="E208" s="164"/>
    </row>
    <row r="209" spans="1:5" ht="15" hidden="1">
      <c r="A209" s="154" t="s">
        <v>290</v>
      </c>
      <c r="B209" s="29" t="s">
        <v>291</v>
      </c>
      <c r="C209" s="30"/>
      <c r="D209" s="151">
        <f>D210</f>
        <v>0</v>
      </c>
      <c r="E209" s="146"/>
    </row>
    <row r="210" spans="1:5" ht="26.25" hidden="1">
      <c r="A210" s="148" t="s">
        <v>38</v>
      </c>
      <c r="B210" s="29" t="s">
        <v>291</v>
      </c>
      <c r="C210" s="30" t="s">
        <v>39</v>
      </c>
      <c r="D210" s="151"/>
      <c r="E210" s="146"/>
    </row>
    <row r="211" spans="1:5" ht="18.75" customHeight="1">
      <c r="A211" s="154" t="s">
        <v>292</v>
      </c>
      <c r="B211" s="29" t="s">
        <v>293</v>
      </c>
      <c r="C211" s="30"/>
      <c r="D211" s="151">
        <f>D212</f>
        <v>1000000</v>
      </c>
      <c r="E211" s="146"/>
    </row>
    <row r="212" spans="1:5" ht="24" customHeight="1">
      <c r="A212" s="148" t="s">
        <v>38</v>
      </c>
      <c r="B212" s="29" t="s">
        <v>293</v>
      </c>
      <c r="C212" s="30" t="s">
        <v>39</v>
      </c>
      <c r="D212" s="151">
        <f>100000+400000+500000</f>
        <v>1000000</v>
      </c>
      <c r="E212" s="146"/>
    </row>
    <row r="213" spans="1:5" ht="39" hidden="1">
      <c r="A213" s="173" t="s">
        <v>379</v>
      </c>
      <c r="B213" s="50" t="s">
        <v>295</v>
      </c>
      <c r="C213" s="30"/>
      <c r="D213" s="151">
        <f>D214</f>
        <v>0</v>
      </c>
      <c r="E213" s="146"/>
    </row>
    <row r="214" spans="1:5" s="42" customFormat="1" ht="51.75" hidden="1">
      <c r="A214" s="174" t="s">
        <v>380</v>
      </c>
      <c r="B214" s="50" t="s">
        <v>381</v>
      </c>
      <c r="C214" s="30"/>
      <c r="D214" s="151">
        <f>D215</f>
        <v>0</v>
      </c>
      <c r="E214" s="164"/>
    </row>
    <row r="215" spans="1:5" s="42" customFormat="1" ht="15" hidden="1">
      <c r="A215" s="84" t="s">
        <v>382</v>
      </c>
      <c r="B215" s="47" t="s">
        <v>299</v>
      </c>
      <c r="C215" s="30"/>
      <c r="D215" s="151">
        <f>D216</f>
        <v>0</v>
      </c>
      <c r="E215" s="164"/>
    </row>
    <row r="216" spans="1:5" ht="15" hidden="1">
      <c r="A216" s="175" t="s">
        <v>300</v>
      </c>
      <c r="B216" s="47" t="s">
        <v>301</v>
      </c>
      <c r="C216" s="30"/>
      <c r="D216" s="151">
        <f>D217</f>
        <v>0</v>
      </c>
      <c r="E216" s="146"/>
    </row>
    <row r="217" spans="1:5" ht="26.25" hidden="1">
      <c r="A217" s="148" t="s">
        <v>38</v>
      </c>
      <c r="B217" s="47" t="s">
        <v>301</v>
      </c>
      <c r="C217" s="30" t="s">
        <v>39</v>
      </c>
      <c r="D217" s="151"/>
      <c r="E217" s="146"/>
    </row>
    <row r="218" spans="1:5" ht="39">
      <c r="A218" s="141" t="s">
        <v>341</v>
      </c>
      <c r="B218" s="47" t="s">
        <v>342</v>
      </c>
      <c r="C218" s="37"/>
      <c r="D218" s="143">
        <f>D219</f>
        <v>2700000</v>
      </c>
      <c r="E218" s="146"/>
    </row>
    <row r="219" spans="1:5" s="42" customFormat="1" ht="51.75">
      <c r="A219" s="141" t="s">
        <v>343</v>
      </c>
      <c r="B219" s="50" t="s">
        <v>344</v>
      </c>
      <c r="C219" s="37"/>
      <c r="D219" s="143">
        <f>D220+D230</f>
        <v>2700000</v>
      </c>
      <c r="E219" s="164"/>
    </row>
    <row r="220" spans="1:5" ht="25.5" hidden="1">
      <c r="A220" s="84" t="s">
        <v>345</v>
      </c>
      <c r="B220" s="50" t="s">
        <v>674</v>
      </c>
      <c r="C220" s="37"/>
      <c r="D220" s="143">
        <f>D221+D224+D227</f>
        <v>0</v>
      </c>
      <c r="E220" s="146"/>
    </row>
    <row r="221" spans="1:5" ht="38.25" hidden="1">
      <c r="A221" s="176" t="s">
        <v>346</v>
      </c>
      <c r="B221" s="50" t="s">
        <v>347</v>
      </c>
      <c r="C221" s="37"/>
      <c r="D221" s="143">
        <f>D222+D223</f>
        <v>0</v>
      </c>
      <c r="E221" s="146"/>
    </row>
    <row r="222" spans="1:5" ht="26.25" hidden="1">
      <c r="A222" s="169" t="s">
        <v>271</v>
      </c>
      <c r="B222" s="50" t="s">
        <v>347</v>
      </c>
      <c r="C222" s="37" t="s">
        <v>272</v>
      </c>
      <c r="D222" s="143"/>
      <c r="E222" s="146"/>
    </row>
    <row r="223" spans="1:5" ht="15" hidden="1">
      <c r="A223" s="169" t="s">
        <v>1</v>
      </c>
      <c r="B223" s="50" t="s">
        <v>347</v>
      </c>
      <c r="C223" s="37" t="s">
        <v>194</v>
      </c>
      <c r="D223" s="143"/>
      <c r="E223" s="146"/>
    </row>
    <row r="224" spans="1:5" ht="38.25" hidden="1">
      <c r="A224" s="176" t="s">
        <v>348</v>
      </c>
      <c r="B224" s="50" t="s">
        <v>349</v>
      </c>
      <c r="C224" s="37"/>
      <c r="D224" s="143">
        <f>D225+D226</f>
        <v>0</v>
      </c>
      <c r="E224" s="146"/>
    </row>
    <row r="225" spans="1:5" ht="26.25" hidden="1">
      <c r="A225" s="169" t="s">
        <v>271</v>
      </c>
      <c r="B225" s="50" t="s">
        <v>349</v>
      </c>
      <c r="C225" s="37" t="s">
        <v>272</v>
      </c>
      <c r="D225" s="151"/>
      <c r="E225" s="146"/>
    </row>
    <row r="226" spans="1:5" ht="15" hidden="1">
      <c r="A226" s="169" t="s">
        <v>1</v>
      </c>
      <c r="B226" s="50" t="s">
        <v>349</v>
      </c>
      <c r="C226" s="37" t="s">
        <v>194</v>
      </c>
      <c r="D226" s="151"/>
      <c r="E226" s="146"/>
    </row>
    <row r="227" spans="1:5" ht="25.5" hidden="1">
      <c r="A227" s="176" t="s">
        <v>350</v>
      </c>
      <c r="B227" s="50" t="s">
        <v>351</v>
      </c>
      <c r="C227" s="37"/>
      <c r="D227" s="151">
        <f>D228+D229</f>
        <v>0</v>
      </c>
      <c r="E227" s="146"/>
    </row>
    <row r="228" spans="1:5" ht="26.25" hidden="1">
      <c r="A228" s="169" t="s">
        <v>271</v>
      </c>
      <c r="B228" s="50" t="s">
        <v>351</v>
      </c>
      <c r="C228" s="37" t="s">
        <v>272</v>
      </c>
      <c r="D228" s="151"/>
      <c r="E228" s="146"/>
    </row>
    <row r="229" spans="1:5" ht="15" hidden="1">
      <c r="A229" s="169" t="s">
        <v>1</v>
      </c>
      <c r="B229" s="50" t="s">
        <v>351</v>
      </c>
      <c r="C229" s="37" t="s">
        <v>194</v>
      </c>
      <c r="D229" s="151"/>
      <c r="E229" s="146"/>
    </row>
    <row r="230" spans="1:5" ht="15">
      <c r="A230" s="84" t="s">
        <v>723</v>
      </c>
      <c r="B230" s="50" t="s">
        <v>365</v>
      </c>
      <c r="C230" s="37"/>
      <c r="D230" s="143">
        <f>D231</f>
        <v>2700000</v>
      </c>
      <c r="E230" s="146"/>
    </row>
    <row r="231" spans="1:5" ht="15">
      <c r="A231" s="145" t="s">
        <v>366</v>
      </c>
      <c r="B231" s="50" t="s">
        <v>724</v>
      </c>
      <c r="C231" s="37"/>
      <c r="D231" s="151">
        <f>D232</f>
        <v>2700000</v>
      </c>
      <c r="E231" s="146"/>
    </row>
    <row r="232" spans="1:5" ht="26.25">
      <c r="A232" s="148" t="s">
        <v>38</v>
      </c>
      <c r="B232" s="50" t="s">
        <v>724</v>
      </c>
      <c r="C232" s="37" t="s">
        <v>39</v>
      </c>
      <c r="D232" s="151">
        <f>900000+1800000</f>
        <v>2700000</v>
      </c>
      <c r="E232" s="146"/>
    </row>
    <row r="233" spans="1:7" ht="39">
      <c r="A233" s="173" t="s">
        <v>333</v>
      </c>
      <c r="B233" s="57" t="s">
        <v>303</v>
      </c>
      <c r="C233" s="30"/>
      <c r="D233" s="143">
        <f>D234</f>
        <v>7226500</v>
      </c>
      <c r="E233" s="146"/>
      <c r="F233" s="4"/>
      <c r="G233" s="21"/>
    </row>
    <row r="234" spans="1:5" s="42" customFormat="1" ht="50.25" customHeight="1">
      <c r="A234" s="160" t="s">
        <v>725</v>
      </c>
      <c r="B234" s="57" t="s">
        <v>305</v>
      </c>
      <c r="C234" s="30"/>
      <c r="D234" s="143">
        <f>D242+D249+D235+D256+D259</f>
        <v>7226500</v>
      </c>
      <c r="E234" s="164"/>
    </row>
    <row r="235" spans="1:5" s="42" customFormat="1" ht="25.5" hidden="1">
      <c r="A235" s="84" t="s">
        <v>424</v>
      </c>
      <c r="B235" s="50" t="s">
        <v>425</v>
      </c>
      <c r="C235" s="30"/>
      <c r="D235" s="151">
        <f>D236+D238+D240</f>
        <v>0</v>
      </c>
      <c r="E235" s="164"/>
    </row>
    <row r="236" spans="1:5" s="42" customFormat="1" ht="24" hidden="1">
      <c r="A236" s="175" t="s">
        <v>426</v>
      </c>
      <c r="B236" s="47" t="s">
        <v>427</v>
      </c>
      <c r="C236" s="30"/>
      <c r="D236" s="151">
        <f>D237</f>
        <v>0</v>
      </c>
      <c r="E236" s="164"/>
    </row>
    <row r="237" spans="1:5" s="42" customFormat="1" ht="26.25" hidden="1">
      <c r="A237" s="145" t="s">
        <v>271</v>
      </c>
      <c r="B237" s="47" t="s">
        <v>427</v>
      </c>
      <c r="C237" s="30" t="s">
        <v>272</v>
      </c>
      <c r="D237" s="151"/>
      <c r="E237" s="164"/>
    </row>
    <row r="238" spans="1:5" s="42" customFormat="1" ht="24" hidden="1">
      <c r="A238" s="175" t="s">
        <v>428</v>
      </c>
      <c r="B238" s="47" t="s">
        <v>429</v>
      </c>
      <c r="C238" s="30"/>
      <c r="D238" s="151">
        <f>D239</f>
        <v>0</v>
      </c>
      <c r="E238" s="164"/>
    </row>
    <row r="239" spans="1:5" s="42" customFormat="1" ht="26.25" hidden="1">
      <c r="A239" s="145" t="s">
        <v>271</v>
      </c>
      <c r="B239" s="47" t="s">
        <v>429</v>
      </c>
      <c r="C239" s="30" t="s">
        <v>272</v>
      </c>
      <c r="D239" s="151"/>
      <c r="E239" s="164"/>
    </row>
    <row r="240" spans="1:5" s="42" customFormat="1" ht="36" hidden="1">
      <c r="A240" s="175" t="s">
        <v>430</v>
      </c>
      <c r="B240" s="47" t="s">
        <v>431</v>
      </c>
      <c r="C240" s="30"/>
      <c r="D240" s="151">
        <f>D241</f>
        <v>0</v>
      </c>
      <c r="E240" s="164"/>
    </row>
    <row r="241" spans="1:5" s="42" customFormat="1" ht="26.25" hidden="1">
      <c r="A241" s="145" t="s">
        <v>271</v>
      </c>
      <c r="B241" s="47" t="s">
        <v>431</v>
      </c>
      <c r="C241" s="30" t="s">
        <v>272</v>
      </c>
      <c r="D241" s="151"/>
      <c r="E241" s="164"/>
    </row>
    <row r="242" spans="1:5" s="42" customFormat="1" ht="24">
      <c r="A242" s="177" t="s">
        <v>352</v>
      </c>
      <c r="B242" s="47" t="s">
        <v>353</v>
      </c>
      <c r="C242" s="37"/>
      <c r="D242" s="143">
        <f>D243+D247</f>
        <v>0</v>
      </c>
      <c r="E242" s="164"/>
    </row>
    <row r="243" spans="1:5" s="42" customFormat="1" ht="25.5">
      <c r="A243" s="84" t="s">
        <v>354</v>
      </c>
      <c r="B243" s="29" t="s">
        <v>355</v>
      </c>
      <c r="C243" s="37"/>
      <c r="D243" s="151">
        <f>D244+D246+D245</f>
        <v>0</v>
      </c>
      <c r="E243" s="164"/>
    </row>
    <row r="244" spans="1:5" s="42" customFormat="1" ht="24.75" customHeight="1">
      <c r="A244" s="148" t="s">
        <v>38</v>
      </c>
      <c r="B244" s="29" t="s">
        <v>355</v>
      </c>
      <c r="C244" s="37" t="s">
        <v>39</v>
      </c>
      <c r="D244" s="151">
        <f>447443-447443</f>
        <v>0</v>
      </c>
      <c r="E244" s="164"/>
    </row>
    <row r="245" spans="1:5" s="42" customFormat="1" ht="26.25" hidden="1">
      <c r="A245" s="145" t="s">
        <v>271</v>
      </c>
      <c r="B245" s="29" t="s">
        <v>355</v>
      </c>
      <c r="C245" s="37" t="s">
        <v>272</v>
      </c>
      <c r="D245" s="151"/>
      <c r="E245" s="164"/>
    </row>
    <row r="246" spans="1:5" s="42" customFormat="1" ht="15" hidden="1">
      <c r="A246" s="148" t="s">
        <v>84</v>
      </c>
      <c r="B246" s="47" t="s">
        <v>355</v>
      </c>
      <c r="C246" s="37" t="s">
        <v>85</v>
      </c>
      <c r="D246" s="151"/>
      <c r="E246" s="164"/>
    </row>
    <row r="247" spans="1:5" s="42" customFormat="1" ht="38.25" hidden="1">
      <c r="A247" s="157" t="s">
        <v>356</v>
      </c>
      <c r="B247" s="47" t="s">
        <v>357</v>
      </c>
      <c r="C247" s="37"/>
      <c r="D247" s="151">
        <f>D248</f>
        <v>0</v>
      </c>
      <c r="E247" s="164"/>
    </row>
    <row r="248" spans="1:5" s="42" customFormat="1" ht="15" hidden="1">
      <c r="A248" s="148" t="s">
        <v>193</v>
      </c>
      <c r="B248" s="47" t="s">
        <v>357</v>
      </c>
      <c r="C248" s="37" t="s">
        <v>194</v>
      </c>
      <c r="D248" s="151">
        <f>400000-400000</f>
        <v>0</v>
      </c>
      <c r="E248" s="164"/>
    </row>
    <row r="249" spans="1:5" s="42" customFormat="1" ht="31.5" customHeight="1">
      <c r="A249" s="84" t="s">
        <v>306</v>
      </c>
      <c r="B249" s="47" t="s">
        <v>307</v>
      </c>
      <c r="C249" s="37"/>
      <c r="D249" s="143">
        <f>D250+D252+D254</f>
        <v>226500</v>
      </c>
      <c r="E249" s="164"/>
    </row>
    <row r="250" spans="1:5" s="42" customFormat="1" ht="45.75" customHeight="1">
      <c r="A250" s="84" t="s">
        <v>308</v>
      </c>
      <c r="B250" s="47" t="s">
        <v>309</v>
      </c>
      <c r="C250" s="37"/>
      <c r="D250" s="143">
        <f>D251</f>
        <v>158550</v>
      </c>
      <c r="E250" s="164"/>
    </row>
    <row r="251" spans="1:5" s="42" customFormat="1" ht="31.5" customHeight="1">
      <c r="A251" s="148" t="s">
        <v>38</v>
      </c>
      <c r="B251" s="47" t="s">
        <v>309</v>
      </c>
      <c r="C251" s="37" t="s">
        <v>39</v>
      </c>
      <c r="D251" s="151">
        <v>158550</v>
      </c>
      <c r="E251" s="164"/>
    </row>
    <row r="252" spans="1:5" s="42" customFormat="1" ht="30" customHeight="1">
      <c r="A252" s="84" t="s">
        <v>312</v>
      </c>
      <c r="B252" s="47" t="s">
        <v>313</v>
      </c>
      <c r="C252" s="37"/>
      <c r="D252" s="143">
        <f>D253</f>
        <v>67950</v>
      </c>
      <c r="E252" s="164"/>
    </row>
    <row r="253" spans="1:5" s="42" customFormat="1" ht="24" customHeight="1">
      <c r="A253" s="148" t="s">
        <v>38</v>
      </c>
      <c r="B253" s="47" t="s">
        <v>313</v>
      </c>
      <c r="C253" s="37" t="s">
        <v>39</v>
      </c>
      <c r="D253" s="151">
        <v>67950</v>
      </c>
      <c r="E253" s="164"/>
    </row>
    <row r="254" spans="1:5" s="42" customFormat="1" ht="26.25" hidden="1">
      <c r="A254" s="148" t="s">
        <v>310</v>
      </c>
      <c r="B254" s="47" t="s">
        <v>311</v>
      </c>
      <c r="C254" s="37"/>
      <c r="D254" s="151">
        <f>D255</f>
        <v>0</v>
      </c>
      <c r="E254" s="164"/>
    </row>
    <row r="255" spans="1:5" s="42" customFormat="1" ht="26.25" hidden="1">
      <c r="A255" s="148" t="s">
        <v>38</v>
      </c>
      <c r="B255" s="47" t="s">
        <v>311</v>
      </c>
      <c r="C255" s="37" t="s">
        <v>39</v>
      </c>
      <c r="D255" s="151"/>
      <c r="E255" s="164"/>
    </row>
    <row r="256" spans="1:5" s="42" customFormat="1" ht="26.25">
      <c r="A256" s="148" t="s">
        <v>358</v>
      </c>
      <c r="B256" s="47" t="s">
        <v>359</v>
      </c>
      <c r="C256" s="37"/>
      <c r="D256" s="151">
        <f>D257</f>
        <v>7000000</v>
      </c>
      <c r="E256" s="164"/>
    </row>
    <row r="257" spans="1:5" s="42" customFormat="1" ht="15">
      <c r="A257" s="148" t="s">
        <v>360</v>
      </c>
      <c r="B257" s="47" t="s">
        <v>361</v>
      </c>
      <c r="C257" s="37"/>
      <c r="D257" s="151">
        <f>D258</f>
        <v>7000000</v>
      </c>
      <c r="E257" s="164"/>
    </row>
    <row r="258" spans="1:5" s="42" customFormat="1" ht="14.25" customHeight="1">
      <c r="A258" s="148" t="s">
        <v>84</v>
      </c>
      <c r="B258" s="47" t="s">
        <v>361</v>
      </c>
      <c r="C258" s="37" t="s">
        <v>85</v>
      </c>
      <c r="D258" s="151">
        <f>300000+2700000+4000000</f>
        <v>7000000</v>
      </c>
      <c r="E258" s="164"/>
    </row>
    <row r="259" spans="1:5" s="42" customFormat="1" ht="26.25" hidden="1">
      <c r="A259" s="148" t="s">
        <v>336</v>
      </c>
      <c r="B259" s="50" t="s">
        <v>337</v>
      </c>
      <c r="C259" s="37"/>
      <c r="D259" s="151">
        <f>D260</f>
        <v>0</v>
      </c>
      <c r="E259" s="164"/>
    </row>
    <row r="260" spans="1:5" s="42" customFormat="1" ht="15" hidden="1">
      <c r="A260" s="148" t="s">
        <v>290</v>
      </c>
      <c r="B260" s="50" t="s">
        <v>338</v>
      </c>
      <c r="C260" s="37"/>
      <c r="D260" s="151">
        <f>D261</f>
        <v>0</v>
      </c>
      <c r="E260" s="164"/>
    </row>
    <row r="261" spans="1:5" s="42" customFormat="1" ht="26.25" hidden="1">
      <c r="A261" s="145" t="s">
        <v>271</v>
      </c>
      <c r="B261" s="50" t="s">
        <v>338</v>
      </c>
      <c r="C261" s="37" t="s">
        <v>272</v>
      </c>
      <c r="D261" s="151"/>
      <c r="E261" s="164"/>
    </row>
    <row r="262" spans="1:5" ht="45" customHeight="1">
      <c r="A262" s="84" t="s">
        <v>463</v>
      </c>
      <c r="B262" s="50" t="s">
        <v>464</v>
      </c>
      <c r="C262" s="30"/>
      <c r="D262" s="143">
        <f>D263+D268+D278</f>
        <v>11757416</v>
      </c>
      <c r="E262" s="146"/>
    </row>
    <row r="263" spans="1:5" s="42" customFormat="1" ht="63" customHeight="1">
      <c r="A263" s="84" t="s">
        <v>465</v>
      </c>
      <c r="B263" s="50" t="s">
        <v>466</v>
      </c>
      <c r="C263" s="56"/>
      <c r="D263" s="143">
        <f>D264</f>
        <v>100000</v>
      </c>
      <c r="E263" s="164"/>
    </row>
    <row r="264" spans="1:5" ht="45" customHeight="1">
      <c r="A264" s="84" t="s">
        <v>467</v>
      </c>
      <c r="B264" s="50" t="s">
        <v>468</v>
      </c>
      <c r="C264" s="56"/>
      <c r="D264" s="143">
        <f>D265</f>
        <v>100000</v>
      </c>
      <c r="E264" s="146"/>
    </row>
    <row r="265" spans="1:5" ht="15.75" customHeight="1">
      <c r="A265" s="84" t="s">
        <v>469</v>
      </c>
      <c r="B265" s="50" t="s">
        <v>470</v>
      </c>
      <c r="C265" s="56"/>
      <c r="D265" s="143">
        <f>D266+D267</f>
        <v>100000</v>
      </c>
      <c r="E265" s="146"/>
    </row>
    <row r="266" spans="1:5" s="42" customFormat="1" ht="25.5" customHeight="1">
      <c r="A266" s="148" t="s">
        <v>38</v>
      </c>
      <c r="B266" s="50" t="s">
        <v>470</v>
      </c>
      <c r="C266" s="56" t="s">
        <v>39</v>
      </c>
      <c r="D266" s="151">
        <v>100000</v>
      </c>
      <c r="E266" s="164"/>
    </row>
    <row r="267" spans="1:5" s="42" customFormat="1" ht="15" hidden="1">
      <c r="A267" s="145" t="s">
        <v>211</v>
      </c>
      <c r="B267" s="50" t="s">
        <v>470</v>
      </c>
      <c r="C267" s="56" t="s">
        <v>212</v>
      </c>
      <c r="D267" s="151"/>
      <c r="E267" s="164"/>
    </row>
    <row r="268" spans="1:5" s="42" customFormat="1" ht="68.25" customHeight="1">
      <c r="A268" s="160" t="s">
        <v>602</v>
      </c>
      <c r="B268" s="50" t="s">
        <v>603</v>
      </c>
      <c r="C268" s="30"/>
      <c r="D268" s="143">
        <f>D269+D273</f>
        <v>8001440</v>
      </c>
      <c r="E268" s="164"/>
    </row>
    <row r="269" spans="1:5" s="42" customFormat="1" ht="44.25" customHeight="1">
      <c r="A269" s="160" t="s">
        <v>604</v>
      </c>
      <c r="B269" s="50" t="s">
        <v>605</v>
      </c>
      <c r="C269" s="30"/>
      <c r="D269" s="143">
        <f>D270</f>
        <v>100000</v>
      </c>
      <c r="E269" s="164"/>
    </row>
    <row r="270" spans="1:5" ht="39">
      <c r="A270" s="145" t="s">
        <v>606</v>
      </c>
      <c r="B270" s="50" t="s">
        <v>607</v>
      </c>
      <c r="C270" s="30"/>
      <c r="D270" s="143">
        <f>D272+D271</f>
        <v>100000</v>
      </c>
      <c r="E270" s="146"/>
    </row>
    <row r="271" spans="1:5" ht="0.75" customHeight="1" hidden="1">
      <c r="A271" s="148" t="s">
        <v>26</v>
      </c>
      <c r="B271" s="50" t="s">
        <v>607</v>
      </c>
      <c r="C271" s="30" t="s">
        <v>27</v>
      </c>
      <c r="D271" s="143">
        <f>3195-3195</f>
        <v>0</v>
      </c>
      <c r="E271" s="146"/>
    </row>
    <row r="272" spans="1:5" s="42" customFormat="1" ht="25.5" customHeight="1">
      <c r="A272" s="148" t="s">
        <v>38</v>
      </c>
      <c r="B272" s="50" t="s">
        <v>607</v>
      </c>
      <c r="C272" s="30" t="s">
        <v>39</v>
      </c>
      <c r="D272" s="143">
        <v>100000</v>
      </c>
      <c r="E272" s="164"/>
    </row>
    <row r="273" spans="1:5" s="42" customFormat="1" ht="25.5">
      <c r="A273" s="178" t="s">
        <v>608</v>
      </c>
      <c r="B273" s="50" t="s">
        <v>609</v>
      </c>
      <c r="C273" s="30"/>
      <c r="D273" s="143">
        <f>D274</f>
        <v>7901440</v>
      </c>
      <c r="E273" s="164"/>
    </row>
    <row r="274" spans="1:5" s="42" customFormat="1" ht="25.5">
      <c r="A274" s="84" t="s">
        <v>201</v>
      </c>
      <c r="B274" s="50" t="s">
        <v>610</v>
      </c>
      <c r="C274" s="30"/>
      <c r="D274" s="143">
        <f>D275+D276+D277</f>
        <v>7901440</v>
      </c>
      <c r="E274" s="164"/>
    </row>
    <row r="275" spans="1:5" ht="39">
      <c r="A275" s="148" t="s">
        <v>26</v>
      </c>
      <c r="B275" s="50" t="s">
        <v>610</v>
      </c>
      <c r="C275" s="30" t="s">
        <v>27</v>
      </c>
      <c r="D275" s="151">
        <f>6275000+541000</f>
        <v>6816000</v>
      </c>
      <c r="E275" s="146"/>
    </row>
    <row r="276" spans="1:5" ht="26.25">
      <c r="A276" s="148" t="s">
        <v>38</v>
      </c>
      <c r="B276" s="50" t="s">
        <v>610</v>
      </c>
      <c r="C276" s="30" t="s">
        <v>39</v>
      </c>
      <c r="D276" s="151">
        <f>942700+21000</f>
        <v>963700</v>
      </c>
      <c r="E276" s="146"/>
    </row>
    <row r="277" spans="1:5" ht="13.5" customHeight="1">
      <c r="A277" s="84" t="s">
        <v>84</v>
      </c>
      <c r="B277" s="50" t="s">
        <v>610</v>
      </c>
      <c r="C277" s="30" t="s">
        <v>85</v>
      </c>
      <c r="D277" s="151">
        <v>121740</v>
      </c>
      <c r="E277" s="146"/>
    </row>
    <row r="278" spans="1:5" s="42" customFormat="1" ht="58.5" customHeight="1">
      <c r="A278" s="160" t="s">
        <v>471</v>
      </c>
      <c r="B278" s="50" t="s">
        <v>472</v>
      </c>
      <c r="C278" s="56"/>
      <c r="D278" s="143">
        <f>D279+D289+D286</f>
        <v>3655976</v>
      </c>
      <c r="E278" s="164"/>
    </row>
    <row r="279" spans="1:5" ht="25.5">
      <c r="A279" s="84" t="s">
        <v>473</v>
      </c>
      <c r="B279" s="50" t="s">
        <v>474</v>
      </c>
      <c r="C279" s="56"/>
      <c r="D279" s="143">
        <f>D280+D283</f>
        <v>2926500</v>
      </c>
      <c r="E279" s="146"/>
    </row>
    <row r="280" spans="1:5" ht="15">
      <c r="A280" s="145" t="s">
        <v>475</v>
      </c>
      <c r="B280" s="50" t="s">
        <v>476</v>
      </c>
      <c r="C280" s="30"/>
      <c r="D280" s="143">
        <f>D281+D282</f>
        <v>1141335</v>
      </c>
      <c r="E280" s="146"/>
    </row>
    <row r="281" spans="1:5" ht="26.25">
      <c r="A281" s="148" t="s">
        <v>38</v>
      </c>
      <c r="B281" s="50" t="s">
        <v>476</v>
      </c>
      <c r="C281" s="56" t="s">
        <v>39</v>
      </c>
      <c r="D281" s="151">
        <f>458835-458835</f>
        <v>0</v>
      </c>
      <c r="E281" s="146"/>
    </row>
    <row r="282" spans="1:5" ht="15">
      <c r="A282" s="145" t="s">
        <v>211</v>
      </c>
      <c r="B282" s="50" t="s">
        <v>476</v>
      </c>
      <c r="C282" s="56" t="s">
        <v>212</v>
      </c>
      <c r="D282" s="151">
        <f>682500+458835</f>
        <v>1141335</v>
      </c>
      <c r="E282" s="146"/>
    </row>
    <row r="283" spans="1:5" ht="18.75" customHeight="1">
      <c r="A283" s="156" t="s">
        <v>477</v>
      </c>
      <c r="B283" s="50" t="s">
        <v>478</v>
      </c>
      <c r="C283" s="30"/>
      <c r="D283" s="143">
        <f>D285+D284</f>
        <v>1785165</v>
      </c>
      <c r="E283" s="146"/>
    </row>
    <row r="284" spans="1:5" ht="29.25" customHeight="1">
      <c r="A284" s="148" t="s">
        <v>38</v>
      </c>
      <c r="B284" s="50" t="s">
        <v>478</v>
      </c>
      <c r="C284" s="56" t="s">
        <v>39</v>
      </c>
      <c r="D284" s="151">
        <f>693165-693165</f>
        <v>0</v>
      </c>
      <c r="E284" s="146"/>
    </row>
    <row r="285" spans="1:5" ht="17.25" customHeight="1">
      <c r="A285" s="145" t="s">
        <v>211</v>
      </c>
      <c r="B285" s="50" t="s">
        <v>478</v>
      </c>
      <c r="C285" s="56" t="s">
        <v>212</v>
      </c>
      <c r="D285" s="151">
        <f>1092000+693165</f>
        <v>1785165</v>
      </c>
      <c r="E285" s="146"/>
    </row>
    <row r="286" spans="1:5" ht="15" hidden="1">
      <c r="A286" s="84" t="s">
        <v>481</v>
      </c>
      <c r="B286" s="50" t="s">
        <v>482</v>
      </c>
      <c r="C286" s="56"/>
      <c r="D286" s="143">
        <f>D287</f>
        <v>0</v>
      </c>
      <c r="E286" s="146"/>
    </row>
    <row r="287" spans="1:5" ht="15" hidden="1">
      <c r="A287" s="148" t="s">
        <v>479</v>
      </c>
      <c r="B287" s="50" t="s">
        <v>483</v>
      </c>
      <c r="C287" s="56"/>
      <c r="D287" s="143">
        <f>D288</f>
        <v>0</v>
      </c>
      <c r="E287" s="146"/>
    </row>
    <row r="288" spans="1:5" ht="26.25" hidden="1">
      <c r="A288" s="148" t="s">
        <v>38</v>
      </c>
      <c r="B288" s="50" t="s">
        <v>483</v>
      </c>
      <c r="C288" s="56" t="s">
        <v>39</v>
      </c>
      <c r="D288" s="143"/>
      <c r="E288" s="146"/>
    </row>
    <row r="289" spans="1:5" ht="38.25" customHeight="1">
      <c r="A289" s="84" t="s">
        <v>484</v>
      </c>
      <c r="B289" s="50" t="s">
        <v>485</v>
      </c>
      <c r="C289" s="56"/>
      <c r="D289" s="143">
        <f>D290+D295</f>
        <v>729476</v>
      </c>
      <c r="E289" s="146"/>
    </row>
    <row r="290" spans="1:5" ht="23.25" customHeight="1">
      <c r="A290" s="154" t="s">
        <v>201</v>
      </c>
      <c r="B290" s="50" t="s">
        <v>490</v>
      </c>
      <c r="C290" s="56"/>
      <c r="D290" s="143">
        <f>D291+D292+D294+D293</f>
        <v>729476</v>
      </c>
      <c r="E290" s="146"/>
    </row>
    <row r="291" spans="1:5" ht="30.75" customHeight="1" hidden="1">
      <c r="A291" s="145" t="s">
        <v>491</v>
      </c>
      <c r="B291" s="50" t="s">
        <v>490</v>
      </c>
      <c r="C291" s="30" t="s">
        <v>27</v>
      </c>
      <c r="D291" s="151"/>
      <c r="E291" s="146"/>
    </row>
    <row r="292" spans="1:5" ht="27" customHeight="1" hidden="1">
      <c r="A292" s="148" t="s">
        <v>38</v>
      </c>
      <c r="B292" s="50" t="s">
        <v>490</v>
      </c>
      <c r="C292" s="56" t="s">
        <v>39</v>
      </c>
      <c r="D292" s="151"/>
      <c r="E292" s="146"/>
    </row>
    <row r="293" spans="1:5" ht="25.5" customHeight="1">
      <c r="A293" s="145" t="s">
        <v>140</v>
      </c>
      <c r="B293" s="50" t="s">
        <v>490</v>
      </c>
      <c r="C293" s="56" t="s">
        <v>141</v>
      </c>
      <c r="D293" s="151">
        <f>925276+6000-201800</f>
        <v>729476</v>
      </c>
      <c r="E293" s="146"/>
    </row>
    <row r="294" spans="1:5" ht="18.75" customHeight="1" hidden="1">
      <c r="A294" s="84" t="s">
        <v>84</v>
      </c>
      <c r="B294" s="50" t="s">
        <v>490</v>
      </c>
      <c r="C294" s="56" t="s">
        <v>85</v>
      </c>
      <c r="D294" s="151">
        <f>51113-113-51000</f>
        <v>0</v>
      </c>
      <c r="E294" s="146"/>
    </row>
    <row r="295" spans="1:5" ht="0.75" customHeight="1" hidden="1">
      <c r="A295" s="84" t="s">
        <v>236</v>
      </c>
      <c r="B295" s="50" t="s">
        <v>492</v>
      </c>
      <c r="C295" s="56"/>
      <c r="D295" s="151">
        <f>D296+D297</f>
        <v>0</v>
      </c>
      <c r="E295" s="146"/>
    </row>
    <row r="296" spans="1:5" ht="27.75" customHeight="1" hidden="1">
      <c r="A296" s="148" t="s">
        <v>38</v>
      </c>
      <c r="B296" s="50" t="s">
        <v>492</v>
      </c>
      <c r="C296" s="56" t="s">
        <v>39</v>
      </c>
      <c r="D296" s="151">
        <f>137740-137740</f>
        <v>0</v>
      </c>
      <c r="E296" s="146"/>
    </row>
    <row r="297" spans="1:5" ht="27.75" customHeight="1" hidden="1">
      <c r="A297" s="145" t="s">
        <v>140</v>
      </c>
      <c r="B297" s="50" t="s">
        <v>492</v>
      </c>
      <c r="C297" s="56" t="s">
        <v>141</v>
      </c>
      <c r="D297" s="151"/>
      <c r="E297" s="146"/>
    </row>
    <row r="298" spans="1:5" ht="37.5" customHeight="1">
      <c r="A298" s="170" t="s">
        <v>726</v>
      </c>
      <c r="B298" s="29" t="s">
        <v>147</v>
      </c>
      <c r="C298" s="37"/>
      <c r="D298" s="151">
        <f>D299</f>
        <v>515747.39</v>
      </c>
      <c r="E298" s="146"/>
    </row>
    <row r="299" spans="1:5" s="42" customFormat="1" ht="57.75" customHeight="1">
      <c r="A299" s="160" t="s">
        <v>148</v>
      </c>
      <c r="B299" s="29" t="s">
        <v>149</v>
      </c>
      <c r="C299" s="37"/>
      <c r="D299" s="151">
        <f>D300</f>
        <v>515747.39</v>
      </c>
      <c r="E299" s="164"/>
    </row>
    <row r="300" spans="1:5" s="42" customFormat="1" ht="27" customHeight="1">
      <c r="A300" s="160" t="s">
        <v>150</v>
      </c>
      <c r="B300" s="29" t="s">
        <v>151</v>
      </c>
      <c r="C300" s="37"/>
      <c r="D300" s="151">
        <f>D301</f>
        <v>515747.39</v>
      </c>
      <c r="E300" s="164"/>
    </row>
    <row r="301" spans="1:5" ht="16.5" customHeight="1">
      <c r="A301" s="160" t="s">
        <v>152</v>
      </c>
      <c r="B301" s="29" t="s">
        <v>153</v>
      </c>
      <c r="C301" s="37"/>
      <c r="D301" s="151">
        <f>D303+D302</f>
        <v>515747.39</v>
      </c>
      <c r="E301" s="146"/>
    </row>
    <row r="302" spans="1:5" ht="42" customHeight="1" hidden="1">
      <c r="A302" s="148" t="s">
        <v>26</v>
      </c>
      <c r="B302" s="29" t="s">
        <v>153</v>
      </c>
      <c r="C302" s="30" t="s">
        <v>27</v>
      </c>
      <c r="D302" s="151"/>
      <c r="E302" s="146"/>
    </row>
    <row r="303" spans="1:5" ht="27" customHeight="1">
      <c r="A303" s="148" t="s">
        <v>38</v>
      </c>
      <c r="B303" s="29" t="s">
        <v>153</v>
      </c>
      <c r="C303" s="30" t="s">
        <v>39</v>
      </c>
      <c r="D303" s="151">
        <f>426196.99+34887.5+54662.9</f>
        <v>515747.39</v>
      </c>
      <c r="E303" s="146"/>
    </row>
    <row r="304" spans="1:5" ht="33" customHeight="1">
      <c r="A304" s="141" t="s">
        <v>59</v>
      </c>
      <c r="B304" s="36" t="s">
        <v>60</v>
      </c>
      <c r="C304" s="30"/>
      <c r="D304" s="143">
        <f>D305</f>
        <v>478183.15</v>
      </c>
      <c r="E304" s="146"/>
    </row>
    <row r="305" spans="1:5" s="42" customFormat="1" ht="60" customHeight="1">
      <c r="A305" s="147" t="s">
        <v>61</v>
      </c>
      <c r="B305" s="36" t="s">
        <v>62</v>
      </c>
      <c r="C305" s="30"/>
      <c r="D305" s="143">
        <f>D306</f>
        <v>478183.15</v>
      </c>
      <c r="E305" s="164"/>
    </row>
    <row r="306" spans="1:5" s="42" customFormat="1" ht="29.25" customHeight="1">
      <c r="A306" s="84" t="s">
        <v>63</v>
      </c>
      <c r="B306" s="36" t="s">
        <v>64</v>
      </c>
      <c r="C306" s="30"/>
      <c r="D306" s="143">
        <f>D307+D310</f>
        <v>478183.15</v>
      </c>
      <c r="E306" s="164"/>
    </row>
    <row r="307" spans="1:5" ht="21" customHeight="1">
      <c r="A307" s="156" t="s">
        <v>65</v>
      </c>
      <c r="B307" s="36" t="s">
        <v>66</v>
      </c>
      <c r="C307" s="30"/>
      <c r="D307" s="143">
        <f>D308+D309</f>
        <v>322552</v>
      </c>
      <c r="E307" s="146"/>
    </row>
    <row r="308" spans="1:5" ht="42.75" customHeight="1">
      <c r="A308" s="148" t="s">
        <v>26</v>
      </c>
      <c r="B308" s="36" t="s">
        <v>66</v>
      </c>
      <c r="C308" s="37" t="s">
        <v>27</v>
      </c>
      <c r="D308" s="151">
        <v>312952</v>
      </c>
      <c r="E308" s="146"/>
    </row>
    <row r="309" spans="1:5" ht="25.5" customHeight="1">
      <c r="A309" s="148" t="s">
        <v>38</v>
      </c>
      <c r="B309" s="36" t="s">
        <v>66</v>
      </c>
      <c r="C309" s="37" t="s">
        <v>39</v>
      </c>
      <c r="D309" s="151">
        <v>9600</v>
      </c>
      <c r="E309" s="146"/>
    </row>
    <row r="310" spans="1:5" ht="26.25">
      <c r="A310" s="148" t="s">
        <v>155</v>
      </c>
      <c r="B310" s="36" t="s">
        <v>156</v>
      </c>
      <c r="C310" s="30"/>
      <c r="D310" s="151">
        <f>D311</f>
        <v>155631.15</v>
      </c>
      <c r="E310" s="146"/>
    </row>
    <row r="311" spans="1:5" ht="26.25">
      <c r="A311" s="148" t="s">
        <v>38</v>
      </c>
      <c r="B311" s="36" t="s">
        <v>156</v>
      </c>
      <c r="C311" s="37" t="s">
        <v>39</v>
      </c>
      <c r="D311" s="151">
        <v>155631.15</v>
      </c>
      <c r="E311" s="146"/>
    </row>
    <row r="312" spans="1:5" ht="44.25" customHeight="1">
      <c r="A312" s="179" t="s">
        <v>157</v>
      </c>
      <c r="B312" s="50" t="s">
        <v>158</v>
      </c>
      <c r="C312" s="30"/>
      <c r="D312" s="151">
        <f>D313+D343+D348</f>
        <v>19875677</v>
      </c>
      <c r="E312" s="146"/>
    </row>
    <row r="313" spans="1:5" s="42" customFormat="1" ht="51">
      <c r="A313" s="160" t="s">
        <v>249</v>
      </c>
      <c r="B313" s="50" t="s">
        <v>250</v>
      </c>
      <c r="C313" s="30"/>
      <c r="D313" s="151">
        <f>D314+D336</f>
        <v>16956717</v>
      </c>
      <c r="E313" s="164"/>
    </row>
    <row r="314" spans="1:4" s="42" customFormat="1" ht="25.5">
      <c r="A314" s="84" t="s">
        <v>251</v>
      </c>
      <c r="B314" s="50" t="s">
        <v>252</v>
      </c>
      <c r="C314" s="30"/>
      <c r="D314" s="151">
        <f>D317+D324+D333+D315+D331</f>
        <v>16646696.000000002</v>
      </c>
    </row>
    <row r="315" spans="1:4" ht="34.5" customHeight="1">
      <c r="A315" s="84" t="s">
        <v>273</v>
      </c>
      <c r="B315" s="50" t="s">
        <v>744</v>
      </c>
      <c r="C315" s="30"/>
      <c r="D315" s="151">
        <f>D316</f>
        <v>6761132</v>
      </c>
    </row>
    <row r="316" spans="1:4" ht="15">
      <c r="A316" s="148" t="s">
        <v>92</v>
      </c>
      <c r="B316" s="50" t="s">
        <v>744</v>
      </c>
      <c r="C316" s="30" t="s">
        <v>39</v>
      </c>
      <c r="D316" s="151">
        <f>557166+6203966</f>
        <v>6761132</v>
      </c>
    </row>
    <row r="317" spans="1:4" s="42" customFormat="1" ht="15">
      <c r="A317" s="148" t="s">
        <v>253</v>
      </c>
      <c r="B317" s="50" t="s">
        <v>254</v>
      </c>
      <c r="C317" s="30"/>
      <c r="D317" s="151">
        <f>D318+D320+D322</f>
        <v>1800000</v>
      </c>
    </row>
    <row r="318" spans="1:4" s="42" customFormat="1" ht="25.5">
      <c r="A318" s="180" t="s">
        <v>255</v>
      </c>
      <c r="B318" s="50" t="s">
        <v>256</v>
      </c>
      <c r="C318" s="30"/>
      <c r="D318" s="151">
        <f>D319</f>
        <v>1800000</v>
      </c>
    </row>
    <row r="319" spans="1:4" ht="15">
      <c r="A319" s="148" t="s">
        <v>92</v>
      </c>
      <c r="B319" s="50" t="s">
        <v>256</v>
      </c>
      <c r="C319" s="30" t="s">
        <v>39</v>
      </c>
      <c r="D319" s="151">
        <v>1800000</v>
      </c>
    </row>
    <row r="320" spans="1:4" ht="15" hidden="1">
      <c r="A320" s="180"/>
      <c r="B320" s="50" t="s">
        <v>257</v>
      </c>
      <c r="C320" s="30"/>
      <c r="D320" s="151">
        <f>D321</f>
        <v>0</v>
      </c>
    </row>
    <row r="321" spans="1:4" ht="15" hidden="1">
      <c r="A321" s="148" t="s">
        <v>92</v>
      </c>
      <c r="B321" s="50" t="s">
        <v>257</v>
      </c>
      <c r="C321" s="30" t="s">
        <v>39</v>
      </c>
      <c r="D321" s="151"/>
    </row>
    <row r="322" spans="1:4" ht="15" hidden="1">
      <c r="A322" s="180"/>
      <c r="B322" s="50" t="s">
        <v>258</v>
      </c>
      <c r="C322" s="30"/>
      <c r="D322" s="151">
        <f>D323</f>
        <v>0</v>
      </c>
    </row>
    <row r="323" spans="1:4" ht="15" hidden="1">
      <c r="A323" s="148" t="s">
        <v>92</v>
      </c>
      <c r="B323" s="50" t="s">
        <v>258</v>
      </c>
      <c r="C323" s="30" t="s">
        <v>39</v>
      </c>
      <c r="D323" s="151"/>
    </row>
    <row r="324" spans="1:4" ht="15">
      <c r="A324" s="148" t="s">
        <v>259</v>
      </c>
      <c r="B324" s="50" t="s">
        <v>260</v>
      </c>
      <c r="C324" s="30"/>
      <c r="D324" s="151">
        <f>D325+D327+D329</f>
        <v>5854698.98</v>
      </c>
    </row>
    <row r="325" spans="1:4" ht="25.5">
      <c r="A325" s="180" t="s">
        <v>255</v>
      </c>
      <c r="B325" s="50" t="s">
        <v>261</v>
      </c>
      <c r="C325" s="30"/>
      <c r="D325" s="151">
        <f>D326</f>
        <v>5854698.98</v>
      </c>
    </row>
    <row r="326" spans="1:4" ht="14.25" customHeight="1">
      <c r="A326" s="148" t="s">
        <v>92</v>
      </c>
      <c r="B326" s="50" t="s">
        <v>261</v>
      </c>
      <c r="C326" s="30" t="s">
        <v>39</v>
      </c>
      <c r="D326" s="151">
        <f>6079136.48-224437.5</f>
        <v>5854698.98</v>
      </c>
    </row>
    <row r="327" spans="1:4" ht="15" hidden="1">
      <c r="A327" s="180"/>
      <c r="B327" s="50" t="s">
        <v>262</v>
      </c>
      <c r="C327" s="30"/>
      <c r="D327" s="151">
        <f>D328</f>
        <v>0</v>
      </c>
    </row>
    <row r="328" spans="1:4" ht="15" hidden="1">
      <c r="A328" s="148" t="s">
        <v>92</v>
      </c>
      <c r="B328" s="50" t="s">
        <v>262</v>
      </c>
      <c r="C328" s="30" t="s">
        <v>39</v>
      </c>
      <c r="D328" s="181"/>
    </row>
    <row r="329" spans="1:4" ht="15" hidden="1">
      <c r="A329" s="180"/>
      <c r="B329" s="50" t="s">
        <v>263</v>
      </c>
      <c r="C329" s="30"/>
      <c r="D329" s="151">
        <f>D330</f>
        <v>0</v>
      </c>
    </row>
    <row r="330" spans="1:4" ht="15" hidden="1">
      <c r="A330" s="148" t="s">
        <v>92</v>
      </c>
      <c r="B330" s="50" t="s">
        <v>263</v>
      </c>
      <c r="C330" s="30" t="s">
        <v>39</v>
      </c>
      <c r="D330" s="151"/>
    </row>
    <row r="331" spans="1:4" ht="38.25">
      <c r="A331" s="10" t="s">
        <v>275</v>
      </c>
      <c r="B331" s="50" t="s">
        <v>266</v>
      </c>
      <c r="C331" s="30"/>
      <c r="D331" s="151">
        <f>D332</f>
        <v>137983.4</v>
      </c>
    </row>
    <row r="332" spans="1:4" ht="19.5" customHeight="1">
      <c r="A332" s="148" t="s">
        <v>92</v>
      </c>
      <c r="B332" s="50" t="s">
        <v>266</v>
      </c>
      <c r="C332" s="30" t="s">
        <v>39</v>
      </c>
      <c r="D332" s="151">
        <f>11371+126612.4</f>
        <v>137983.4</v>
      </c>
    </row>
    <row r="333" spans="1:4" ht="26.25">
      <c r="A333" s="148" t="s">
        <v>264</v>
      </c>
      <c r="B333" s="50" t="s">
        <v>265</v>
      </c>
      <c r="C333" s="30"/>
      <c r="D333" s="151">
        <f>D334+D335</f>
        <v>2092881.62</v>
      </c>
    </row>
    <row r="334" spans="1:4" ht="19.5" customHeight="1">
      <c r="A334" s="148" t="s">
        <v>92</v>
      </c>
      <c r="B334" s="50" t="s">
        <v>265</v>
      </c>
      <c r="C334" s="30" t="s">
        <v>39</v>
      </c>
      <c r="D334" s="151">
        <f>500000+1642325.52-191569.27+97825.1</f>
        <v>2048581.35</v>
      </c>
    </row>
    <row r="335" spans="1:4" ht="19.5" customHeight="1">
      <c r="A335" s="148" t="s">
        <v>84</v>
      </c>
      <c r="B335" s="50" t="s">
        <v>265</v>
      </c>
      <c r="C335" s="30" t="s">
        <v>85</v>
      </c>
      <c r="D335" s="151">
        <v>44300.27</v>
      </c>
    </row>
    <row r="336" spans="1:4" ht="25.5">
      <c r="A336" s="84" t="s">
        <v>267</v>
      </c>
      <c r="B336" s="50" t="s">
        <v>268</v>
      </c>
      <c r="C336" s="30"/>
      <c r="D336" s="151">
        <f>D342+D339+D337</f>
        <v>310021</v>
      </c>
    </row>
    <row r="337" spans="1:4" ht="34.5" customHeight="1" hidden="1">
      <c r="A337" s="84" t="s">
        <v>273</v>
      </c>
      <c r="B337" s="50" t="s">
        <v>274</v>
      </c>
      <c r="C337" s="30"/>
      <c r="D337" s="151">
        <f>D338</f>
        <v>0</v>
      </c>
    </row>
    <row r="338" spans="1:4" ht="26.25" hidden="1">
      <c r="A338" s="145" t="s">
        <v>271</v>
      </c>
      <c r="B338" s="50" t="s">
        <v>274</v>
      </c>
      <c r="C338" s="30" t="s">
        <v>272</v>
      </c>
      <c r="D338" s="151"/>
    </row>
    <row r="339" spans="1:4" ht="46.5" customHeight="1">
      <c r="A339" s="148" t="s">
        <v>275</v>
      </c>
      <c r="B339" s="50" t="s">
        <v>276</v>
      </c>
      <c r="C339" s="30"/>
      <c r="D339" s="151">
        <f>D340</f>
        <v>10021</v>
      </c>
    </row>
    <row r="340" spans="1:4" ht="26.25">
      <c r="A340" s="145" t="s">
        <v>271</v>
      </c>
      <c r="B340" s="50" t="s">
        <v>276</v>
      </c>
      <c r="C340" s="30" t="s">
        <v>272</v>
      </c>
      <c r="D340" s="151">
        <v>10021</v>
      </c>
    </row>
    <row r="341" spans="1:4" ht="26.25">
      <c r="A341" s="148" t="s">
        <v>269</v>
      </c>
      <c r="B341" s="50" t="s">
        <v>270</v>
      </c>
      <c r="C341" s="30"/>
      <c r="D341" s="151">
        <f>D342</f>
        <v>300000</v>
      </c>
    </row>
    <row r="342" spans="1:4" ht="26.25">
      <c r="A342" s="145" t="s">
        <v>271</v>
      </c>
      <c r="B342" s="50" t="s">
        <v>270</v>
      </c>
      <c r="C342" s="30" t="s">
        <v>272</v>
      </c>
      <c r="D342" s="151">
        <f>300000</f>
        <v>300000</v>
      </c>
    </row>
    <row r="343" spans="1:4" s="42" customFormat="1" ht="54.75" customHeight="1">
      <c r="A343" s="182" t="s">
        <v>241</v>
      </c>
      <c r="B343" s="50" t="s">
        <v>242</v>
      </c>
      <c r="C343" s="30"/>
      <c r="D343" s="143">
        <f>D344</f>
        <v>2882000</v>
      </c>
    </row>
    <row r="344" spans="1:4" s="42" customFormat="1" ht="30" customHeight="1">
      <c r="A344" s="84" t="s">
        <v>243</v>
      </c>
      <c r="B344" s="50" t="s">
        <v>244</v>
      </c>
      <c r="C344" s="30"/>
      <c r="D344" s="143">
        <f>D345</f>
        <v>2882000</v>
      </c>
    </row>
    <row r="345" spans="1:5" ht="15">
      <c r="A345" s="145" t="s">
        <v>245</v>
      </c>
      <c r="B345" s="50" t="s">
        <v>246</v>
      </c>
      <c r="C345" s="30"/>
      <c r="D345" s="143">
        <f>D347+D346</f>
        <v>2882000</v>
      </c>
      <c r="E345" s="146"/>
    </row>
    <row r="346" spans="1:5" ht="15" hidden="1">
      <c r="A346" s="148" t="s">
        <v>92</v>
      </c>
      <c r="B346" s="50" t="s">
        <v>246</v>
      </c>
      <c r="C346" s="30" t="s">
        <v>39</v>
      </c>
      <c r="D346" s="151"/>
      <c r="E346" s="146"/>
    </row>
    <row r="347" spans="1:5" ht="15">
      <c r="A347" s="148" t="s">
        <v>84</v>
      </c>
      <c r="B347" s="50" t="s">
        <v>246</v>
      </c>
      <c r="C347" s="30" t="s">
        <v>85</v>
      </c>
      <c r="D347" s="151">
        <f>1589000+1293000</f>
        <v>2882000</v>
      </c>
      <c r="E347" s="146"/>
    </row>
    <row r="348" spans="1:5" s="42" customFormat="1" ht="63" customHeight="1">
      <c r="A348" s="182" t="s">
        <v>159</v>
      </c>
      <c r="B348" s="50" t="s">
        <v>160</v>
      </c>
      <c r="C348" s="30"/>
      <c r="D348" s="143">
        <f>D349+D354</f>
        <v>36960</v>
      </c>
      <c r="E348" s="164"/>
    </row>
    <row r="349" spans="1:4" ht="25.5" hidden="1">
      <c r="A349" s="183" t="s">
        <v>277</v>
      </c>
      <c r="B349" s="50" t="s">
        <v>278</v>
      </c>
      <c r="C349" s="30"/>
      <c r="D349" s="143">
        <f>D352+D350</f>
        <v>0</v>
      </c>
    </row>
    <row r="350" spans="1:4" ht="25.5" hidden="1">
      <c r="A350" s="84" t="s">
        <v>163</v>
      </c>
      <c r="B350" s="50" t="s">
        <v>279</v>
      </c>
      <c r="C350" s="30"/>
      <c r="D350" s="143">
        <f>D351</f>
        <v>0</v>
      </c>
    </row>
    <row r="351" spans="1:4" ht="15" hidden="1">
      <c r="A351" s="148" t="s">
        <v>92</v>
      </c>
      <c r="B351" s="50" t="s">
        <v>279</v>
      </c>
      <c r="C351" s="30" t="s">
        <v>39</v>
      </c>
      <c r="D351" s="151"/>
    </row>
    <row r="352" spans="1:4" ht="15" hidden="1">
      <c r="A352" s="84" t="s">
        <v>280</v>
      </c>
      <c r="B352" s="50" t="s">
        <v>281</v>
      </c>
      <c r="C352" s="30"/>
      <c r="D352" s="143">
        <f>D353</f>
        <v>0</v>
      </c>
    </row>
    <row r="353" spans="1:4" ht="26.25" hidden="1">
      <c r="A353" s="148" t="s">
        <v>38</v>
      </c>
      <c r="B353" s="50" t="s">
        <v>281</v>
      </c>
      <c r="C353" s="30" t="s">
        <v>39</v>
      </c>
      <c r="D353" s="143"/>
    </row>
    <row r="354" spans="1:4" ht="57.75" customHeight="1">
      <c r="A354" s="172" t="s">
        <v>432</v>
      </c>
      <c r="B354" s="50" t="s">
        <v>433</v>
      </c>
      <c r="C354" s="30"/>
      <c r="D354" s="143">
        <f>D355</f>
        <v>36960</v>
      </c>
    </row>
    <row r="355" spans="1:4" ht="31.5" customHeight="1">
      <c r="A355" s="84" t="s">
        <v>163</v>
      </c>
      <c r="B355" s="50" t="s">
        <v>434</v>
      </c>
      <c r="C355" s="30"/>
      <c r="D355" s="143">
        <f>D356</f>
        <v>36960</v>
      </c>
    </row>
    <row r="356" spans="1:4" ht="27.75" customHeight="1">
      <c r="A356" s="148" t="s">
        <v>38</v>
      </c>
      <c r="B356" s="50" t="s">
        <v>434</v>
      </c>
      <c r="C356" s="30" t="s">
        <v>39</v>
      </c>
      <c r="D356" s="151">
        <v>36960</v>
      </c>
    </row>
    <row r="357" spans="1:5" ht="43.5" customHeight="1">
      <c r="A357" s="145" t="s">
        <v>67</v>
      </c>
      <c r="B357" s="36" t="s">
        <v>68</v>
      </c>
      <c r="C357" s="37"/>
      <c r="D357" s="143">
        <f>D364+D358</f>
        <v>1571400</v>
      </c>
      <c r="E357" s="21"/>
    </row>
    <row r="358" spans="1:5" ht="68.25" customHeight="1">
      <c r="A358" s="183" t="s">
        <v>165</v>
      </c>
      <c r="B358" s="36" t="s">
        <v>166</v>
      </c>
      <c r="C358" s="30"/>
      <c r="D358" s="151">
        <f>D359</f>
        <v>902000</v>
      </c>
      <c r="E358" s="21"/>
    </row>
    <row r="359" spans="1:5" ht="31.5" customHeight="1">
      <c r="A359" s="147" t="s">
        <v>167</v>
      </c>
      <c r="B359" s="47" t="s">
        <v>168</v>
      </c>
      <c r="C359" s="30"/>
      <c r="D359" s="151">
        <f>D360+D362</f>
        <v>902000</v>
      </c>
      <c r="E359" s="21"/>
    </row>
    <row r="360" spans="1:5" ht="32.25" customHeight="1">
      <c r="A360" s="148" t="s">
        <v>169</v>
      </c>
      <c r="B360" s="47" t="s">
        <v>170</v>
      </c>
      <c r="C360" s="30"/>
      <c r="D360" s="151">
        <f>D361</f>
        <v>837000</v>
      </c>
      <c r="E360" s="21"/>
    </row>
    <row r="361" spans="1:5" ht="28.5" customHeight="1">
      <c r="A361" s="148" t="s">
        <v>38</v>
      </c>
      <c r="B361" s="47" t="s">
        <v>170</v>
      </c>
      <c r="C361" s="30" t="s">
        <v>39</v>
      </c>
      <c r="D361" s="151">
        <f>547000+290000</f>
        <v>837000</v>
      </c>
      <c r="E361" s="21"/>
    </row>
    <row r="362" spans="1:5" ht="27" customHeight="1">
      <c r="A362" s="148" t="s">
        <v>171</v>
      </c>
      <c r="B362" s="47" t="s">
        <v>172</v>
      </c>
      <c r="C362" s="30"/>
      <c r="D362" s="151">
        <f>D363</f>
        <v>65000</v>
      </c>
      <c r="E362" s="21"/>
    </row>
    <row r="363" spans="1:5" ht="28.5" customHeight="1">
      <c r="A363" s="148" t="s">
        <v>38</v>
      </c>
      <c r="B363" s="47" t="s">
        <v>172</v>
      </c>
      <c r="C363" s="30" t="s">
        <v>39</v>
      </c>
      <c r="D363" s="151">
        <v>65000</v>
      </c>
      <c r="E363" s="21"/>
    </row>
    <row r="364" spans="1:4" s="42" customFormat="1" ht="59.25" customHeight="1">
      <c r="A364" s="145" t="s">
        <v>69</v>
      </c>
      <c r="B364" s="36" t="s">
        <v>70</v>
      </c>
      <c r="C364" s="37"/>
      <c r="D364" s="143">
        <f>D366+D369</f>
        <v>669400</v>
      </c>
    </row>
    <row r="365" spans="1:4" ht="45.75" customHeight="1">
      <c r="A365" s="147" t="s">
        <v>71</v>
      </c>
      <c r="B365" s="36" t="s">
        <v>72</v>
      </c>
      <c r="C365" s="37"/>
      <c r="D365" s="143">
        <f>D366+D369</f>
        <v>669400</v>
      </c>
    </row>
    <row r="366" spans="1:4" ht="40.5" customHeight="1">
      <c r="A366" s="156" t="s">
        <v>73</v>
      </c>
      <c r="B366" s="29" t="s">
        <v>74</v>
      </c>
      <c r="C366" s="30"/>
      <c r="D366" s="143">
        <f>D367+D368</f>
        <v>334700</v>
      </c>
    </row>
    <row r="367" spans="1:4" ht="43.5" customHeight="1">
      <c r="A367" s="148" t="s">
        <v>26</v>
      </c>
      <c r="B367" s="29" t="s">
        <v>74</v>
      </c>
      <c r="C367" s="37" t="s">
        <v>27</v>
      </c>
      <c r="D367" s="151">
        <v>306472</v>
      </c>
    </row>
    <row r="368" spans="1:4" ht="26.25">
      <c r="A368" s="148" t="s">
        <v>38</v>
      </c>
      <c r="B368" s="29" t="s">
        <v>74</v>
      </c>
      <c r="C368" s="37" t="s">
        <v>39</v>
      </c>
      <c r="D368" s="151">
        <f>28228</f>
        <v>28228</v>
      </c>
    </row>
    <row r="369" spans="1:4" ht="33.75" customHeight="1">
      <c r="A369" s="156" t="s">
        <v>75</v>
      </c>
      <c r="B369" s="29" t="s">
        <v>76</v>
      </c>
      <c r="C369" s="30"/>
      <c r="D369" s="143">
        <f>D370+D371</f>
        <v>334700</v>
      </c>
    </row>
    <row r="370" spans="1:4" ht="39">
      <c r="A370" s="148" t="s">
        <v>26</v>
      </c>
      <c r="B370" s="29" t="s">
        <v>76</v>
      </c>
      <c r="C370" s="37" t="s">
        <v>27</v>
      </c>
      <c r="D370" s="151">
        <v>306472</v>
      </c>
    </row>
    <row r="371" spans="1:4" ht="26.25">
      <c r="A371" s="148" t="s">
        <v>38</v>
      </c>
      <c r="B371" s="29" t="s">
        <v>76</v>
      </c>
      <c r="C371" s="37" t="s">
        <v>39</v>
      </c>
      <c r="D371" s="151">
        <v>28228</v>
      </c>
    </row>
    <row r="372" spans="1:6" ht="59.25" customHeight="1">
      <c r="A372" s="147" t="s">
        <v>217</v>
      </c>
      <c r="B372" s="50" t="s">
        <v>218</v>
      </c>
      <c r="C372" s="37"/>
      <c r="D372" s="143">
        <f>D373</f>
        <v>443000</v>
      </c>
      <c r="E372" s="225"/>
      <c r="F372" s="89"/>
    </row>
    <row r="373" spans="1:6" ht="84.75" customHeight="1">
      <c r="A373" s="162" t="s">
        <v>219</v>
      </c>
      <c r="B373" s="50" t="s">
        <v>220</v>
      </c>
      <c r="C373" s="37"/>
      <c r="D373" s="143">
        <f>D377</f>
        <v>443000</v>
      </c>
      <c r="E373" s="226"/>
      <c r="F373" s="89"/>
    </row>
    <row r="374" spans="1:6" ht="25.5" customHeight="1" hidden="1">
      <c r="A374" s="162" t="s">
        <v>221</v>
      </c>
      <c r="B374" s="50" t="s">
        <v>222</v>
      </c>
      <c r="C374" s="37"/>
      <c r="D374" s="143">
        <f>D375</f>
        <v>0</v>
      </c>
      <c r="E374" s="225"/>
      <c r="F374" s="89"/>
    </row>
    <row r="375" spans="1:6" ht="26.25" customHeight="1" hidden="1">
      <c r="A375" s="148" t="s">
        <v>223</v>
      </c>
      <c r="B375" s="50" t="s">
        <v>224</v>
      </c>
      <c r="C375" s="37"/>
      <c r="D375" s="143">
        <f>D376</f>
        <v>0</v>
      </c>
      <c r="E375" s="225"/>
      <c r="F375" s="89"/>
    </row>
    <row r="376" spans="1:6" ht="26.25" customHeight="1" hidden="1">
      <c r="A376" s="148" t="s">
        <v>38</v>
      </c>
      <c r="B376" s="50" t="s">
        <v>224</v>
      </c>
      <c r="C376" s="37" t="s">
        <v>39</v>
      </c>
      <c r="D376" s="143"/>
      <c r="E376" s="225"/>
      <c r="F376" s="89"/>
    </row>
    <row r="377" spans="1:6" ht="57" customHeight="1">
      <c r="A377" s="162" t="s">
        <v>225</v>
      </c>
      <c r="B377" s="50" t="s">
        <v>226</v>
      </c>
      <c r="C377" s="37"/>
      <c r="D377" s="143">
        <f>D378</f>
        <v>443000</v>
      </c>
      <c r="E377" s="225"/>
      <c r="F377" s="89"/>
    </row>
    <row r="378" spans="1:6" ht="26.25">
      <c r="A378" s="148" t="s">
        <v>223</v>
      </c>
      <c r="B378" s="50" t="s">
        <v>227</v>
      </c>
      <c r="C378" s="37"/>
      <c r="D378" s="143">
        <f>D379</f>
        <v>443000</v>
      </c>
      <c r="E378" s="225"/>
      <c r="F378" s="89"/>
    </row>
    <row r="379" spans="1:5" ht="32.25" customHeight="1">
      <c r="A379" s="148" t="s">
        <v>38</v>
      </c>
      <c r="B379" s="50" t="s">
        <v>227</v>
      </c>
      <c r="C379" s="37" t="s">
        <v>39</v>
      </c>
      <c r="D379" s="151">
        <f>51000+322000+70000</f>
        <v>443000</v>
      </c>
      <c r="E379" s="225"/>
    </row>
    <row r="380" spans="1:5" ht="38.25" hidden="1">
      <c r="A380" s="162" t="s">
        <v>228</v>
      </c>
      <c r="B380" s="50" t="s">
        <v>229</v>
      </c>
      <c r="C380" s="37"/>
      <c r="D380" s="143">
        <f>D381</f>
        <v>0</v>
      </c>
      <c r="E380" s="225"/>
    </row>
    <row r="381" spans="1:5" ht="26.25" hidden="1">
      <c r="A381" s="148" t="s">
        <v>223</v>
      </c>
      <c r="B381" s="50" t="s">
        <v>230</v>
      </c>
      <c r="C381" s="37"/>
      <c r="D381" s="143">
        <f>D382</f>
        <v>0</v>
      </c>
      <c r="E381" s="225"/>
    </row>
    <row r="382" spans="1:5" ht="26.25" hidden="1">
      <c r="A382" s="148" t="s">
        <v>38</v>
      </c>
      <c r="B382" s="50" t="s">
        <v>230</v>
      </c>
      <c r="C382" s="37" t="s">
        <v>39</v>
      </c>
      <c r="D382" s="143"/>
      <c r="E382" s="225"/>
    </row>
    <row r="383" spans="1:5" ht="25.5" hidden="1">
      <c r="A383" s="162" t="s">
        <v>231</v>
      </c>
      <c r="B383" s="50" t="s">
        <v>232</v>
      </c>
      <c r="C383" s="37"/>
      <c r="D383" s="143">
        <f>D384</f>
        <v>0</v>
      </c>
      <c r="E383" s="225"/>
    </row>
    <row r="384" spans="1:5" ht="26.25" hidden="1">
      <c r="A384" s="148" t="s">
        <v>223</v>
      </c>
      <c r="B384" s="50" t="s">
        <v>670</v>
      </c>
      <c r="C384" s="37"/>
      <c r="D384" s="143">
        <f>D385</f>
        <v>0</v>
      </c>
      <c r="E384" s="225"/>
    </row>
    <row r="385" spans="1:5" ht="26.25" hidden="1">
      <c r="A385" s="148" t="s">
        <v>38</v>
      </c>
      <c r="B385" s="50" t="s">
        <v>670</v>
      </c>
      <c r="C385" s="37" t="s">
        <v>39</v>
      </c>
      <c r="D385" s="143"/>
      <c r="E385" s="225"/>
    </row>
    <row r="386" spans="1:5" ht="33.75" customHeight="1">
      <c r="A386" s="147" t="s">
        <v>617</v>
      </c>
      <c r="B386" s="47" t="s">
        <v>618</v>
      </c>
      <c r="C386" s="30"/>
      <c r="D386" s="143">
        <f>D387+D391</f>
        <v>11371742</v>
      </c>
      <c r="E386" s="21"/>
    </row>
    <row r="387" spans="1:5" s="42" customFormat="1" ht="51.75">
      <c r="A387" s="141" t="s">
        <v>619</v>
      </c>
      <c r="B387" s="47" t="s">
        <v>620</v>
      </c>
      <c r="C387" s="30"/>
      <c r="D387" s="143">
        <f>D388</f>
        <v>2000</v>
      </c>
      <c r="E387" s="69"/>
    </row>
    <row r="388" spans="1:4" ht="39">
      <c r="A388" s="141" t="s">
        <v>621</v>
      </c>
      <c r="B388" s="47" t="s">
        <v>622</v>
      </c>
      <c r="C388" s="30"/>
      <c r="D388" s="143">
        <f>D389</f>
        <v>2000</v>
      </c>
    </row>
    <row r="389" spans="1:4" ht="15">
      <c r="A389" s="145" t="s">
        <v>623</v>
      </c>
      <c r="B389" s="47" t="s">
        <v>624</v>
      </c>
      <c r="C389" s="30"/>
      <c r="D389" s="143">
        <f>D390</f>
        <v>2000</v>
      </c>
    </row>
    <row r="390" spans="1:4" ht="15">
      <c r="A390" s="141" t="s">
        <v>625</v>
      </c>
      <c r="B390" s="47" t="s">
        <v>624</v>
      </c>
      <c r="C390" s="30" t="s">
        <v>626</v>
      </c>
      <c r="D390" s="143">
        <v>2000</v>
      </c>
    </row>
    <row r="391" spans="1:4" s="42" customFormat="1" ht="60" customHeight="1">
      <c r="A391" s="141" t="s">
        <v>630</v>
      </c>
      <c r="B391" s="29" t="s">
        <v>631</v>
      </c>
      <c r="C391" s="30"/>
      <c r="D391" s="143">
        <f>D392</f>
        <v>11369742</v>
      </c>
    </row>
    <row r="392" spans="1:4" s="42" customFormat="1" ht="36" customHeight="1">
      <c r="A392" s="147" t="s">
        <v>632</v>
      </c>
      <c r="B392" s="29" t="s">
        <v>633</v>
      </c>
      <c r="C392" s="30"/>
      <c r="D392" s="143">
        <f>D393</f>
        <v>11369742</v>
      </c>
    </row>
    <row r="393" spans="1:4" ht="23.25" customHeight="1">
      <c r="A393" s="147" t="s">
        <v>634</v>
      </c>
      <c r="B393" s="29" t="s">
        <v>635</v>
      </c>
      <c r="C393" s="30"/>
      <c r="D393" s="143">
        <f>D394</f>
        <v>11369742</v>
      </c>
    </row>
    <row r="394" spans="1:4" s="42" customFormat="1" ht="15">
      <c r="A394" s="169" t="s">
        <v>193</v>
      </c>
      <c r="B394" s="29" t="s">
        <v>635</v>
      </c>
      <c r="C394" s="37" t="s">
        <v>194</v>
      </c>
      <c r="D394" s="151">
        <v>11369742</v>
      </c>
    </row>
    <row r="395" spans="1:5" ht="25.5">
      <c r="A395" s="160" t="s">
        <v>315</v>
      </c>
      <c r="B395" s="29" t="s">
        <v>316</v>
      </c>
      <c r="C395" s="37"/>
      <c r="D395" s="151">
        <f>D396+D400</f>
        <v>20000</v>
      </c>
      <c r="E395" s="108"/>
    </row>
    <row r="396" spans="1:5" s="42" customFormat="1" ht="51">
      <c r="A396" s="172" t="s">
        <v>317</v>
      </c>
      <c r="B396" s="29" t="s">
        <v>318</v>
      </c>
      <c r="C396" s="37"/>
      <c r="D396" s="151">
        <f>D397</f>
        <v>20000</v>
      </c>
      <c r="E396" s="227"/>
    </row>
    <row r="397" spans="1:5" ht="26.25">
      <c r="A397" s="147" t="s">
        <v>319</v>
      </c>
      <c r="B397" s="29" t="s">
        <v>320</v>
      </c>
      <c r="C397" s="37"/>
      <c r="D397" s="151">
        <f>D398</f>
        <v>20000</v>
      </c>
      <c r="E397" s="228"/>
    </row>
    <row r="398" spans="1:5" ht="28.5">
      <c r="A398" s="154" t="s">
        <v>321</v>
      </c>
      <c r="B398" s="29" t="s">
        <v>322</v>
      </c>
      <c r="C398" s="37"/>
      <c r="D398" s="151">
        <f>D399</f>
        <v>20000</v>
      </c>
      <c r="E398" s="228"/>
    </row>
    <row r="399" spans="1:5" ht="29.25" customHeight="1">
      <c r="A399" s="148" t="s">
        <v>38</v>
      </c>
      <c r="B399" s="29" t="s">
        <v>322</v>
      </c>
      <c r="C399" s="37" t="s">
        <v>39</v>
      </c>
      <c r="D399" s="151">
        <v>20000</v>
      </c>
      <c r="E399" s="228"/>
    </row>
    <row r="400" spans="1:5" ht="51" hidden="1">
      <c r="A400" s="147" t="s">
        <v>323</v>
      </c>
      <c r="B400" s="29" t="s">
        <v>324</v>
      </c>
      <c r="C400" s="37"/>
      <c r="D400" s="151">
        <f>D401</f>
        <v>0</v>
      </c>
      <c r="E400" s="228"/>
    </row>
    <row r="401" spans="1:5" ht="38.25" hidden="1">
      <c r="A401" s="147" t="s">
        <v>325</v>
      </c>
      <c r="B401" s="29" t="s">
        <v>326</v>
      </c>
      <c r="C401" s="37"/>
      <c r="D401" s="151">
        <f>D402</f>
        <v>0</v>
      </c>
      <c r="E401" s="228"/>
    </row>
    <row r="402" spans="1:5" ht="28.5" hidden="1">
      <c r="A402" s="148" t="s">
        <v>327</v>
      </c>
      <c r="B402" s="29" t="s">
        <v>328</v>
      </c>
      <c r="C402" s="37"/>
      <c r="D402" s="151">
        <f>D403</f>
        <v>0</v>
      </c>
      <c r="E402" s="228"/>
    </row>
    <row r="403" spans="1:5" ht="26.25" hidden="1">
      <c r="A403" s="148" t="s">
        <v>84</v>
      </c>
      <c r="B403" s="29" t="s">
        <v>328</v>
      </c>
      <c r="C403" s="37" t="s">
        <v>85</v>
      </c>
      <c r="D403" s="151"/>
      <c r="E403" s="228"/>
    </row>
    <row r="404" spans="1:5" ht="44.25" customHeight="1" hidden="1">
      <c r="A404" s="184" t="s">
        <v>443</v>
      </c>
      <c r="B404" s="29" t="s">
        <v>444</v>
      </c>
      <c r="C404" s="30"/>
      <c r="D404" s="151">
        <f>D405</f>
        <v>0</v>
      </c>
      <c r="E404" s="228"/>
    </row>
    <row r="405" spans="1:5" ht="72" customHeight="1" hidden="1">
      <c r="A405" s="148" t="s">
        <v>445</v>
      </c>
      <c r="B405" s="29" t="s">
        <v>446</v>
      </c>
      <c r="C405" s="30"/>
      <c r="D405" s="151">
        <f>D406</f>
        <v>0</v>
      </c>
      <c r="E405" s="228"/>
    </row>
    <row r="406" spans="1:5" ht="37.5" customHeight="1" hidden="1">
      <c r="A406" s="148" t="s">
        <v>696</v>
      </c>
      <c r="B406" s="29" t="s">
        <v>448</v>
      </c>
      <c r="C406" s="30"/>
      <c r="D406" s="151">
        <f>D407</f>
        <v>0</v>
      </c>
      <c r="E406" s="228"/>
    </row>
    <row r="407" spans="1:5" ht="26.25" hidden="1">
      <c r="A407" s="84" t="s">
        <v>163</v>
      </c>
      <c r="B407" s="29" t="s">
        <v>449</v>
      </c>
      <c r="C407" s="30"/>
      <c r="D407" s="151">
        <f>D408</f>
        <v>0</v>
      </c>
      <c r="E407" s="228"/>
    </row>
    <row r="408" spans="1:5" ht="28.5" hidden="1">
      <c r="A408" s="148" t="s">
        <v>38</v>
      </c>
      <c r="B408" s="29" t="s">
        <v>449</v>
      </c>
      <c r="C408" s="30" t="s">
        <v>39</v>
      </c>
      <c r="D408" s="151"/>
      <c r="E408" s="228"/>
    </row>
    <row r="409" spans="1:5" ht="29.25" customHeight="1">
      <c r="A409" s="170" t="s">
        <v>435</v>
      </c>
      <c r="B409" s="29" t="s">
        <v>436</v>
      </c>
      <c r="C409" s="37"/>
      <c r="D409" s="143">
        <f>D410</f>
        <v>30000</v>
      </c>
      <c r="E409" s="108"/>
    </row>
    <row r="410" spans="1:5" ht="45.75" customHeight="1">
      <c r="A410" s="147" t="s">
        <v>437</v>
      </c>
      <c r="B410" s="29" t="s">
        <v>438</v>
      </c>
      <c r="C410" s="37"/>
      <c r="D410" s="143">
        <f>D411</f>
        <v>30000</v>
      </c>
      <c r="E410" s="228"/>
    </row>
    <row r="411" spans="1:5" ht="28.5" customHeight="1">
      <c r="A411" s="162" t="s">
        <v>439</v>
      </c>
      <c r="B411" s="29" t="s">
        <v>440</v>
      </c>
      <c r="C411" s="37"/>
      <c r="D411" s="143">
        <f>D412</f>
        <v>30000</v>
      </c>
      <c r="E411" s="228"/>
    </row>
    <row r="412" spans="1:5" ht="20.25" customHeight="1">
      <c r="A412" s="162" t="s">
        <v>441</v>
      </c>
      <c r="B412" s="29" t="s">
        <v>442</v>
      </c>
      <c r="C412" s="37"/>
      <c r="D412" s="143">
        <f>D413</f>
        <v>30000</v>
      </c>
      <c r="E412" s="228"/>
    </row>
    <row r="413" spans="1:5" ht="28.5">
      <c r="A413" s="148" t="s">
        <v>38</v>
      </c>
      <c r="B413" s="29" t="s">
        <v>442</v>
      </c>
      <c r="C413" s="30" t="s">
        <v>39</v>
      </c>
      <c r="D413" s="143">
        <v>30000</v>
      </c>
      <c r="E413" s="228"/>
    </row>
    <row r="414" spans="1:5" ht="38.25" hidden="1">
      <c r="A414" s="184" t="s">
        <v>443</v>
      </c>
      <c r="B414" s="29" t="s">
        <v>444</v>
      </c>
      <c r="C414" s="37"/>
      <c r="D414" s="143">
        <f>D415</f>
        <v>0</v>
      </c>
      <c r="E414" s="108"/>
    </row>
    <row r="415" spans="1:5" ht="66.75" hidden="1">
      <c r="A415" s="148" t="s">
        <v>445</v>
      </c>
      <c r="B415" s="29" t="s">
        <v>446</v>
      </c>
      <c r="C415" s="37"/>
      <c r="D415" s="143">
        <f>D416</f>
        <v>0</v>
      </c>
      <c r="E415" s="228"/>
    </row>
    <row r="416" spans="1:5" ht="28.5" hidden="1">
      <c r="A416" s="148" t="s">
        <v>727</v>
      </c>
      <c r="B416" s="29" t="s">
        <v>448</v>
      </c>
      <c r="C416" s="37"/>
      <c r="D416" s="143">
        <f>D417</f>
        <v>0</v>
      </c>
      <c r="E416" s="228"/>
    </row>
    <row r="417" spans="1:5" ht="26.25" hidden="1">
      <c r="A417" s="84" t="s">
        <v>163</v>
      </c>
      <c r="B417" s="29" t="s">
        <v>449</v>
      </c>
      <c r="C417" s="37"/>
      <c r="D417" s="143">
        <f>D418</f>
        <v>0</v>
      </c>
      <c r="E417" s="228"/>
    </row>
    <row r="418" spans="1:5" ht="28.5" hidden="1">
      <c r="A418" s="148" t="s">
        <v>38</v>
      </c>
      <c r="B418" s="29" t="s">
        <v>449</v>
      </c>
      <c r="C418" s="30" t="s">
        <v>39</v>
      </c>
      <c r="D418" s="143"/>
      <c r="E418" s="228"/>
    </row>
    <row r="419" spans="1:5" ht="24.75" customHeight="1">
      <c r="A419" s="155" t="s">
        <v>173</v>
      </c>
      <c r="B419" s="50" t="s">
        <v>174</v>
      </c>
      <c r="C419" s="30"/>
      <c r="D419" s="151">
        <f>D420+D424</f>
        <v>0</v>
      </c>
      <c r="E419" s="108"/>
    </row>
    <row r="420" spans="1:5" ht="38.25" hidden="1">
      <c r="A420" s="162" t="s">
        <v>175</v>
      </c>
      <c r="B420" s="50" t="s">
        <v>176</v>
      </c>
      <c r="C420" s="30"/>
      <c r="D420" s="151">
        <f>D421</f>
        <v>0</v>
      </c>
      <c r="E420" s="228"/>
    </row>
    <row r="421" spans="1:5" ht="26.25" hidden="1">
      <c r="A421" s="162" t="s">
        <v>177</v>
      </c>
      <c r="B421" s="50" t="s">
        <v>178</v>
      </c>
      <c r="C421" s="30"/>
      <c r="D421" s="151">
        <f>D422</f>
        <v>0</v>
      </c>
      <c r="E421" s="228"/>
    </row>
    <row r="422" spans="1:5" ht="28.5" hidden="1">
      <c r="A422" s="148" t="s">
        <v>179</v>
      </c>
      <c r="B422" s="50" t="s">
        <v>180</v>
      </c>
      <c r="C422" s="30"/>
      <c r="D422" s="151">
        <f>D423</f>
        <v>0</v>
      </c>
      <c r="E422" s="228"/>
    </row>
    <row r="423" spans="1:5" ht="26.25" hidden="1">
      <c r="A423" s="148" t="s">
        <v>38</v>
      </c>
      <c r="B423" s="50" t="s">
        <v>180</v>
      </c>
      <c r="C423" s="30" t="s">
        <v>39</v>
      </c>
      <c r="D423" s="151">
        <f>15000-15000</f>
        <v>0</v>
      </c>
      <c r="E423" s="229"/>
    </row>
    <row r="424" spans="1:5" ht="57.75" customHeight="1">
      <c r="A424" s="162" t="s">
        <v>181</v>
      </c>
      <c r="B424" s="50" t="s">
        <v>182</v>
      </c>
      <c r="C424" s="30"/>
      <c r="D424" s="151">
        <f>D425</f>
        <v>0</v>
      </c>
      <c r="E424" s="228"/>
    </row>
    <row r="425" spans="1:5" ht="19.5" customHeight="1">
      <c r="A425" s="162" t="s">
        <v>183</v>
      </c>
      <c r="B425" s="50" t="s">
        <v>184</v>
      </c>
      <c r="C425" s="30"/>
      <c r="D425" s="151">
        <f>D426</f>
        <v>0</v>
      </c>
      <c r="E425" s="228"/>
    </row>
    <row r="426" spans="1:5" ht="26.25">
      <c r="A426" s="162" t="s">
        <v>144</v>
      </c>
      <c r="B426" s="50" t="s">
        <v>185</v>
      </c>
      <c r="C426" s="30"/>
      <c r="D426" s="151">
        <f>D427</f>
        <v>0</v>
      </c>
      <c r="E426" s="228"/>
    </row>
    <row r="427" spans="1:5" ht="26.25">
      <c r="A427" s="148" t="s">
        <v>38</v>
      </c>
      <c r="B427" s="50" t="s">
        <v>185</v>
      </c>
      <c r="C427" s="30" t="s">
        <v>39</v>
      </c>
      <c r="D427" s="151">
        <f>100000-100000</f>
        <v>0</v>
      </c>
      <c r="E427" s="229"/>
    </row>
    <row r="428" spans="1:5" ht="15">
      <c r="A428" s="148" t="s">
        <v>20</v>
      </c>
      <c r="B428" s="36" t="s">
        <v>21</v>
      </c>
      <c r="C428" s="30"/>
      <c r="D428" s="143">
        <f>D429</f>
        <v>1569900</v>
      </c>
      <c r="E428" s="21">
        <f>D428+D432+D442+D448+D457+D463+D499</f>
        <v>50283785.8</v>
      </c>
    </row>
    <row r="429" spans="1:5" s="42" customFormat="1" ht="15">
      <c r="A429" s="145" t="s">
        <v>22</v>
      </c>
      <c r="B429" s="36" t="s">
        <v>23</v>
      </c>
      <c r="C429" s="30"/>
      <c r="D429" s="143">
        <f>D430</f>
        <v>1569900</v>
      </c>
      <c r="E429" s="164"/>
    </row>
    <row r="430" spans="1:5" ht="26.25">
      <c r="A430" s="154" t="s">
        <v>24</v>
      </c>
      <c r="B430" s="36" t="s">
        <v>25</v>
      </c>
      <c r="C430" s="30"/>
      <c r="D430" s="143">
        <f>D431</f>
        <v>1569900</v>
      </c>
      <c r="E430" s="146"/>
    </row>
    <row r="431" spans="1:5" ht="39">
      <c r="A431" s="148" t="s">
        <v>26</v>
      </c>
      <c r="B431" s="36" t="s">
        <v>25</v>
      </c>
      <c r="C431" s="37" t="s">
        <v>27</v>
      </c>
      <c r="D431" s="151">
        <v>1569900</v>
      </c>
      <c r="E431" s="146"/>
    </row>
    <row r="432" spans="1:5" ht="15" customHeight="1">
      <c r="A432" s="148" t="s">
        <v>77</v>
      </c>
      <c r="B432" s="29" t="s">
        <v>78</v>
      </c>
      <c r="C432" s="30"/>
      <c r="D432" s="143">
        <f>D433</f>
        <v>17966100</v>
      </c>
      <c r="E432" s="146"/>
    </row>
    <row r="433" spans="1:5" s="42" customFormat="1" ht="15.75" customHeight="1">
      <c r="A433" s="154" t="s">
        <v>79</v>
      </c>
      <c r="B433" s="29" t="s">
        <v>80</v>
      </c>
      <c r="C433" s="30"/>
      <c r="D433" s="143">
        <f>D438+D436+D434</f>
        <v>17966100</v>
      </c>
      <c r="E433" s="164"/>
    </row>
    <row r="434" spans="1:5" s="42" customFormat="1" ht="39.75" customHeight="1">
      <c r="A434" s="154" t="s">
        <v>81</v>
      </c>
      <c r="B434" s="29" t="s">
        <v>82</v>
      </c>
      <c r="C434" s="30"/>
      <c r="D434" s="151">
        <f>D435</f>
        <v>12000</v>
      </c>
      <c r="E434" s="164"/>
    </row>
    <row r="435" spans="1:5" s="42" customFormat="1" ht="42" customHeight="1">
      <c r="A435" s="148" t="s">
        <v>26</v>
      </c>
      <c r="B435" s="29" t="s">
        <v>82</v>
      </c>
      <c r="C435" s="30" t="s">
        <v>27</v>
      </c>
      <c r="D435" s="151">
        <f>31100-19100</f>
        <v>12000</v>
      </c>
      <c r="E435" s="164"/>
    </row>
    <row r="436" spans="1:5" ht="27.75" customHeight="1">
      <c r="A436" s="157" t="s">
        <v>186</v>
      </c>
      <c r="B436" s="29" t="s">
        <v>187</v>
      </c>
      <c r="C436" s="56"/>
      <c r="D436" s="151">
        <f>D437</f>
        <v>366000</v>
      </c>
      <c r="E436" s="146"/>
    </row>
    <row r="437" spans="1:5" ht="37.5" customHeight="1">
      <c r="A437" s="148" t="s">
        <v>26</v>
      </c>
      <c r="B437" s="29" t="s">
        <v>187</v>
      </c>
      <c r="C437" s="56" t="s">
        <v>27</v>
      </c>
      <c r="D437" s="151">
        <f>332701+33299</f>
        <v>366000</v>
      </c>
      <c r="E437" s="146"/>
    </row>
    <row r="438" spans="1:5" ht="27.75" customHeight="1">
      <c r="A438" s="154" t="s">
        <v>24</v>
      </c>
      <c r="B438" s="29" t="s">
        <v>83</v>
      </c>
      <c r="C438" s="30"/>
      <c r="D438" s="143">
        <f>D439+D440+D441</f>
        <v>17588100</v>
      </c>
      <c r="E438" s="146"/>
    </row>
    <row r="439" spans="1:5" ht="39">
      <c r="A439" s="148" t="s">
        <v>26</v>
      </c>
      <c r="B439" s="29" t="s">
        <v>83</v>
      </c>
      <c r="C439" s="37" t="s">
        <v>27</v>
      </c>
      <c r="D439" s="151">
        <v>17526100</v>
      </c>
      <c r="E439" s="146"/>
    </row>
    <row r="440" spans="1:5" ht="26.25">
      <c r="A440" s="148" t="s">
        <v>38</v>
      </c>
      <c r="B440" s="29" t="s">
        <v>83</v>
      </c>
      <c r="C440" s="37" t="s">
        <v>39</v>
      </c>
      <c r="D440" s="230">
        <f>42000+20000</f>
        <v>62000</v>
      </c>
      <c r="E440" s="146"/>
    </row>
    <row r="441" spans="1:5" ht="15" hidden="1">
      <c r="A441" s="84" t="s">
        <v>84</v>
      </c>
      <c r="B441" s="29" t="s">
        <v>83</v>
      </c>
      <c r="C441" s="37" t="s">
        <v>85</v>
      </c>
      <c r="D441" s="151"/>
      <c r="E441" s="146"/>
    </row>
    <row r="442" spans="1:5" ht="26.25">
      <c r="A442" s="185" t="s">
        <v>103</v>
      </c>
      <c r="B442" s="47" t="s">
        <v>104</v>
      </c>
      <c r="C442" s="37"/>
      <c r="D442" s="143">
        <f>D443</f>
        <v>521000</v>
      </c>
      <c r="E442" s="146"/>
    </row>
    <row r="443" spans="1:5" s="42" customFormat="1" ht="17.25" customHeight="1">
      <c r="A443" s="185" t="s">
        <v>105</v>
      </c>
      <c r="B443" s="47" t="s">
        <v>106</v>
      </c>
      <c r="C443" s="37"/>
      <c r="D443" s="143">
        <f>D444</f>
        <v>521000</v>
      </c>
      <c r="E443" s="164"/>
    </row>
    <row r="444" spans="1:5" ht="26.25">
      <c r="A444" s="154" t="s">
        <v>24</v>
      </c>
      <c r="B444" s="47" t="s">
        <v>107</v>
      </c>
      <c r="C444" s="30"/>
      <c r="D444" s="143">
        <f>D445+D446+D447</f>
        <v>521000</v>
      </c>
      <c r="E444" s="146"/>
    </row>
    <row r="445" spans="1:5" ht="39">
      <c r="A445" s="148" t="s">
        <v>26</v>
      </c>
      <c r="B445" s="47" t="s">
        <v>107</v>
      </c>
      <c r="C445" s="37" t="s">
        <v>27</v>
      </c>
      <c r="D445" s="151">
        <v>521000</v>
      </c>
      <c r="E445" s="146"/>
    </row>
    <row r="446" spans="1:5" ht="15" hidden="1">
      <c r="A446" s="148" t="s">
        <v>92</v>
      </c>
      <c r="B446" s="47" t="s">
        <v>107</v>
      </c>
      <c r="C446" s="37" t="s">
        <v>39</v>
      </c>
      <c r="D446" s="151"/>
      <c r="E446" s="146"/>
    </row>
    <row r="447" spans="1:5" ht="15" hidden="1">
      <c r="A447" s="84" t="s">
        <v>84</v>
      </c>
      <c r="B447" s="47" t="s">
        <v>107</v>
      </c>
      <c r="C447" s="37" t="s">
        <v>85</v>
      </c>
      <c r="D447" s="143"/>
      <c r="E447" s="146"/>
    </row>
    <row r="448" spans="1:5" ht="28.5" customHeight="1">
      <c r="A448" s="148" t="s">
        <v>30</v>
      </c>
      <c r="B448" s="36" t="s">
        <v>31</v>
      </c>
      <c r="C448" s="30"/>
      <c r="D448" s="143">
        <f>D449+D452</f>
        <v>2449000</v>
      </c>
      <c r="E448" s="21"/>
    </row>
    <row r="449" spans="1:4" s="42" customFormat="1" ht="19.5" customHeight="1">
      <c r="A449" s="145" t="s">
        <v>32</v>
      </c>
      <c r="B449" s="36" t="s">
        <v>33</v>
      </c>
      <c r="C449" s="30"/>
      <c r="D449" s="143">
        <f>D450</f>
        <v>879500</v>
      </c>
    </row>
    <row r="450" spans="1:4" ht="30.75" customHeight="1">
      <c r="A450" s="154" t="s">
        <v>24</v>
      </c>
      <c r="B450" s="36" t="s">
        <v>34</v>
      </c>
      <c r="C450" s="37"/>
      <c r="D450" s="143">
        <f>D451</f>
        <v>879500</v>
      </c>
    </row>
    <row r="451" spans="1:4" ht="39.75" customHeight="1">
      <c r="A451" s="148" t="s">
        <v>26</v>
      </c>
      <c r="B451" s="36" t="s">
        <v>34</v>
      </c>
      <c r="C451" s="37" t="s">
        <v>27</v>
      </c>
      <c r="D451" s="151">
        <v>879500</v>
      </c>
    </row>
    <row r="452" spans="1:5" s="42" customFormat="1" ht="27" customHeight="1">
      <c r="A452" s="145" t="s">
        <v>35</v>
      </c>
      <c r="B452" s="36" t="s">
        <v>36</v>
      </c>
      <c r="C452" s="37"/>
      <c r="D452" s="143">
        <f>D453</f>
        <v>1569500</v>
      </c>
      <c r="E452" s="164"/>
    </row>
    <row r="453" spans="1:5" ht="28.5" customHeight="1">
      <c r="A453" s="154" t="s">
        <v>24</v>
      </c>
      <c r="B453" s="36" t="s">
        <v>37</v>
      </c>
      <c r="C453" s="37"/>
      <c r="D453" s="143">
        <f>D454+D455+D456</f>
        <v>1569500</v>
      </c>
      <c r="E453" s="146"/>
    </row>
    <row r="454" spans="1:5" ht="39">
      <c r="A454" s="148" t="s">
        <v>26</v>
      </c>
      <c r="B454" s="36" t="s">
        <v>37</v>
      </c>
      <c r="C454" s="37" t="s">
        <v>27</v>
      </c>
      <c r="D454" s="151">
        <v>1568500</v>
      </c>
      <c r="E454" s="146"/>
    </row>
    <row r="455" spans="1:5" ht="13.5" customHeight="1">
      <c r="A455" s="148" t="s">
        <v>92</v>
      </c>
      <c r="B455" s="36" t="s">
        <v>37</v>
      </c>
      <c r="C455" s="37" t="s">
        <v>39</v>
      </c>
      <c r="D455" s="151">
        <v>1000</v>
      </c>
      <c r="E455" s="146"/>
    </row>
    <row r="456" spans="1:5" ht="15" hidden="1">
      <c r="A456" s="84" t="s">
        <v>84</v>
      </c>
      <c r="B456" s="36" t="s">
        <v>37</v>
      </c>
      <c r="C456" s="37" t="s">
        <v>85</v>
      </c>
      <c r="D456" s="143"/>
      <c r="E456" s="146"/>
    </row>
    <row r="457" spans="1:5" ht="26.25" customHeight="1">
      <c r="A457" s="148" t="s">
        <v>188</v>
      </c>
      <c r="B457" s="36" t="s">
        <v>189</v>
      </c>
      <c r="C457" s="56"/>
      <c r="D457" s="143">
        <f>D458</f>
        <v>3950140.1999999997</v>
      </c>
      <c r="E457" s="146"/>
    </row>
    <row r="458" spans="1:5" s="42" customFormat="1" ht="17.25" customHeight="1">
      <c r="A458" s="148" t="s">
        <v>190</v>
      </c>
      <c r="B458" s="36" t="s">
        <v>191</v>
      </c>
      <c r="C458" s="56"/>
      <c r="D458" s="143">
        <f>D459</f>
        <v>3950140.1999999997</v>
      </c>
      <c r="E458" s="164"/>
    </row>
    <row r="459" spans="1:5" ht="17.25" customHeight="1">
      <c r="A459" s="145" t="s">
        <v>144</v>
      </c>
      <c r="B459" s="36" t="s">
        <v>192</v>
      </c>
      <c r="C459" s="56"/>
      <c r="D459" s="143">
        <f>D460+D462+D461</f>
        <v>3950140.1999999997</v>
      </c>
      <c r="E459" s="146"/>
    </row>
    <row r="460" spans="1:4" ht="15">
      <c r="A460" s="148" t="s">
        <v>92</v>
      </c>
      <c r="B460" s="36" t="s">
        <v>192</v>
      </c>
      <c r="C460" s="56" t="s">
        <v>39</v>
      </c>
      <c r="D460" s="151">
        <f>9788.52-2590+316990+28010+80000</f>
        <v>432198.52</v>
      </c>
    </row>
    <row r="461" spans="1:4" ht="0.75" customHeight="1" hidden="1">
      <c r="A461" s="169" t="s">
        <v>193</v>
      </c>
      <c r="B461" s="36" t="s">
        <v>192</v>
      </c>
      <c r="C461" s="56" t="s">
        <v>194</v>
      </c>
      <c r="D461" s="151"/>
    </row>
    <row r="462" spans="1:4" ht="17.25" customHeight="1">
      <c r="A462" s="84" t="s">
        <v>84</v>
      </c>
      <c r="B462" s="36" t="s">
        <v>192</v>
      </c>
      <c r="C462" s="56" t="s">
        <v>85</v>
      </c>
      <c r="D462" s="31">
        <f>1126229.68+147269+1350000+10000000-100000-344990-28010-80000-9000000+447443</f>
        <v>3517941.6799999997</v>
      </c>
    </row>
    <row r="463" spans="1:7" ht="18.75" customHeight="1">
      <c r="A463" s="145" t="s">
        <v>86</v>
      </c>
      <c r="B463" s="47" t="s">
        <v>87</v>
      </c>
      <c r="C463" s="37"/>
      <c r="D463" s="143">
        <f>D464+D473+D496</f>
        <v>14727645.6</v>
      </c>
      <c r="E463" s="21"/>
      <c r="F463" s="146"/>
      <c r="G463" s="146"/>
    </row>
    <row r="464" spans="1:6" s="42" customFormat="1" ht="30" customHeight="1">
      <c r="A464" s="147" t="s">
        <v>88</v>
      </c>
      <c r="B464" s="29" t="s">
        <v>89</v>
      </c>
      <c r="C464" s="30"/>
      <c r="D464" s="143">
        <f>D470+D465</f>
        <v>1332700</v>
      </c>
      <c r="F464" s="164"/>
    </row>
    <row r="465" spans="1:6" s="42" customFormat="1" ht="30" customHeight="1">
      <c r="A465" s="154" t="s">
        <v>195</v>
      </c>
      <c r="B465" s="47" t="s">
        <v>196</v>
      </c>
      <c r="C465" s="37"/>
      <c r="D465" s="151">
        <f>D466+D467</f>
        <v>998000</v>
      </c>
      <c r="F465" s="164"/>
    </row>
    <row r="466" spans="1:6" s="42" customFormat="1" ht="42.75" customHeight="1">
      <c r="A466" s="148" t="s">
        <v>26</v>
      </c>
      <c r="B466" s="47" t="s">
        <v>196</v>
      </c>
      <c r="C466" s="37" t="s">
        <v>27</v>
      </c>
      <c r="D466" s="151">
        <v>855178</v>
      </c>
      <c r="F466" s="164"/>
    </row>
    <row r="467" spans="1:6" s="42" customFormat="1" ht="25.5" customHeight="1">
      <c r="A467" s="148" t="s">
        <v>38</v>
      </c>
      <c r="B467" s="47" t="s">
        <v>196</v>
      </c>
      <c r="C467" s="37" t="s">
        <v>39</v>
      </c>
      <c r="D467" s="151">
        <f>38100+34800+69922</f>
        <v>142822</v>
      </c>
      <c r="F467" s="164"/>
    </row>
    <row r="468" spans="1:6" s="42" customFormat="1" ht="63.75" hidden="1">
      <c r="A468" s="157" t="s">
        <v>197</v>
      </c>
      <c r="B468" s="47" t="s">
        <v>198</v>
      </c>
      <c r="C468" s="37"/>
      <c r="D468" s="151">
        <v>0</v>
      </c>
      <c r="F468" s="164"/>
    </row>
    <row r="469" spans="1:6" s="42" customFormat="1" ht="26.25" hidden="1">
      <c r="A469" s="148" t="s">
        <v>38</v>
      </c>
      <c r="B469" s="47" t="s">
        <v>198</v>
      </c>
      <c r="C469" s="37" t="s">
        <v>39</v>
      </c>
      <c r="D469" s="151"/>
      <c r="F469" s="164"/>
    </row>
    <row r="470" spans="1:6" ht="26.25">
      <c r="A470" s="154" t="s">
        <v>90</v>
      </c>
      <c r="B470" s="29" t="s">
        <v>91</v>
      </c>
      <c r="C470" s="30"/>
      <c r="D470" s="143">
        <f>D471+D472</f>
        <v>334700</v>
      </c>
      <c r="F470" s="146"/>
    </row>
    <row r="471" spans="1:6" ht="39">
      <c r="A471" s="148" t="s">
        <v>26</v>
      </c>
      <c r="B471" s="29" t="s">
        <v>91</v>
      </c>
      <c r="C471" s="37" t="s">
        <v>27</v>
      </c>
      <c r="D471" s="151">
        <v>334700</v>
      </c>
      <c r="F471" s="146"/>
    </row>
    <row r="472" spans="1:6" ht="15">
      <c r="A472" s="148" t="s">
        <v>92</v>
      </c>
      <c r="B472" s="29" t="s">
        <v>91</v>
      </c>
      <c r="C472" s="37" t="s">
        <v>39</v>
      </c>
      <c r="D472" s="151">
        <f>20967-20967</f>
        <v>0</v>
      </c>
      <c r="F472" s="146"/>
    </row>
    <row r="473" spans="1:6" ht="18" customHeight="1">
      <c r="A473" s="148" t="s">
        <v>93</v>
      </c>
      <c r="B473" s="29" t="s">
        <v>94</v>
      </c>
      <c r="C473" s="37"/>
      <c r="D473" s="143">
        <f>D476+D478+D480+D482+D486+D492+D474+D494+D484</f>
        <v>13394945.6</v>
      </c>
      <c r="F473" s="146"/>
    </row>
    <row r="474" spans="1:6" ht="18" customHeight="1" hidden="1">
      <c r="A474" s="145" t="s">
        <v>199</v>
      </c>
      <c r="B474" s="29" t="s">
        <v>200</v>
      </c>
      <c r="C474" s="30"/>
      <c r="D474" s="151">
        <f>D475</f>
        <v>0</v>
      </c>
      <c r="F474" s="146"/>
    </row>
    <row r="475" spans="1:6" ht="31.5" customHeight="1" hidden="1">
      <c r="A475" s="148" t="s">
        <v>38</v>
      </c>
      <c r="B475" s="29" t="s">
        <v>200</v>
      </c>
      <c r="C475" s="30" t="s">
        <v>39</v>
      </c>
      <c r="D475" s="151"/>
      <c r="F475" s="146"/>
    </row>
    <row r="476" spans="1:6" ht="36.75" customHeight="1">
      <c r="A476" s="186" t="s">
        <v>542</v>
      </c>
      <c r="B476" s="29" t="s">
        <v>543</v>
      </c>
      <c r="C476" s="30"/>
      <c r="D476" s="143">
        <f>D477</f>
        <v>851087</v>
      </c>
      <c r="F476" s="146"/>
    </row>
    <row r="477" spans="1:6" ht="26.25" customHeight="1">
      <c r="A477" s="148" t="s">
        <v>38</v>
      </c>
      <c r="B477" s="29" t="s">
        <v>543</v>
      </c>
      <c r="C477" s="37" t="s">
        <v>39</v>
      </c>
      <c r="D477" s="151">
        <v>851087</v>
      </c>
      <c r="F477" s="146"/>
    </row>
    <row r="478" spans="1:6" ht="44.25" customHeight="1">
      <c r="A478" s="186" t="s">
        <v>95</v>
      </c>
      <c r="B478" s="29" t="s">
        <v>96</v>
      </c>
      <c r="C478" s="30"/>
      <c r="D478" s="143">
        <f>D479</f>
        <v>33470</v>
      </c>
      <c r="F478" s="146"/>
    </row>
    <row r="479" spans="1:6" ht="25.5" customHeight="1">
      <c r="A479" s="148" t="s">
        <v>38</v>
      </c>
      <c r="B479" s="29" t="s">
        <v>96</v>
      </c>
      <c r="C479" s="37" t="s">
        <v>27</v>
      </c>
      <c r="D479" s="151">
        <v>33470</v>
      </c>
      <c r="F479" s="146"/>
    </row>
    <row r="480" spans="1:6" ht="39">
      <c r="A480" s="156" t="s">
        <v>99</v>
      </c>
      <c r="B480" s="29" t="s">
        <v>100</v>
      </c>
      <c r="C480" s="37"/>
      <c r="D480" s="143">
        <f>D481</f>
        <v>64617</v>
      </c>
      <c r="F480" s="146"/>
    </row>
    <row r="481" spans="1:6" ht="14.25" customHeight="1">
      <c r="A481" s="148" t="s">
        <v>92</v>
      </c>
      <c r="B481" s="29" t="s">
        <v>100</v>
      </c>
      <c r="C481" s="37" t="s">
        <v>39</v>
      </c>
      <c r="D481" s="143">
        <v>64617</v>
      </c>
      <c r="F481" s="146"/>
    </row>
    <row r="482" spans="1:6" ht="15" hidden="1">
      <c r="A482" s="84" t="s">
        <v>728</v>
      </c>
      <c r="B482" s="29" t="s">
        <v>729</v>
      </c>
      <c r="C482" s="30"/>
      <c r="D482" s="143"/>
      <c r="F482" s="146"/>
    </row>
    <row r="483" spans="1:6" ht="26.25" hidden="1">
      <c r="A483" s="148" t="s">
        <v>38</v>
      </c>
      <c r="B483" s="29" t="s">
        <v>729</v>
      </c>
      <c r="C483" s="37" t="s">
        <v>39</v>
      </c>
      <c r="D483" s="143"/>
      <c r="F483" s="146"/>
    </row>
    <row r="484" spans="1:6" ht="44.25" customHeight="1" hidden="1">
      <c r="A484" s="167" t="s">
        <v>598</v>
      </c>
      <c r="B484" s="29" t="s">
        <v>599</v>
      </c>
      <c r="C484" s="30"/>
      <c r="D484" s="143">
        <f>D485</f>
        <v>0</v>
      </c>
      <c r="F484" s="146"/>
    </row>
    <row r="485" spans="1:6" ht="25.5" customHeight="1" hidden="1">
      <c r="A485" s="145" t="s">
        <v>271</v>
      </c>
      <c r="B485" s="29" t="s">
        <v>599</v>
      </c>
      <c r="C485" s="37" t="s">
        <v>272</v>
      </c>
      <c r="D485" s="151"/>
      <c r="F485" s="146"/>
    </row>
    <row r="486" spans="1:6" ht="25.5">
      <c r="A486" s="84" t="s">
        <v>201</v>
      </c>
      <c r="B486" s="29" t="s">
        <v>202</v>
      </c>
      <c r="C486" s="37"/>
      <c r="D486" s="143">
        <f>D487+D488+D489</f>
        <v>12295771.6</v>
      </c>
      <c r="F486" s="146"/>
    </row>
    <row r="487" spans="1:5" ht="39">
      <c r="A487" s="148" t="s">
        <v>26</v>
      </c>
      <c r="B487" s="29" t="s">
        <v>202</v>
      </c>
      <c r="C487" s="37" t="s">
        <v>27</v>
      </c>
      <c r="D487" s="151">
        <f>8024000+320000+457771</f>
        <v>8801771</v>
      </c>
      <c r="E487" s="146"/>
    </row>
    <row r="488" spans="1:5" ht="26.25">
      <c r="A488" s="148" t="s">
        <v>38</v>
      </c>
      <c r="B488" s="29" t="s">
        <v>202</v>
      </c>
      <c r="C488" s="37" t="s">
        <v>39</v>
      </c>
      <c r="D488" s="151">
        <f>2162000+100000+115112.5+925337.1+100000-2850+28000</f>
        <v>3427599.6</v>
      </c>
      <c r="E488" s="146"/>
    </row>
    <row r="489" spans="1:5" ht="12.75" customHeight="1">
      <c r="A489" s="84" t="s">
        <v>84</v>
      </c>
      <c r="B489" s="29" t="s">
        <v>202</v>
      </c>
      <c r="C489" s="37" t="s">
        <v>85</v>
      </c>
      <c r="D489" s="151">
        <f>63551+2850</f>
        <v>66401</v>
      </c>
      <c r="E489" s="146"/>
    </row>
    <row r="490" spans="1:5" ht="0.75" customHeight="1" hidden="1">
      <c r="A490" s="145" t="s">
        <v>144</v>
      </c>
      <c r="B490" s="29" t="s">
        <v>203</v>
      </c>
      <c r="C490" s="37"/>
      <c r="D490" s="151">
        <f>D491</f>
        <v>0</v>
      </c>
      <c r="E490" s="146"/>
    </row>
    <row r="491" spans="1:5" ht="26.25" hidden="1">
      <c r="A491" s="148" t="s">
        <v>38</v>
      </c>
      <c r="B491" s="29" t="s">
        <v>203</v>
      </c>
      <c r="C491" s="37" t="s">
        <v>39</v>
      </c>
      <c r="D491" s="151"/>
      <c r="E491" s="146"/>
    </row>
    <row r="492" spans="1:5" ht="15">
      <c r="A492" s="160" t="s">
        <v>204</v>
      </c>
      <c r="B492" s="29" t="s">
        <v>205</v>
      </c>
      <c r="C492" s="37"/>
      <c r="D492" s="143">
        <f>D493</f>
        <v>150000</v>
      </c>
      <c r="E492" s="146"/>
    </row>
    <row r="493" spans="1:5" ht="26.25">
      <c r="A493" s="148" t="s">
        <v>38</v>
      </c>
      <c r="B493" s="29" t="s">
        <v>205</v>
      </c>
      <c r="C493" s="37" t="s">
        <v>39</v>
      </c>
      <c r="D493" s="143">
        <f>50000+100000</f>
        <v>150000</v>
      </c>
      <c r="E493" s="146"/>
    </row>
    <row r="494" spans="1:5" ht="15" hidden="1">
      <c r="A494" s="148" t="s">
        <v>290</v>
      </c>
      <c r="B494" s="29" t="s">
        <v>339</v>
      </c>
      <c r="C494" s="37" t="s">
        <v>39</v>
      </c>
      <c r="D494" s="143">
        <f>D495</f>
        <v>0</v>
      </c>
      <c r="E494" s="146"/>
    </row>
    <row r="495" spans="1:5" ht="26.25" hidden="1">
      <c r="A495" s="148" t="s">
        <v>38</v>
      </c>
      <c r="B495" s="29" t="s">
        <v>339</v>
      </c>
      <c r="C495" s="37" t="s">
        <v>39</v>
      </c>
      <c r="D495" s="143"/>
      <c r="E495" s="146"/>
    </row>
    <row r="496" spans="1:5" s="42" customFormat="1" ht="15" hidden="1">
      <c r="A496" s="187" t="s">
        <v>110</v>
      </c>
      <c r="B496" s="188" t="s">
        <v>111</v>
      </c>
      <c r="C496" s="189"/>
      <c r="D496" s="190">
        <f>D497</f>
        <v>0</v>
      </c>
      <c r="E496" s="164"/>
    </row>
    <row r="497" spans="1:5" ht="15" hidden="1">
      <c r="A497" s="145" t="s">
        <v>112</v>
      </c>
      <c r="B497" s="29" t="s">
        <v>730</v>
      </c>
      <c r="C497" s="30"/>
      <c r="D497" s="143">
        <f>D498</f>
        <v>0</v>
      </c>
      <c r="E497" s="146"/>
    </row>
    <row r="498" spans="1:5" ht="15" hidden="1">
      <c r="A498" s="148" t="s">
        <v>92</v>
      </c>
      <c r="B498" s="29" t="s">
        <v>730</v>
      </c>
      <c r="C498" s="30" t="s">
        <v>85</v>
      </c>
      <c r="D498" s="143"/>
      <c r="E498" s="146"/>
    </row>
    <row r="499" spans="1:5" ht="15">
      <c r="A499" s="148" t="s">
        <v>116</v>
      </c>
      <c r="B499" s="36" t="s">
        <v>117</v>
      </c>
      <c r="C499" s="49" t="s">
        <v>118</v>
      </c>
      <c r="D499" s="143">
        <f>D500</f>
        <v>9100000</v>
      </c>
      <c r="E499" s="146"/>
    </row>
    <row r="500" spans="1:4" s="42" customFormat="1" ht="15">
      <c r="A500" s="148" t="s">
        <v>114</v>
      </c>
      <c r="B500" s="36" t="s">
        <v>119</v>
      </c>
      <c r="C500" s="49" t="s">
        <v>118</v>
      </c>
      <c r="D500" s="143">
        <f>D501</f>
        <v>9100000</v>
      </c>
    </row>
    <row r="501" spans="1:4" ht="15">
      <c r="A501" s="154" t="s">
        <v>120</v>
      </c>
      <c r="B501" s="36" t="s">
        <v>121</v>
      </c>
      <c r="C501" s="49" t="s">
        <v>118</v>
      </c>
      <c r="D501" s="143">
        <f>D502</f>
        <v>9100000</v>
      </c>
    </row>
    <row r="502" spans="1:4" ht="15" customHeight="1" thickBot="1">
      <c r="A502" s="191" t="s">
        <v>84</v>
      </c>
      <c r="B502" s="192" t="s">
        <v>121</v>
      </c>
      <c r="C502" s="193" t="s">
        <v>85</v>
      </c>
      <c r="D502" s="194">
        <f>100000+9000000</f>
        <v>9100000</v>
      </c>
    </row>
    <row r="503" spans="1:4" ht="25.5" hidden="1">
      <c r="A503" s="195" t="s">
        <v>504</v>
      </c>
      <c r="B503" s="196" t="s">
        <v>505</v>
      </c>
      <c r="C503" s="197"/>
      <c r="D503" s="190">
        <f>D504</f>
        <v>0</v>
      </c>
    </row>
    <row r="504" spans="1:4" ht="25.5" hidden="1">
      <c r="A504" s="84" t="s">
        <v>506</v>
      </c>
      <c r="B504" s="36" t="s">
        <v>507</v>
      </c>
      <c r="C504" s="197"/>
      <c r="D504" s="190">
        <f>D505</f>
        <v>0</v>
      </c>
    </row>
    <row r="505" spans="1:4" ht="26.25" hidden="1">
      <c r="A505" s="148" t="s">
        <v>731</v>
      </c>
      <c r="B505" s="36" t="s">
        <v>529</v>
      </c>
      <c r="C505" s="197"/>
      <c r="D505" s="190">
        <f>D506</f>
        <v>0</v>
      </c>
    </row>
    <row r="506" spans="1:4" ht="15.75" hidden="1" thickBot="1">
      <c r="A506" s="198" t="s">
        <v>211</v>
      </c>
      <c r="B506" s="192" t="s">
        <v>529</v>
      </c>
      <c r="C506" s="193">
        <v>300</v>
      </c>
      <c r="D506" s="194"/>
    </row>
    <row r="507" spans="1:4" ht="15" hidden="1">
      <c r="A507" s="199" t="s">
        <v>206</v>
      </c>
      <c r="B507" s="200" t="s">
        <v>207</v>
      </c>
      <c r="C507" s="201"/>
      <c r="D507" s="190">
        <f>D508</f>
        <v>0</v>
      </c>
    </row>
    <row r="508" spans="1:4" s="42" customFormat="1" ht="15" hidden="1">
      <c r="A508" s="148" t="s">
        <v>114</v>
      </c>
      <c r="B508" s="47" t="s">
        <v>208</v>
      </c>
      <c r="C508" s="37"/>
      <c r="D508" s="143">
        <f>D509</f>
        <v>0</v>
      </c>
    </row>
    <row r="509" spans="1:5" ht="15" hidden="1">
      <c r="A509" s="148" t="s">
        <v>209</v>
      </c>
      <c r="B509" s="47" t="s">
        <v>210</v>
      </c>
      <c r="C509" s="37"/>
      <c r="D509" s="143">
        <f>D510</f>
        <v>0</v>
      </c>
      <c r="E509" s="218"/>
    </row>
    <row r="510" spans="1:4" ht="15.75" hidden="1" thickBot="1">
      <c r="A510" s="202" t="s">
        <v>211</v>
      </c>
      <c r="B510" s="203" t="s">
        <v>210</v>
      </c>
      <c r="C510" s="204" t="s">
        <v>212</v>
      </c>
      <c r="D510" s="205"/>
    </row>
    <row r="511" spans="1:3" ht="15">
      <c r="A511" s="98"/>
      <c r="B511" s="206"/>
      <c r="C511" s="1"/>
    </row>
    <row r="512" spans="1:5" ht="15">
      <c r="A512" s="98"/>
      <c r="B512" s="206"/>
      <c r="C512" s="1"/>
      <c r="E512" s="146"/>
    </row>
    <row r="513" spans="1:3" ht="15">
      <c r="A513" s="98"/>
      <c r="B513" s="206"/>
      <c r="C513" s="1"/>
    </row>
    <row r="514" spans="1:5" ht="15">
      <c r="A514" s="98"/>
      <c r="B514" s="206"/>
      <c r="C514" s="1"/>
      <c r="E514" s="146"/>
    </row>
  </sheetData>
  <sheetProtection/>
  <mergeCells count="9">
    <mergeCell ref="B2:D2"/>
    <mergeCell ref="B3:D3"/>
    <mergeCell ref="B4:D4"/>
    <mergeCell ref="A5:D5"/>
    <mergeCell ref="F5:K5"/>
    <mergeCell ref="A7:A8"/>
    <mergeCell ref="B7:B8"/>
    <mergeCell ref="C7:C8"/>
    <mergeCell ref="D7:D8"/>
  </mergeCells>
  <printOptions/>
  <pageMargins left="0.7086614173228347" right="0.7086614173228347" top="0.47" bottom="0.4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RecunavaO</cp:lastModifiedBy>
  <cp:lastPrinted>2022-09-23T11:04:26Z</cp:lastPrinted>
  <dcterms:created xsi:type="dcterms:W3CDTF">2010-11-11T11:56:17Z</dcterms:created>
  <dcterms:modified xsi:type="dcterms:W3CDTF">2022-09-29T12:50:28Z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